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555" windowWidth="26535" windowHeight="13995"/>
  </bookViews>
  <sheets>
    <sheet name="Итоговый" sheetId="1" r:id="rId1"/>
    <sheet name="Отчет_ЦСП" sheetId="2" r:id="rId2"/>
    <sheet name="СП_без предварительных" sheetId="3" r:id="rId3"/>
    <sheet name="СП_с предварительными" sheetId="4" r:id="rId4"/>
    <sheet name="Нормативы" sheetId="5" r:id="rId5"/>
    <sheet name="Очки" sheetId="6" r:id="rId6"/>
    <sheet name="Ст. секундометрист" sheetId="7" r:id="rId7"/>
    <sheet name="Ведомость 6" sheetId="8" r:id="rId8"/>
    <sheet name="Техническая один зачет" sheetId="9" r:id="rId9"/>
    <sheet name="Именная заявка один зачет" sheetId="10" r:id="rId10"/>
    <sheet name="Техническая по возраст группам" sheetId="11" r:id="rId11"/>
    <sheet name="Именная по возраст группам" sheetId="12" r:id="rId12"/>
    <sheet name="Техническая по возраст груп пар" sheetId="13" r:id="rId13"/>
    <sheet name="Именная по возраст группам пар" sheetId="14" r:id="rId14"/>
    <sheet name="Техническая_марафон" sheetId="15" r:id="rId15"/>
    <sheet name="Именная заявка марафон" sheetId="16" r:id="rId16"/>
    <sheet name="Техническая параллельный зачет" sheetId="17" r:id="rId17"/>
    <sheet name="Отчет_ГСК_Первенство" sheetId="18" r:id="rId18"/>
    <sheet name="Карточка эстафеты" sheetId="19" r:id="rId19"/>
    <sheet name="Дистанции взрослые" sheetId="20" r:id="rId20"/>
    <sheet name="Рекорды" sheetId="21" r:id="rId21"/>
    <sheet name="Протокол прохождения марафон" sheetId="22" r:id="rId22"/>
    <sheet name="Протокол_прохождения" sheetId="23" r:id="rId23"/>
    <sheet name="Грамоты_МИНСПОРТА" sheetId="24" r:id="rId24"/>
    <sheet name="нормы_с_28.02.20" sheetId="25" r:id="rId25"/>
    <sheet name="Нормы 2018-1921" sheetId="26" r:id="rId26"/>
  </sheets>
  <externalReferences>
    <externalReference r:id="rId27"/>
  </externalReferences>
  <definedNames>
    <definedName name="_ftn1" localSheetId="24">#REF!</definedName>
    <definedName name="_ftnref1" localSheetId="24">#REF!</definedName>
    <definedName name="_xlnm.Print_Titles" localSheetId="15">'Именная заявка марафон'!$8:$8</definedName>
    <definedName name="_xlnm.Print_Titles" localSheetId="9">'Именная заявка один зачет'!$8:$8</definedName>
    <definedName name="_xlnm.Print_Titles" localSheetId="11">'Именная по возраст группам'!$8:$8</definedName>
    <definedName name="_xlnm.Print_Titles" localSheetId="13">'Именная по возраст группам пар'!$8:$8</definedName>
    <definedName name="_xlnm.Print_Titles" localSheetId="8">'Техническая один зачет'!$19:$20</definedName>
    <definedName name="_xlnm.Print_Titles" localSheetId="16">'Техническая параллельный зачет'!$31:$32</definedName>
    <definedName name="_xlnm.Print_Titles" localSheetId="12">'Техническая по возраст груп пар'!$17:$18</definedName>
    <definedName name="_xlnm.Print_Titles" localSheetId="10">'Техническая по возраст группам'!$19:$20</definedName>
    <definedName name="_xlnm.Print_Area" localSheetId="24">нормы_с_28.02.20!$A$1:$V$109</definedName>
  </definedNames>
  <calcPr calcId="145621"/>
</workbook>
</file>

<file path=xl/calcChain.xml><?xml version="1.0" encoding="utf-8"?>
<calcChain xmlns="http://schemas.openxmlformats.org/spreadsheetml/2006/main">
  <c r="A19" i="26" l="1"/>
  <c r="A20" i="26" s="1"/>
  <c r="A21" i="26" s="1"/>
  <c r="A22" i="26" s="1"/>
  <c r="A23" i="26" s="1"/>
  <c r="A24" i="26" s="1"/>
  <c r="A26" i="26" s="1"/>
  <c r="A28" i="26" s="1"/>
  <c r="A30" i="26" s="1"/>
  <c r="A32" i="26" s="1"/>
  <c r="A34" i="26" s="1"/>
  <c r="A36" i="26" s="1"/>
  <c r="A38" i="26" s="1"/>
  <c r="A40" i="26" s="1"/>
  <c r="A42" i="26" s="1"/>
  <c r="A44" i="26" s="1"/>
  <c r="A46" i="26" s="1"/>
  <c r="A48" i="26" s="1"/>
  <c r="A50" i="26" s="1"/>
  <c r="A52" i="26" s="1"/>
  <c r="A54" i="26" s="1"/>
  <c r="A56" i="26" s="1"/>
  <c r="A58" i="26" s="1"/>
  <c r="A60" i="26" s="1"/>
  <c r="A62" i="26" s="1"/>
  <c r="A64" i="26" s="1"/>
  <c r="A66" i="26" s="1"/>
  <c r="A68" i="26" s="1"/>
  <c r="A70" i="26" s="1"/>
  <c r="B17" i="26"/>
  <c r="C17" i="26" s="1"/>
  <c r="D17" i="26" s="1"/>
  <c r="E17" i="26" s="1"/>
  <c r="F17" i="26" s="1"/>
  <c r="G17" i="26" s="1"/>
  <c r="H17" i="26" s="1"/>
  <c r="I17" i="26" s="1"/>
  <c r="J17" i="26" s="1"/>
  <c r="K17" i="26" s="1"/>
  <c r="L17" i="26" s="1"/>
  <c r="M17" i="26" s="1"/>
  <c r="N17" i="26" s="1"/>
  <c r="O17" i="26" s="1"/>
  <c r="P17" i="26" s="1"/>
  <c r="Q17" i="26" s="1"/>
  <c r="R17" i="26" s="1"/>
  <c r="S17" i="26" s="1"/>
  <c r="T17" i="26" s="1"/>
  <c r="U17" i="26" s="1"/>
  <c r="V17" i="26" s="1"/>
  <c r="A46" i="25"/>
  <c r="A48" i="25" s="1"/>
  <c r="A50" i="25" s="1"/>
  <c r="A52" i="25" s="1"/>
  <c r="A54" i="25" s="1"/>
  <c r="A56" i="25" s="1"/>
  <c r="A58" i="25" s="1"/>
  <c r="A60" i="25" s="1"/>
  <c r="A62" i="25" s="1"/>
  <c r="A64" i="25" s="1"/>
  <c r="A66" i="25" s="1"/>
  <c r="A68" i="25" s="1"/>
  <c r="A70" i="25" s="1"/>
  <c r="A44" i="25"/>
  <c r="A42" i="25"/>
  <c r="A32" i="25"/>
  <c r="A21" i="25"/>
  <c r="A22" i="25" s="1"/>
  <c r="A23" i="25" s="1"/>
  <c r="B17" i="25"/>
  <c r="C17" i="25" s="1"/>
  <c r="D17" i="25" s="1"/>
  <c r="E17" i="25" s="1"/>
  <c r="F17" i="25" s="1"/>
  <c r="G17" i="25" s="1"/>
  <c r="H17" i="25" s="1"/>
  <c r="I17" i="25" s="1"/>
  <c r="J17" i="25" s="1"/>
  <c r="K17" i="25" s="1"/>
  <c r="L17" i="25" s="1"/>
  <c r="M17" i="25" s="1"/>
  <c r="N17" i="25" s="1"/>
  <c r="O17" i="25" s="1"/>
  <c r="P17" i="25" s="1"/>
  <c r="Q17" i="25" s="1"/>
  <c r="R17" i="25" s="1"/>
  <c r="S17" i="25" s="1"/>
  <c r="T17" i="25" s="1"/>
  <c r="U17" i="25" s="1"/>
  <c r="V17" i="25" s="1"/>
  <c r="E33" i="24"/>
  <c r="D32" i="24"/>
  <c r="E29" i="24"/>
  <c r="B28" i="24"/>
  <c r="E20" i="24"/>
  <c r="D19" i="24"/>
  <c r="E16" i="24"/>
  <c r="B15" i="24"/>
  <c r="E7" i="24"/>
  <c r="D6" i="24"/>
  <c r="E3" i="24"/>
  <c r="B2" i="24"/>
  <c r="G22" i="23"/>
  <c r="G23" i="23" s="1"/>
  <c r="G24" i="23" s="1"/>
  <c r="G25" i="23" s="1"/>
  <c r="G26" i="23" s="1"/>
  <c r="E22" i="23"/>
  <c r="E23" i="23" s="1"/>
  <c r="E24" i="23" s="1"/>
  <c r="E25" i="23" s="1"/>
  <c r="E26" i="23" s="1"/>
  <c r="E27" i="23" s="1"/>
  <c r="A22" i="23"/>
  <c r="A23" i="23" s="1"/>
  <c r="A24" i="23" s="1"/>
  <c r="A25" i="23" s="1"/>
  <c r="A26" i="23" s="1"/>
  <c r="A27" i="23" s="1"/>
  <c r="G21" i="23"/>
  <c r="E21" i="23"/>
  <c r="C21" i="23"/>
  <c r="C22" i="23" s="1"/>
  <c r="C23" i="23" s="1"/>
  <c r="C24" i="23" s="1"/>
  <c r="C25" i="23" s="1"/>
  <c r="C26" i="23" s="1"/>
  <c r="A21" i="23"/>
  <c r="E19" i="23"/>
  <c r="A19" i="23"/>
  <c r="E13" i="23"/>
  <c r="E14" i="23" s="1"/>
  <c r="E15" i="23" s="1"/>
  <c r="E16" i="23" s="1"/>
  <c r="E17" i="23" s="1"/>
  <c r="G12" i="23"/>
  <c r="G13" i="23" s="1"/>
  <c r="G14" i="23" s="1"/>
  <c r="G15" i="23" s="1"/>
  <c r="G16" i="23" s="1"/>
  <c r="G17" i="23" s="1"/>
  <c r="E12" i="23"/>
  <c r="C12" i="23"/>
  <c r="C13" i="23" s="1"/>
  <c r="C14" i="23" s="1"/>
  <c r="C15" i="23" s="1"/>
  <c r="C16" i="23" s="1"/>
  <c r="C17" i="23" s="1"/>
  <c r="A12" i="23"/>
  <c r="A13" i="23" s="1"/>
  <c r="A14" i="23" s="1"/>
  <c r="A15" i="23" s="1"/>
  <c r="A16" i="23" s="1"/>
  <c r="A17" i="23" s="1"/>
  <c r="E10" i="23"/>
  <c r="A10" i="23"/>
  <c r="C4" i="23"/>
  <c r="C5" i="23" s="1"/>
  <c r="C6" i="23" s="1"/>
  <c r="C7" i="23" s="1"/>
  <c r="C8" i="23" s="1"/>
  <c r="A4" i="23"/>
  <c r="A5" i="23" s="1"/>
  <c r="A6" i="23" s="1"/>
  <c r="A7" i="23" s="1"/>
  <c r="A8" i="23" s="1"/>
  <c r="A9" i="23" s="1"/>
  <c r="G3" i="23"/>
  <c r="G4" i="23" s="1"/>
  <c r="G5" i="23" s="1"/>
  <c r="G6" i="23" s="1"/>
  <c r="G7" i="23" s="1"/>
  <c r="G8" i="23" s="1"/>
  <c r="E3" i="23"/>
  <c r="E4" i="23" s="1"/>
  <c r="E5" i="23" s="1"/>
  <c r="E6" i="23" s="1"/>
  <c r="E7" i="23" s="1"/>
  <c r="E8" i="23" s="1"/>
  <c r="E9" i="23" s="1"/>
  <c r="C3" i="23"/>
  <c r="A3" i="23"/>
  <c r="G2" i="23"/>
  <c r="C2" i="23"/>
  <c r="E1" i="23"/>
  <c r="I242" i="20"/>
  <c r="H242" i="20"/>
  <c r="I241" i="20"/>
  <c r="H241" i="20"/>
  <c r="I240" i="20"/>
  <c r="H240" i="20"/>
  <c r="I239" i="20"/>
  <c r="H239" i="20"/>
  <c r="I238" i="20"/>
  <c r="H238" i="20"/>
  <c r="I237" i="20"/>
  <c r="H237" i="20"/>
  <c r="I236" i="20"/>
  <c r="H236" i="20"/>
  <c r="I235" i="20"/>
  <c r="H235" i="20"/>
  <c r="I232" i="20"/>
  <c r="H232" i="20"/>
  <c r="I231" i="20"/>
  <c r="H231" i="20"/>
  <c r="I230" i="20"/>
  <c r="H230" i="20"/>
  <c r="I229" i="20"/>
  <c r="H229" i="20"/>
  <c r="I228" i="20"/>
  <c r="H228" i="20"/>
  <c r="I227" i="20"/>
  <c r="H227" i="20"/>
  <c r="I226" i="20"/>
  <c r="H226" i="20"/>
  <c r="I225" i="20"/>
  <c r="H225" i="20"/>
  <c r="I222" i="20"/>
  <c r="H222" i="20"/>
  <c r="I221" i="20"/>
  <c r="H221" i="20"/>
  <c r="I220" i="20"/>
  <c r="H220" i="20"/>
  <c r="I219" i="20"/>
  <c r="H219" i="20"/>
  <c r="I218" i="20"/>
  <c r="H218" i="20"/>
  <c r="I217" i="20"/>
  <c r="H217" i="20"/>
  <c r="I216" i="20"/>
  <c r="H216" i="20"/>
  <c r="I215" i="20"/>
  <c r="H215" i="20"/>
  <c r="I212" i="20"/>
  <c r="H212" i="20"/>
  <c r="I211" i="20"/>
  <c r="H211" i="20"/>
  <c r="I210" i="20"/>
  <c r="H210" i="20"/>
  <c r="I209" i="20"/>
  <c r="H209" i="20"/>
  <c r="I208" i="20"/>
  <c r="H208" i="20"/>
  <c r="I207" i="20"/>
  <c r="H207" i="20"/>
  <c r="I206" i="20"/>
  <c r="H206" i="20"/>
  <c r="I205" i="20"/>
  <c r="H205" i="20"/>
  <c r="I202" i="20"/>
  <c r="H202" i="20"/>
  <c r="I201" i="20"/>
  <c r="H201" i="20"/>
  <c r="I200" i="20"/>
  <c r="H200" i="20"/>
  <c r="I199" i="20"/>
  <c r="H199" i="20"/>
  <c r="I198" i="20"/>
  <c r="H198" i="20"/>
  <c r="I197" i="20"/>
  <c r="H197" i="20"/>
  <c r="I196" i="20"/>
  <c r="H196" i="20"/>
  <c r="I195" i="20"/>
  <c r="H195" i="20"/>
  <c r="I192" i="20"/>
  <c r="H192" i="20"/>
  <c r="I191" i="20"/>
  <c r="H191" i="20"/>
  <c r="I190" i="20"/>
  <c r="H190" i="20"/>
  <c r="I189" i="20"/>
  <c r="H189" i="20"/>
  <c r="I188" i="20"/>
  <c r="H188" i="20"/>
  <c r="I187" i="20"/>
  <c r="H187" i="20"/>
  <c r="I186" i="20"/>
  <c r="H186" i="20"/>
  <c r="I185" i="20"/>
  <c r="H185" i="20"/>
  <c r="I182" i="20"/>
  <c r="H182" i="20"/>
  <c r="I181" i="20"/>
  <c r="H181" i="20"/>
  <c r="I180" i="20"/>
  <c r="H180" i="20"/>
  <c r="I179" i="20"/>
  <c r="H179" i="20"/>
  <c r="I176" i="20"/>
  <c r="H176" i="20"/>
  <c r="I175" i="20"/>
  <c r="H175" i="20"/>
  <c r="I174" i="20"/>
  <c r="H174" i="20"/>
  <c r="I173" i="20"/>
  <c r="H173" i="20"/>
  <c r="I170" i="20"/>
  <c r="H170" i="20"/>
  <c r="I169" i="20"/>
  <c r="H169" i="20"/>
  <c r="I168" i="20"/>
  <c r="H168" i="20"/>
  <c r="I167" i="20"/>
  <c r="H167" i="20"/>
  <c r="I164" i="20"/>
  <c r="H164" i="20"/>
  <c r="I163" i="20"/>
  <c r="H163" i="20"/>
  <c r="I162" i="20"/>
  <c r="H162" i="20"/>
  <c r="I161" i="20"/>
  <c r="H161" i="20"/>
  <c r="I158" i="20"/>
  <c r="H158" i="20"/>
  <c r="I157" i="20"/>
  <c r="H157" i="20"/>
  <c r="I156" i="20"/>
  <c r="H156" i="20"/>
  <c r="I155" i="20"/>
  <c r="H155" i="20"/>
  <c r="I152" i="20"/>
  <c r="H152" i="20"/>
  <c r="I151" i="20"/>
  <c r="H151" i="20"/>
  <c r="I150" i="20"/>
  <c r="H150" i="20"/>
  <c r="I149" i="20"/>
  <c r="H149" i="20"/>
  <c r="I146" i="20"/>
  <c r="H146" i="20"/>
  <c r="I145" i="20"/>
  <c r="H145" i="20"/>
  <c r="I144" i="20"/>
  <c r="H144" i="20"/>
  <c r="I143" i="20"/>
  <c r="H143" i="20"/>
  <c r="I140" i="20"/>
  <c r="H140" i="20"/>
  <c r="I139" i="20"/>
  <c r="H139" i="20"/>
  <c r="I138" i="20"/>
  <c r="H138" i="20"/>
  <c r="I137" i="20"/>
  <c r="H137" i="20"/>
  <c r="I134" i="20"/>
  <c r="H134" i="20"/>
  <c r="I133" i="20"/>
  <c r="H133" i="20"/>
  <c r="I132" i="20"/>
  <c r="H132" i="20"/>
  <c r="I131" i="20"/>
  <c r="H131" i="20"/>
  <c r="I128" i="20"/>
  <c r="H128" i="20"/>
  <c r="I127" i="20"/>
  <c r="H127" i="20"/>
  <c r="I126" i="20"/>
  <c r="H126" i="20"/>
  <c r="I125" i="20"/>
  <c r="H125" i="20"/>
  <c r="I122" i="20"/>
  <c r="H122" i="20"/>
  <c r="I121" i="20"/>
  <c r="H121" i="20"/>
  <c r="I120" i="20"/>
  <c r="H120" i="20"/>
  <c r="I119" i="20"/>
  <c r="H119" i="20"/>
  <c r="I116" i="20"/>
  <c r="H116" i="20"/>
  <c r="I115" i="20"/>
  <c r="H115" i="20"/>
  <c r="I114" i="20"/>
  <c r="H114" i="20"/>
  <c r="I113" i="20"/>
  <c r="H113" i="20"/>
  <c r="I110" i="20"/>
  <c r="H110" i="20"/>
  <c r="I109" i="20"/>
  <c r="H109" i="20"/>
  <c r="I108" i="20"/>
  <c r="H108" i="20"/>
  <c r="I107" i="20"/>
  <c r="H107" i="20"/>
  <c r="I104" i="20"/>
  <c r="H104" i="20"/>
  <c r="I103" i="20"/>
  <c r="H103" i="20"/>
  <c r="I102" i="20"/>
  <c r="H102" i="20"/>
  <c r="I101" i="20"/>
  <c r="H101" i="20"/>
  <c r="I98" i="20"/>
  <c r="H98" i="20"/>
  <c r="I97" i="20"/>
  <c r="H97" i="20"/>
  <c r="I96" i="20"/>
  <c r="H96" i="20"/>
  <c r="I95" i="20"/>
  <c r="H95" i="20"/>
  <c r="I92" i="20"/>
  <c r="H92" i="20"/>
  <c r="I91" i="20"/>
  <c r="H91" i="20"/>
  <c r="I90" i="20"/>
  <c r="H90" i="20"/>
  <c r="I89" i="20"/>
  <c r="H89" i="20"/>
  <c r="I86" i="20"/>
  <c r="H86" i="20"/>
  <c r="I85" i="20"/>
  <c r="H85" i="20"/>
  <c r="I84" i="20"/>
  <c r="H84" i="20"/>
  <c r="I83" i="20"/>
  <c r="H83" i="20"/>
  <c r="I80" i="20"/>
  <c r="H80" i="20"/>
  <c r="I79" i="20"/>
  <c r="H79" i="20"/>
  <c r="I78" i="20"/>
  <c r="H78" i="20"/>
  <c r="I77" i="20"/>
  <c r="H77" i="20"/>
  <c r="I74" i="20"/>
  <c r="H74" i="20"/>
  <c r="I73" i="20"/>
  <c r="H73" i="20"/>
  <c r="I72" i="20"/>
  <c r="H72" i="20"/>
  <c r="I71" i="20"/>
  <c r="H71" i="20"/>
  <c r="I68" i="20"/>
  <c r="H68" i="20"/>
  <c r="I67" i="20"/>
  <c r="H67" i="20"/>
  <c r="I66" i="20"/>
  <c r="H66" i="20"/>
  <c r="I65" i="20"/>
  <c r="H65" i="20"/>
  <c r="I62" i="20"/>
  <c r="H62" i="20"/>
  <c r="I61" i="20"/>
  <c r="H61" i="20"/>
  <c r="I60" i="20"/>
  <c r="H60" i="20"/>
  <c r="I59" i="20"/>
  <c r="H59" i="20"/>
  <c r="I56" i="20"/>
  <c r="H56" i="20"/>
  <c r="I55" i="20"/>
  <c r="H55" i="20"/>
  <c r="I54" i="20"/>
  <c r="H54" i="20"/>
  <c r="I53" i="20"/>
  <c r="H53" i="20"/>
  <c r="I50" i="20"/>
  <c r="H50" i="20"/>
  <c r="I49" i="20"/>
  <c r="H49" i="20"/>
  <c r="I48" i="20"/>
  <c r="H48" i="20"/>
  <c r="I47" i="20"/>
  <c r="H47" i="20"/>
  <c r="I44" i="20"/>
  <c r="H44" i="20"/>
  <c r="I43" i="20"/>
  <c r="H43" i="20"/>
  <c r="I42" i="20"/>
  <c r="H42" i="20"/>
  <c r="I41" i="20"/>
  <c r="H41" i="20"/>
  <c r="I38" i="20"/>
  <c r="H38" i="20"/>
  <c r="I37" i="20"/>
  <c r="H37" i="20"/>
  <c r="I36" i="20"/>
  <c r="H36" i="20"/>
  <c r="I35" i="20"/>
  <c r="H35" i="20"/>
  <c r="I32" i="20"/>
  <c r="H32" i="20"/>
  <c r="I31" i="20"/>
  <c r="H31" i="20"/>
  <c r="I30" i="20"/>
  <c r="H30" i="20"/>
  <c r="I29" i="20"/>
  <c r="H29" i="20"/>
  <c r="I26" i="20"/>
  <c r="H26" i="20"/>
  <c r="I25" i="20"/>
  <c r="H25" i="20"/>
  <c r="I24" i="20"/>
  <c r="H24" i="20"/>
  <c r="I23" i="20"/>
  <c r="H23" i="20"/>
  <c r="I20" i="20"/>
  <c r="H20" i="20"/>
  <c r="I19" i="20"/>
  <c r="H19" i="20"/>
  <c r="I18" i="20"/>
  <c r="H18" i="20"/>
  <c r="I17" i="20"/>
  <c r="H17" i="20"/>
  <c r="I14" i="20"/>
  <c r="H14" i="20"/>
  <c r="I13" i="20"/>
  <c r="H13" i="20"/>
  <c r="I12" i="20"/>
  <c r="H12" i="20"/>
  <c r="I11" i="20"/>
  <c r="H11" i="20"/>
  <c r="I8" i="20"/>
  <c r="H8" i="20"/>
  <c r="I7" i="20"/>
  <c r="H7" i="20"/>
  <c r="I6" i="20"/>
  <c r="H6" i="20"/>
  <c r="I5" i="20"/>
  <c r="H5" i="20"/>
  <c r="H1" i="20"/>
  <c r="K320" i="18"/>
  <c r="K317" i="18"/>
  <c r="L230" i="18"/>
  <c r="B230" i="18"/>
  <c r="N230" i="18" s="1"/>
  <c r="L229" i="18"/>
  <c r="B229" i="18"/>
  <c r="N229" i="18" s="1"/>
  <c r="L228" i="18"/>
  <c r="B228" i="18"/>
  <c r="N228" i="18" s="1"/>
  <c r="L227" i="18"/>
  <c r="B227" i="18"/>
  <c r="N227" i="18" s="1"/>
  <c r="L226" i="18"/>
  <c r="B226" i="18"/>
  <c r="N226" i="18" s="1"/>
  <c r="L225" i="18"/>
  <c r="B225" i="18"/>
  <c r="N225" i="18" s="1"/>
  <c r="L224" i="18"/>
  <c r="B224" i="18"/>
  <c r="N224" i="18" s="1"/>
  <c r="L223" i="18"/>
  <c r="B223" i="18"/>
  <c r="N223" i="18" s="1"/>
  <c r="L222" i="18"/>
  <c r="B222" i="18"/>
  <c r="N222" i="18" s="1"/>
  <c r="L221" i="18"/>
  <c r="B221" i="18"/>
  <c r="N221" i="18" s="1"/>
  <c r="L220" i="18"/>
  <c r="B220" i="18"/>
  <c r="N220" i="18" s="1"/>
  <c r="L219" i="18"/>
  <c r="B219" i="18"/>
  <c r="N219" i="18" s="1"/>
  <c r="L218" i="18"/>
  <c r="B218" i="18"/>
  <c r="N218" i="18" s="1"/>
  <c r="L217" i="18"/>
  <c r="B217" i="18"/>
  <c r="N217" i="18" s="1"/>
  <c r="L216" i="18"/>
  <c r="B216" i="18"/>
  <c r="N216" i="18" s="1"/>
  <c r="L215" i="18"/>
  <c r="B215" i="18"/>
  <c r="N215" i="18" s="1"/>
  <c r="L214" i="18"/>
  <c r="B214" i="18"/>
  <c r="N214" i="18" s="1"/>
  <c r="L213" i="18"/>
  <c r="B213" i="18"/>
  <c r="N213" i="18" s="1"/>
  <c r="L212" i="18"/>
  <c r="B212" i="18"/>
  <c r="N212" i="18" s="1"/>
  <c r="L211" i="18"/>
  <c r="B211" i="18"/>
  <c r="N211" i="18" s="1"/>
  <c r="L210" i="18"/>
  <c r="B210" i="18"/>
  <c r="N210" i="18" s="1"/>
  <c r="L209" i="18"/>
  <c r="B209" i="18"/>
  <c r="N209" i="18" s="1"/>
  <c r="L208" i="18"/>
  <c r="B208" i="18"/>
  <c r="N208" i="18" s="1"/>
  <c r="L207" i="18"/>
  <c r="B207" i="18"/>
  <c r="N207" i="18" s="1"/>
  <c r="L206" i="18"/>
  <c r="B206" i="18"/>
  <c r="N206" i="18" s="1"/>
  <c r="L205" i="18"/>
  <c r="B205" i="18"/>
  <c r="N205" i="18" s="1"/>
  <c r="L204" i="18"/>
  <c r="B204" i="18"/>
  <c r="N204" i="18" s="1"/>
  <c r="I131" i="18"/>
  <c r="D131" i="18"/>
  <c r="O130" i="18"/>
  <c r="L130" i="18"/>
  <c r="I130" i="18"/>
  <c r="F130" i="18"/>
  <c r="D130" i="18"/>
  <c r="I116" i="18"/>
  <c r="G116" i="18"/>
  <c r="O116" i="18" s="1"/>
  <c r="I115" i="18"/>
  <c r="G115" i="18"/>
  <c r="O115" i="18" s="1"/>
  <c r="O114" i="18"/>
  <c r="I114" i="18"/>
  <c r="G114" i="18"/>
  <c r="I113" i="18"/>
  <c r="G113" i="18"/>
  <c r="O113" i="18" s="1"/>
  <c r="I112" i="18"/>
  <c r="G112" i="18"/>
  <c r="O112" i="18" s="1"/>
  <c r="I111" i="18"/>
  <c r="G111" i="18"/>
  <c r="O111" i="18" s="1"/>
  <c r="O110" i="18"/>
  <c r="I110" i="18"/>
  <c r="G110" i="18"/>
  <c r="I109" i="18"/>
  <c r="G109" i="18"/>
  <c r="O109" i="18" s="1"/>
  <c r="J103" i="18"/>
  <c r="L103" i="18" s="1"/>
  <c r="B103" i="18"/>
  <c r="K103" i="18" s="1"/>
  <c r="A103" i="18"/>
  <c r="K102" i="18"/>
  <c r="B102" i="18"/>
  <c r="J102" i="18" s="1"/>
  <c r="L102" i="18" s="1"/>
  <c r="A102" i="18"/>
  <c r="J101" i="18"/>
  <c r="B101" i="18"/>
  <c r="K101" i="18" s="1"/>
  <c r="L101" i="18" s="1"/>
  <c r="A101" i="18"/>
  <c r="B100" i="18"/>
  <c r="A100" i="18"/>
  <c r="J99" i="18"/>
  <c r="B99" i="18"/>
  <c r="K99" i="18" s="1"/>
  <c r="A99" i="18"/>
  <c r="K98" i="18"/>
  <c r="B98" i="18"/>
  <c r="J98" i="18" s="1"/>
  <c r="L98" i="18" s="1"/>
  <c r="A98" i="18"/>
  <c r="L97" i="18"/>
  <c r="K97" i="18"/>
  <c r="J97" i="18"/>
  <c r="B97" i="18"/>
  <c r="A97" i="18"/>
  <c r="B96" i="18"/>
  <c r="K96" i="18" s="1"/>
  <c r="A96" i="18"/>
  <c r="J95" i="18"/>
  <c r="B95" i="18"/>
  <c r="K95" i="18" s="1"/>
  <c r="A95" i="18"/>
  <c r="K94" i="18"/>
  <c r="B94" i="18"/>
  <c r="J94" i="18" s="1"/>
  <c r="L94" i="18" s="1"/>
  <c r="A94" i="18"/>
  <c r="L93" i="18"/>
  <c r="J93" i="18"/>
  <c r="B93" i="18"/>
  <c r="K93" i="18" s="1"/>
  <c r="A93" i="18"/>
  <c r="B92" i="18"/>
  <c r="A92" i="18"/>
  <c r="J91" i="18"/>
  <c r="B91" i="18"/>
  <c r="K91" i="18" s="1"/>
  <c r="A91" i="18"/>
  <c r="K90" i="18"/>
  <c r="B90" i="18"/>
  <c r="J90" i="18" s="1"/>
  <c r="A90" i="18"/>
  <c r="L89" i="18"/>
  <c r="K89" i="18"/>
  <c r="J89" i="18"/>
  <c r="B89" i="18"/>
  <c r="A89" i="18"/>
  <c r="J88" i="18"/>
  <c r="O88" i="18" s="1"/>
  <c r="B88" i="18"/>
  <c r="K88" i="18" s="1"/>
  <c r="A88" i="18"/>
  <c r="L87" i="18"/>
  <c r="J87" i="18"/>
  <c r="B87" i="18"/>
  <c r="K87" i="18" s="1"/>
  <c r="A87" i="18"/>
  <c r="J86" i="18"/>
  <c r="B86" i="18"/>
  <c r="K86" i="18" s="1"/>
  <c r="A86" i="18"/>
  <c r="L85" i="18"/>
  <c r="K85" i="18"/>
  <c r="J85" i="18"/>
  <c r="O85" i="18" s="1"/>
  <c r="B85" i="18"/>
  <c r="A85" i="18"/>
  <c r="J84" i="18"/>
  <c r="B84" i="18"/>
  <c r="K84" i="18" s="1"/>
  <c r="A84" i="18"/>
  <c r="L83" i="18"/>
  <c r="J83" i="18"/>
  <c r="O83" i="18" s="1"/>
  <c r="B83" i="18"/>
  <c r="K83" i="18" s="1"/>
  <c r="A83" i="18"/>
  <c r="J82" i="18"/>
  <c r="B82" i="18"/>
  <c r="K82" i="18" s="1"/>
  <c r="A82" i="18"/>
  <c r="L81" i="18"/>
  <c r="K81" i="18"/>
  <c r="J81" i="18"/>
  <c r="O81" i="18" s="1"/>
  <c r="B81" i="18"/>
  <c r="A81" i="18"/>
  <c r="J80" i="18"/>
  <c r="B80" i="18"/>
  <c r="K80" i="18" s="1"/>
  <c r="A80" i="18"/>
  <c r="J79" i="18"/>
  <c r="B79" i="18"/>
  <c r="K79" i="18" s="1"/>
  <c r="L79" i="18" s="1"/>
  <c r="A79" i="18"/>
  <c r="J78" i="18"/>
  <c r="B78" i="18"/>
  <c r="K78" i="18" s="1"/>
  <c r="A78" i="18"/>
  <c r="L77" i="18"/>
  <c r="K77" i="18"/>
  <c r="J77" i="18"/>
  <c r="O77" i="18" s="1"/>
  <c r="B77" i="18"/>
  <c r="A77" i="18"/>
  <c r="O70" i="18"/>
  <c r="M70" i="18"/>
  <c r="K70" i="18"/>
  <c r="G69" i="18"/>
  <c r="A71" i="18" s="1"/>
  <c r="G67" i="18"/>
  <c r="L66" i="18"/>
  <c r="E66" i="18" s="1"/>
  <c r="H64" i="18" s="1"/>
  <c r="I66" i="18"/>
  <c r="I62" i="18"/>
  <c r="I60" i="18"/>
  <c r="A53" i="18"/>
  <c r="F58" i="18" s="1"/>
  <c r="A52" i="18"/>
  <c r="A21" i="18"/>
  <c r="I55" i="18" s="1"/>
  <c r="A19" i="18"/>
  <c r="A3" i="18"/>
  <c r="A2" i="18"/>
  <c r="A1" i="18"/>
  <c r="N84" i="17"/>
  <c r="M84" i="17"/>
  <c r="L84" i="17"/>
  <c r="K84" i="17"/>
  <c r="N83" i="17"/>
  <c r="M83" i="17"/>
  <c r="L83" i="17"/>
  <c r="K83" i="17"/>
  <c r="P82" i="17"/>
  <c r="L82" i="17" s="1"/>
  <c r="O82" i="17"/>
  <c r="K82" i="17" s="1"/>
  <c r="N82" i="17"/>
  <c r="J82" i="17" s="1"/>
  <c r="M82" i="17"/>
  <c r="I82" i="17" s="1"/>
  <c r="F82" i="17"/>
  <c r="DJ82" i="17" s="1"/>
  <c r="DJ81" i="17"/>
  <c r="P81" i="17"/>
  <c r="O81" i="17"/>
  <c r="N81" i="17"/>
  <c r="J81" i="17" s="1"/>
  <c r="M81" i="17"/>
  <c r="I81" i="17" s="1"/>
  <c r="L81" i="17"/>
  <c r="K81" i="17"/>
  <c r="F81" i="17"/>
  <c r="DI81" i="17" s="1"/>
  <c r="DJ80" i="17"/>
  <c r="DI80" i="17"/>
  <c r="DH80" i="17"/>
  <c r="P80" i="17"/>
  <c r="O80" i="17"/>
  <c r="N80" i="17"/>
  <c r="J80" i="17" s="1"/>
  <c r="M80" i="17"/>
  <c r="L80" i="17"/>
  <c r="K80" i="17"/>
  <c r="I80" i="17"/>
  <c r="F80" i="17"/>
  <c r="P79" i="17"/>
  <c r="L79" i="17" s="1"/>
  <c r="O79" i="17"/>
  <c r="N79" i="17"/>
  <c r="M79" i="17"/>
  <c r="F79" i="17"/>
  <c r="P78" i="17"/>
  <c r="L78" i="17" s="1"/>
  <c r="O78" i="17"/>
  <c r="K78" i="17" s="1"/>
  <c r="N78" i="17"/>
  <c r="J78" i="17" s="1"/>
  <c r="M78" i="17"/>
  <c r="I78" i="17" s="1"/>
  <c r="F78" i="17"/>
  <c r="DJ78" i="17" s="1"/>
  <c r="DJ77" i="17"/>
  <c r="P77" i="17"/>
  <c r="O77" i="17"/>
  <c r="N77" i="17"/>
  <c r="J77" i="17" s="1"/>
  <c r="M77" i="17"/>
  <c r="I77" i="17" s="1"/>
  <c r="L77" i="17"/>
  <c r="K77" i="17"/>
  <c r="F77" i="17"/>
  <c r="DI77" i="17" s="1"/>
  <c r="DJ76" i="17"/>
  <c r="DI76" i="17"/>
  <c r="DH76" i="17"/>
  <c r="P76" i="17"/>
  <c r="O76" i="17"/>
  <c r="N76" i="17"/>
  <c r="J76" i="17" s="1"/>
  <c r="M76" i="17"/>
  <c r="L76" i="17"/>
  <c r="K76" i="17"/>
  <c r="I76" i="17"/>
  <c r="F76" i="17"/>
  <c r="P75" i="17"/>
  <c r="L75" i="17" s="1"/>
  <c r="O75" i="17"/>
  <c r="N75" i="17"/>
  <c r="J75" i="17" s="1"/>
  <c r="M75" i="17"/>
  <c r="F75" i="17"/>
  <c r="P74" i="17"/>
  <c r="L74" i="17" s="1"/>
  <c r="O74" i="17"/>
  <c r="K74" i="17" s="1"/>
  <c r="N74" i="17"/>
  <c r="J74" i="17" s="1"/>
  <c r="M74" i="17"/>
  <c r="I74" i="17" s="1"/>
  <c r="F74" i="17"/>
  <c r="DJ74" i="17" s="1"/>
  <c r="DJ73" i="17"/>
  <c r="P73" i="17"/>
  <c r="O73" i="17"/>
  <c r="N73" i="17"/>
  <c r="J73" i="17" s="1"/>
  <c r="M73" i="17"/>
  <c r="I73" i="17" s="1"/>
  <c r="L73" i="17"/>
  <c r="K73" i="17"/>
  <c r="F73" i="17"/>
  <c r="DI73" i="17" s="1"/>
  <c r="DJ72" i="17"/>
  <c r="DI72" i="17"/>
  <c r="DH72" i="17"/>
  <c r="P72" i="17"/>
  <c r="O72" i="17"/>
  <c r="N72" i="17"/>
  <c r="J72" i="17" s="1"/>
  <c r="M72" i="17"/>
  <c r="L72" i="17"/>
  <c r="K72" i="17"/>
  <c r="I72" i="17"/>
  <c r="F72" i="17"/>
  <c r="P71" i="17"/>
  <c r="L71" i="17" s="1"/>
  <c r="O71" i="17"/>
  <c r="N71" i="17"/>
  <c r="M71" i="17"/>
  <c r="F71" i="17"/>
  <c r="P70" i="17"/>
  <c r="L70" i="17" s="1"/>
  <c r="O70" i="17"/>
  <c r="K70" i="17" s="1"/>
  <c r="N70" i="17"/>
  <c r="J70" i="17" s="1"/>
  <c r="M70" i="17"/>
  <c r="I70" i="17" s="1"/>
  <c r="F70" i="17"/>
  <c r="DJ70" i="17" s="1"/>
  <c r="DJ69" i="17"/>
  <c r="P69" i="17"/>
  <c r="O69" i="17"/>
  <c r="N69" i="17"/>
  <c r="J69" i="17" s="1"/>
  <c r="M69" i="17"/>
  <c r="I69" i="17" s="1"/>
  <c r="L69" i="17"/>
  <c r="K69" i="17"/>
  <c r="F69" i="17"/>
  <c r="DI69" i="17" s="1"/>
  <c r="DJ68" i="17"/>
  <c r="DI68" i="17"/>
  <c r="DH68" i="17"/>
  <c r="P68" i="17"/>
  <c r="O68" i="17"/>
  <c r="N68" i="17"/>
  <c r="J68" i="17" s="1"/>
  <c r="M68" i="17"/>
  <c r="L68" i="17"/>
  <c r="K68" i="17"/>
  <c r="I68" i="17"/>
  <c r="F68" i="17"/>
  <c r="P67" i="17"/>
  <c r="L67" i="17" s="1"/>
  <c r="O67" i="17"/>
  <c r="N67" i="17"/>
  <c r="M67" i="17"/>
  <c r="F67" i="17"/>
  <c r="P66" i="17"/>
  <c r="L66" i="17" s="1"/>
  <c r="O66" i="17"/>
  <c r="K66" i="17" s="1"/>
  <c r="N66" i="17"/>
  <c r="J66" i="17" s="1"/>
  <c r="M66" i="17"/>
  <c r="I66" i="17" s="1"/>
  <c r="F66" i="17"/>
  <c r="P65" i="17"/>
  <c r="O65" i="17"/>
  <c r="N65" i="17"/>
  <c r="J65" i="17" s="1"/>
  <c r="M65" i="17"/>
  <c r="I65" i="17" s="1"/>
  <c r="L65" i="17"/>
  <c r="K65" i="17"/>
  <c r="F65" i="17"/>
  <c r="DJ64" i="17"/>
  <c r="DI64" i="17"/>
  <c r="DH64" i="17"/>
  <c r="P64" i="17"/>
  <c r="O64" i="17"/>
  <c r="N64" i="17"/>
  <c r="J64" i="17" s="1"/>
  <c r="M64" i="17"/>
  <c r="I64" i="17" s="1"/>
  <c r="L64" i="17"/>
  <c r="K64" i="17"/>
  <c r="F64" i="17"/>
  <c r="DJ63" i="17"/>
  <c r="DH63" i="17"/>
  <c r="P63" i="17"/>
  <c r="O63" i="17"/>
  <c r="N63" i="17"/>
  <c r="M63" i="17"/>
  <c r="L63" i="17"/>
  <c r="K63" i="17"/>
  <c r="I63" i="17"/>
  <c r="F63" i="17"/>
  <c r="DI63" i="17" s="1"/>
  <c r="P62" i="17"/>
  <c r="L62" i="17" s="1"/>
  <c r="O62" i="17"/>
  <c r="K62" i="17" s="1"/>
  <c r="N62" i="17"/>
  <c r="J62" i="17" s="1"/>
  <c r="M62" i="17"/>
  <c r="F62" i="17"/>
  <c r="DJ62" i="17" s="1"/>
  <c r="P61" i="17"/>
  <c r="L61" i="17" s="1"/>
  <c r="O61" i="17"/>
  <c r="K61" i="17" s="1"/>
  <c r="N61" i="17"/>
  <c r="M61" i="17"/>
  <c r="F61" i="17"/>
  <c r="DJ60" i="17"/>
  <c r="DI60" i="17"/>
  <c r="DH60" i="17"/>
  <c r="P60" i="17"/>
  <c r="O60" i="17"/>
  <c r="N60" i="17"/>
  <c r="M60" i="17"/>
  <c r="L60" i="17"/>
  <c r="K60" i="17"/>
  <c r="J60" i="17"/>
  <c r="I60" i="17"/>
  <c r="F60" i="17"/>
  <c r="P59" i="17"/>
  <c r="O59" i="17"/>
  <c r="N59" i="17"/>
  <c r="J59" i="17" s="1"/>
  <c r="M59" i="17"/>
  <c r="L59" i="17"/>
  <c r="F59" i="17"/>
  <c r="DI59" i="17" s="1"/>
  <c r="P58" i="17"/>
  <c r="O58" i="17"/>
  <c r="K58" i="17" s="1"/>
  <c r="N58" i="17"/>
  <c r="J58" i="17" s="1"/>
  <c r="M58" i="17"/>
  <c r="I58" i="17" s="1"/>
  <c r="F58" i="17"/>
  <c r="DJ58" i="17" s="1"/>
  <c r="A58" i="17"/>
  <c r="P57" i="17"/>
  <c r="L57" i="17" s="1"/>
  <c r="O57" i="17"/>
  <c r="N57" i="17"/>
  <c r="M57" i="17"/>
  <c r="K57" i="17"/>
  <c r="F57" i="17"/>
  <c r="DJ56" i="17"/>
  <c r="DI56" i="17"/>
  <c r="DH56" i="17"/>
  <c r="P56" i="17"/>
  <c r="K56" i="17" s="1"/>
  <c r="O56" i="17"/>
  <c r="N56" i="17"/>
  <c r="M56" i="17"/>
  <c r="I56" i="17" s="1"/>
  <c r="L56" i="17"/>
  <c r="J56" i="17"/>
  <c r="F56" i="17"/>
  <c r="P55" i="17"/>
  <c r="L55" i="17" s="1"/>
  <c r="O55" i="17"/>
  <c r="K55" i="17" s="1"/>
  <c r="N55" i="17"/>
  <c r="J55" i="17" s="1"/>
  <c r="M55" i="17"/>
  <c r="I55" i="17" s="1"/>
  <c r="F55" i="17"/>
  <c r="DH55" i="17" s="1"/>
  <c r="DJ54" i="17"/>
  <c r="P54" i="17"/>
  <c r="O54" i="17"/>
  <c r="N54" i="17"/>
  <c r="M54" i="17"/>
  <c r="L54" i="17"/>
  <c r="K54" i="17"/>
  <c r="J54" i="17"/>
  <c r="F54" i="17"/>
  <c r="DH54" i="17" s="1"/>
  <c r="P53" i="17"/>
  <c r="O53" i="17"/>
  <c r="N53" i="17"/>
  <c r="M53" i="17"/>
  <c r="L53" i="17"/>
  <c r="F53" i="17"/>
  <c r="DI52" i="17"/>
  <c r="DH52" i="17"/>
  <c r="P52" i="17"/>
  <c r="I52" i="17" s="1"/>
  <c r="O52" i="17"/>
  <c r="N52" i="17"/>
  <c r="M52" i="17"/>
  <c r="K52" i="17"/>
  <c r="J52" i="17"/>
  <c r="F52" i="17"/>
  <c r="DJ52" i="17" s="1"/>
  <c r="P51" i="17"/>
  <c r="L51" i="17" s="1"/>
  <c r="O51" i="17"/>
  <c r="N51" i="17"/>
  <c r="J51" i="17" s="1"/>
  <c r="M51" i="17"/>
  <c r="I51" i="17" s="1"/>
  <c r="F51" i="17"/>
  <c r="DJ50" i="17"/>
  <c r="DI50" i="17"/>
  <c r="DH50" i="17"/>
  <c r="P50" i="17"/>
  <c r="O50" i="17"/>
  <c r="N50" i="17"/>
  <c r="M50" i="17"/>
  <c r="I50" i="17" s="1"/>
  <c r="L50" i="17"/>
  <c r="K50" i="17"/>
  <c r="J50" i="17"/>
  <c r="F50" i="17"/>
  <c r="DI49" i="17"/>
  <c r="DH49" i="17"/>
  <c r="P49" i="17"/>
  <c r="L49" i="17" s="1"/>
  <c r="O49" i="17"/>
  <c r="K49" i="17" s="1"/>
  <c r="N49" i="17"/>
  <c r="M49" i="17"/>
  <c r="J49" i="17"/>
  <c r="I49" i="17"/>
  <c r="F49" i="17"/>
  <c r="DJ49" i="17" s="1"/>
  <c r="P48" i="17"/>
  <c r="O48" i="17"/>
  <c r="K48" i="17" s="1"/>
  <c r="N48" i="17"/>
  <c r="M48" i="17"/>
  <c r="L48" i="17"/>
  <c r="F48" i="17"/>
  <c r="DJ47" i="17"/>
  <c r="DI47" i="17"/>
  <c r="DH47" i="17"/>
  <c r="P47" i="17"/>
  <c r="O47" i="17"/>
  <c r="N47" i="17"/>
  <c r="M47" i="17"/>
  <c r="L47" i="17"/>
  <c r="K47" i="17"/>
  <c r="J47" i="17"/>
  <c r="I47" i="17"/>
  <c r="F47" i="17"/>
  <c r="DH46" i="17"/>
  <c r="P46" i="17"/>
  <c r="L46" i="17" s="1"/>
  <c r="O46" i="17"/>
  <c r="N46" i="17"/>
  <c r="M46" i="17"/>
  <c r="F46" i="17"/>
  <c r="DJ46" i="17" s="1"/>
  <c r="DJ45" i="17"/>
  <c r="DI45" i="17"/>
  <c r="P45" i="17"/>
  <c r="O45" i="17"/>
  <c r="N45" i="17"/>
  <c r="J45" i="17" s="1"/>
  <c r="M45" i="17"/>
  <c r="L45" i="17"/>
  <c r="K45" i="17"/>
  <c r="F45" i="17"/>
  <c r="DH45" i="17" s="1"/>
  <c r="DJ44" i="17"/>
  <c r="DI44" i="17"/>
  <c r="DH44" i="17"/>
  <c r="P44" i="17"/>
  <c r="I44" i="17" s="1"/>
  <c r="O44" i="17"/>
  <c r="N44" i="17"/>
  <c r="M44" i="17"/>
  <c r="K44" i="17"/>
  <c r="J44" i="17"/>
  <c r="F44" i="17"/>
  <c r="P43" i="17"/>
  <c r="L43" i="17" s="1"/>
  <c r="O43" i="17"/>
  <c r="K43" i="17" s="1"/>
  <c r="N43" i="17"/>
  <c r="M43" i="17"/>
  <c r="F43" i="17"/>
  <c r="DJ42" i="17"/>
  <c r="DI42" i="17"/>
  <c r="P42" i="17"/>
  <c r="O42" i="17"/>
  <c r="N42" i="17"/>
  <c r="M42" i="17"/>
  <c r="I42" i="17" s="1"/>
  <c r="L42" i="17"/>
  <c r="K42" i="17"/>
  <c r="J42" i="17"/>
  <c r="F42" i="17"/>
  <c r="DH42" i="17" s="1"/>
  <c r="DI41" i="17"/>
  <c r="DH41" i="17"/>
  <c r="P41" i="17"/>
  <c r="L41" i="17" s="1"/>
  <c r="O41" i="17"/>
  <c r="K41" i="17" s="1"/>
  <c r="N41" i="17"/>
  <c r="M41" i="17"/>
  <c r="J41" i="17"/>
  <c r="I41" i="17"/>
  <c r="F41" i="17"/>
  <c r="DJ41" i="17" s="1"/>
  <c r="P40" i="17"/>
  <c r="O40" i="17"/>
  <c r="K40" i="17" s="1"/>
  <c r="N40" i="17"/>
  <c r="J40" i="17" s="1"/>
  <c r="M40" i="17"/>
  <c r="L40" i="17"/>
  <c r="F40" i="17"/>
  <c r="DJ39" i="17"/>
  <c r="DI39" i="17"/>
  <c r="DH39" i="17"/>
  <c r="P39" i="17"/>
  <c r="O39" i="17"/>
  <c r="N39" i="17"/>
  <c r="M39" i="17"/>
  <c r="L39" i="17"/>
  <c r="K39" i="17"/>
  <c r="J39" i="17"/>
  <c r="I39" i="17"/>
  <c r="F39" i="17"/>
  <c r="DH38" i="17"/>
  <c r="P38" i="17"/>
  <c r="L38" i="17" s="1"/>
  <c r="O38" i="17"/>
  <c r="N38" i="17"/>
  <c r="M38" i="17"/>
  <c r="F38" i="17"/>
  <c r="DJ38" i="17" s="1"/>
  <c r="DJ37" i="17"/>
  <c r="DI37" i="17"/>
  <c r="P37" i="17"/>
  <c r="O37" i="17"/>
  <c r="N37" i="17"/>
  <c r="J37" i="17" s="1"/>
  <c r="M37" i="17"/>
  <c r="I37" i="17" s="1"/>
  <c r="L37" i="17"/>
  <c r="K37" i="17"/>
  <c r="F37" i="17"/>
  <c r="DH37" i="17" s="1"/>
  <c r="DJ36" i="17"/>
  <c r="DI36" i="17"/>
  <c r="DH36" i="17"/>
  <c r="P36" i="17"/>
  <c r="I36" i="17" s="1"/>
  <c r="O36" i="17"/>
  <c r="N36" i="17"/>
  <c r="M36" i="17"/>
  <c r="K36" i="17"/>
  <c r="J36" i="17"/>
  <c r="F36" i="17"/>
  <c r="P35" i="17"/>
  <c r="L35" i="17" s="1"/>
  <c r="O35" i="17"/>
  <c r="K35" i="17" s="1"/>
  <c r="N35" i="17"/>
  <c r="J35" i="17" s="1"/>
  <c r="M35" i="17"/>
  <c r="F35" i="17"/>
  <c r="DJ34" i="17"/>
  <c r="DI34" i="17"/>
  <c r="P34" i="17"/>
  <c r="O34" i="17"/>
  <c r="N34" i="17"/>
  <c r="M34" i="17"/>
  <c r="I34" i="17" s="1"/>
  <c r="L34" i="17"/>
  <c r="K34" i="17"/>
  <c r="J34" i="17"/>
  <c r="F34" i="17"/>
  <c r="DH34" i="17" s="1"/>
  <c r="P33" i="17"/>
  <c r="P83" i="17" s="1"/>
  <c r="O33" i="17"/>
  <c r="J33" i="17" s="1"/>
  <c r="N33" i="17"/>
  <c r="M33" i="17"/>
  <c r="M86" i="17" s="1"/>
  <c r="H33" i="17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62" i="17" s="1"/>
  <c r="H63" i="17" s="1"/>
  <c r="H64" i="17" s="1"/>
  <c r="H65" i="17" s="1"/>
  <c r="H66" i="17" s="1"/>
  <c r="H67" i="17" s="1"/>
  <c r="H68" i="17" s="1"/>
  <c r="H69" i="17" s="1"/>
  <c r="H70" i="17" s="1"/>
  <c r="H71" i="17" s="1"/>
  <c r="H72" i="17" s="1"/>
  <c r="H73" i="17" s="1"/>
  <c r="H74" i="17" s="1"/>
  <c r="H75" i="17" s="1"/>
  <c r="H76" i="17" s="1"/>
  <c r="H77" i="17" s="1"/>
  <c r="H78" i="17" s="1"/>
  <c r="H79" i="17" s="1"/>
  <c r="H80" i="17" s="1"/>
  <c r="H81" i="17" s="1"/>
  <c r="H82" i="17" s="1"/>
  <c r="F33" i="17"/>
  <c r="DJ33" i="17" s="1"/>
  <c r="DJ83" i="17" s="1"/>
  <c r="DJ32" i="17"/>
  <c r="DI32" i="17"/>
  <c r="DH32" i="17"/>
  <c r="H64" i="16"/>
  <c r="D62" i="16"/>
  <c r="D61" i="16"/>
  <c r="D60" i="16"/>
  <c r="H58" i="16"/>
  <c r="F58" i="16"/>
  <c r="E58" i="16"/>
  <c r="D58" i="16"/>
  <c r="B58" i="16"/>
  <c r="H57" i="16"/>
  <c r="F57" i="16"/>
  <c r="E57" i="16"/>
  <c r="D57" i="16"/>
  <c r="B57" i="16"/>
  <c r="H56" i="16"/>
  <c r="F56" i="16"/>
  <c r="E56" i="16"/>
  <c r="D56" i="16"/>
  <c r="B56" i="16"/>
  <c r="H55" i="16"/>
  <c r="F55" i="16"/>
  <c r="E55" i="16"/>
  <c r="D55" i="16"/>
  <c r="B55" i="16"/>
  <c r="H54" i="16"/>
  <c r="F54" i="16"/>
  <c r="E54" i="16"/>
  <c r="D54" i="16"/>
  <c r="B54" i="16"/>
  <c r="H53" i="16"/>
  <c r="F53" i="16"/>
  <c r="E53" i="16"/>
  <c r="D53" i="16"/>
  <c r="B53" i="16"/>
  <c r="H52" i="16"/>
  <c r="F52" i="16"/>
  <c r="E52" i="16"/>
  <c r="D52" i="16"/>
  <c r="B52" i="16"/>
  <c r="H51" i="16"/>
  <c r="F51" i="16"/>
  <c r="E51" i="16"/>
  <c r="D51" i="16"/>
  <c r="B51" i="16"/>
  <c r="H50" i="16"/>
  <c r="F50" i="16"/>
  <c r="E50" i="16"/>
  <c r="D50" i="16"/>
  <c r="B50" i="16"/>
  <c r="H49" i="16"/>
  <c r="F49" i="16"/>
  <c r="E49" i="16"/>
  <c r="D49" i="16"/>
  <c r="B49" i="16"/>
  <c r="H48" i="16"/>
  <c r="F48" i="16"/>
  <c r="E48" i="16"/>
  <c r="D48" i="16"/>
  <c r="B48" i="16"/>
  <c r="H47" i="16"/>
  <c r="F47" i="16"/>
  <c r="E47" i="16"/>
  <c r="D47" i="16"/>
  <c r="B47" i="16"/>
  <c r="H46" i="16"/>
  <c r="F46" i="16"/>
  <c r="E46" i="16"/>
  <c r="D46" i="16"/>
  <c r="B46" i="16"/>
  <c r="H45" i="16"/>
  <c r="F45" i="16"/>
  <c r="E45" i="16"/>
  <c r="D45" i="16"/>
  <c r="B45" i="16"/>
  <c r="H44" i="16"/>
  <c r="F44" i="16"/>
  <c r="E44" i="16"/>
  <c r="D44" i="16"/>
  <c r="B44" i="16"/>
  <c r="H43" i="16"/>
  <c r="F43" i="16"/>
  <c r="E43" i="16"/>
  <c r="D43" i="16"/>
  <c r="B43" i="16"/>
  <c r="H42" i="16"/>
  <c r="F42" i="16"/>
  <c r="E42" i="16"/>
  <c r="D42" i="16"/>
  <c r="B42" i="16"/>
  <c r="H41" i="16"/>
  <c r="F41" i="16"/>
  <c r="E41" i="16"/>
  <c r="D41" i="16"/>
  <c r="B41" i="16"/>
  <c r="H40" i="16"/>
  <c r="F40" i="16"/>
  <c r="E40" i="16"/>
  <c r="D40" i="16"/>
  <c r="B40" i="16"/>
  <c r="H39" i="16"/>
  <c r="F39" i="16"/>
  <c r="E39" i="16"/>
  <c r="D39" i="16"/>
  <c r="B39" i="16"/>
  <c r="H38" i="16"/>
  <c r="F38" i="16"/>
  <c r="E38" i="16"/>
  <c r="D38" i="16"/>
  <c r="B38" i="16"/>
  <c r="H37" i="16"/>
  <c r="F37" i="16"/>
  <c r="E37" i="16"/>
  <c r="D37" i="16"/>
  <c r="B37" i="16"/>
  <c r="H36" i="16"/>
  <c r="F36" i="16"/>
  <c r="E36" i="16"/>
  <c r="D36" i="16"/>
  <c r="B36" i="16"/>
  <c r="H35" i="16"/>
  <c r="F35" i="16"/>
  <c r="E35" i="16"/>
  <c r="D35" i="16"/>
  <c r="B35" i="16"/>
  <c r="H34" i="16"/>
  <c r="F34" i="16"/>
  <c r="E34" i="16"/>
  <c r="D34" i="16"/>
  <c r="B34" i="16"/>
  <c r="H33" i="16"/>
  <c r="F33" i="16"/>
  <c r="E33" i="16"/>
  <c r="D33" i="16"/>
  <c r="B33" i="16"/>
  <c r="H32" i="16"/>
  <c r="F32" i="16"/>
  <c r="E32" i="16"/>
  <c r="D32" i="16"/>
  <c r="B32" i="16"/>
  <c r="H31" i="16"/>
  <c r="F31" i="16"/>
  <c r="E31" i="16"/>
  <c r="D31" i="16"/>
  <c r="B31" i="16"/>
  <c r="H30" i="16"/>
  <c r="F30" i="16"/>
  <c r="E30" i="16"/>
  <c r="D30" i="16"/>
  <c r="B30" i="16"/>
  <c r="H29" i="16"/>
  <c r="F29" i="16"/>
  <c r="E29" i="16"/>
  <c r="D29" i="16"/>
  <c r="B29" i="16"/>
  <c r="H28" i="16"/>
  <c r="F28" i="16"/>
  <c r="E28" i="16"/>
  <c r="D28" i="16"/>
  <c r="B28" i="16"/>
  <c r="H27" i="16"/>
  <c r="F27" i="16"/>
  <c r="E27" i="16"/>
  <c r="D27" i="16"/>
  <c r="B27" i="16"/>
  <c r="H26" i="16"/>
  <c r="F26" i="16"/>
  <c r="E26" i="16"/>
  <c r="D26" i="16"/>
  <c r="B26" i="16"/>
  <c r="H25" i="16"/>
  <c r="F25" i="16"/>
  <c r="E25" i="16"/>
  <c r="D25" i="16"/>
  <c r="B25" i="16"/>
  <c r="H24" i="16"/>
  <c r="F24" i="16"/>
  <c r="E24" i="16"/>
  <c r="D24" i="16"/>
  <c r="B24" i="16"/>
  <c r="H23" i="16"/>
  <c r="F23" i="16"/>
  <c r="E23" i="16"/>
  <c r="D23" i="16"/>
  <c r="B23" i="16"/>
  <c r="H22" i="16"/>
  <c r="F22" i="16"/>
  <c r="E22" i="16"/>
  <c r="D22" i="16"/>
  <c r="B22" i="16"/>
  <c r="H21" i="16"/>
  <c r="F21" i="16"/>
  <c r="E21" i="16"/>
  <c r="D21" i="16"/>
  <c r="B21" i="16"/>
  <c r="H20" i="16"/>
  <c r="F20" i="16"/>
  <c r="E20" i="16"/>
  <c r="D20" i="16"/>
  <c r="B20" i="16"/>
  <c r="H19" i="16"/>
  <c r="F19" i="16"/>
  <c r="E19" i="16"/>
  <c r="D19" i="16"/>
  <c r="B19" i="16"/>
  <c r="H18" i="16"/>
  <c r="F18" i="16"/>
  <c r="E18" i="16"/>
  <c r="D18" i="16"/>
  <c r="B18" i="16"/>
  <c r="H17" i="16"/>
  <c r="F17" i="16"/>
  <c r="E17" i="16"/>
  <c r="D17" i="16"/>
  <c r="B17" i="16"/>
  <c r="H16" i="16"/>
  <c r="F16" i="16"/>
  <c r="E16" i="16"/>
  <c r="D16" i="16"/>
  <c r="B16" i="16"/>
  <c r="H15" i="16"/>
  <c r="F15" i="16"/>
  <c r="E15" i="16"/>
  <c r="D15" i="16"/>
  <c r="B15" i="16"/>
  <c r="H14" i="16"/>
  <c r="F14" i="16"/>
  <c r="E14" i="16"/>
  <c r="D14" i="16"/>
  <c r="B14" i="16"/>
  <c r="H13" i="16"/>
  <c r="F13" i="16"/>
  <c r="E13" i="16"/>
  <c r="D13" i="16"/>
  <c r="B13" i="16"/>
  <c r="H12" i="16"/>
  <c r="F12" i="16"/>
  <c r="E12" i="16"/>
  <c r="D12" i="16"/>
  <c r="B12" i="16"/>
  <c r="H11" i="16"/>
  <c r="F11" i="16"/>
  <c r="E11" i="16"/>
  <c r="D11" i="16"/>
  <c r="B11" i="16"/>
  <c r="H10" i="16"/>
  <c r="F10" i="16"/>
  <c r="E10" i="16"/>
  <c r="D10" i="16"/>
  <c r="B10" i="16"/>
  <c r="H9" i="16"/>
  <c r="F9" i="16"/>
  <c r="E9" i="16"/>
  <c r="D9" i="16"/>
  <c r="B9" i="16"/>
  <c r="K6" i="16"/>
  <c r="D6" i="16"/>
  <c r="D5" i="16"/>
  <c r="D4" i="16"/>
  <c r="J70" i="15"/>
  <c r="I70" i="15"/>
  <c r="F70" i="15"/>
  <c r="Q70" i="15" s="1"/>
  <c r="Q69" i="15"/>
  <c r="J69" i="15"/>
  <c r="I69" i="15"/>
  <c r="F69" i="15"/>
  <c r="Q68" i="15"/>
  <c r="J68" i="15"/>
  <c r="I68" i="15"/>
  <c r="F68" i="15"/>
  <c r="J67" i="15"/>
  <c r="I67" i="15"/>
  <c r="F67" i="15"/>
  <c r="J66" i="15"/>
  <c r="I66" i="15"/>
  <c r="F66" i="15"/>
  <c r="Q66" i="15" s="1"/>
  <c r="Q65" i="15"/>
  <c r="J65" i="15"/>
  <c r="I65" i="15"/>
  <c r="F65" i="15"/>
  <c r="Q64" i="15"/>
  <c r="J64" i="15"/>
  <c r="I64" i="15"/>
  <c r="F64" i="15"/>
  <c r="J63" i="15"/>
  <c r="I63" i="15"/>
  <c r="F63" i="15"/>
  <c r="J62" i="15"/>
  <c r="I62" i="15"/>
  <c r="F62" i="15"/>
  <c r="Q62" i="15" s="1"/>
  <c r="Q61" i="15"/>
  <c r="J61" i="15"/>
  <c r="I61" i="15"/>
  <c r="F61" i="15"/>
  <c r="Q60" i="15"/>
  <c r="J60" i="15"/>
  <c r="I60" i="15"/>
  <c r="F60" i="15"/>
  <c r="J59" i="15"/>
  <c r="I59" i="15"/>
  <c r="F59" i="15"/>
  <c r="J58" i="15"/>
  <c r="I58" i="15"/>
  <c r="F58" i="15"/>
  <c r="Q58" i="15" s="1"/>
  <c r="Q57" i="15"/>
  <c r="J57" i="15"/>
  <c r="I57" i="15"/>
  <c r="F57" i="15"/>
  <c r="Q56" i="15"/>
  <c r="J56" i="15"/>
  <c r="I56" i="15"/>
  <c r="F56" i="15"/>
  <c r="J55" i="15"/>
  <c r="I55" i="15"/>
  <c r="F55" i="15"/>
  <c r="J54" i="15"/>
  <c r="I54" i="15"/>
  <c r="F54" i="15"/>
  <c r="Q54" i="15" s="1"/>
  <c r="Q53" i="15"/>
  <c r="J53" i="15"/>
  <c r="I53" i="15"/>
  <c r="F53" i="15"/>
  <c r="Q52" i="15"/>
  <c r="J52" i="15"/>
  <c r="I52" i="15"/>
  <c r="F52" i="15"/>
  <c r="J51" i="15"/>
  <c r="I51" i="15"/>
  <c r="F51" i="15"/>
  <c r="J50" i="15"/>
  <c r="I50" i="15"/>
  <c r="F50" i="15"/>
  <c r="Q50" i="15" s="1"/>
  <c r="Q49" i="15"/>
  <c r="J49" i="15"/>
  <c r="I49" i="15"/>
  <c r="F49" i="15"/>
  <c r="Q48" i="15"/>
  <c r="J48" i="15"/>
  <c r="I48" i="15"/>
  <c r="F48" i="15"/>
  <c r="J47" i="15"/>
  <c r="I47" i="15"/>
  <c r="F47" i="15"/>
  <c r="J46" i="15"/>
  <c r="I46" i="15"/>
  <c r="F46" i="15"/>
  <c r="Q46" i="15" s="1"/>
  <c r="Q45" i="15"/>
  <c r="J45" i="15"/>
  <c r="I45" i="15"/>
  <c r="F45" i="15"/>
  <c r="Q44" i="15"/>
  <c r="J44" i="15"/>
  <c r="I44" i="15"/>
  <c r="F44" i="15"/>
  <c r="J43" i="15"/>
  <c r="I43" i="15"/>
  <c r="F43" i="15"/>
  <c r="J42" i="15"/>
  <c r="I42" i="15"/>
  <c r="F42" i="15"/>
  <c r="Q42" i="15" s="1"/>
  <c r="Q41" i="15"/>
  <c r="J41" i="15"/>
  <c r="I41" i="15"/>
  <c r="F41" i="15"/>
  <c r="Q40" i="15"/>
  <c r="J40" i="15"/>
  <c r="I40" i="15"/>
  <c r="F40" i="15"/>
  <c r="J39" i="15"/>
  <c r="I39" i="15"/>
  <c r="F39" i="15"/>
  <c r="J38" i="15"/>
  <c r="I38" i="15"/>
  <c r="F38" i="15"/>
  <c r="J37" i="15"/>
  <c r="I37" i="15"/>
  <c r="F37" i="15"/>
  <c r="P37" i="15" s="1"/>
  <c r="R36" i="15"/>
  <c r="J36" i="15"/>
  <c r="I36" i="15"/>
  <c r="F36" i="15"/>
  <c r="P36" i="15" s="1"/>
  <c r="R35" i="15"/>
  <c r="Q35" i="15"/>
  <c r="J35" i="15"/>
  <c r="I35" i="15"/>
  <c r="F35" i="15"/>
  <c r="P35" i="15" s="1"/>
  <c r="R34" i="15"/>
  <c r="Q34" i="15"/>
  <c r="J34" i="15"/>
  <c r="I34" i="15"/>
  <c r="F34" i="15"/>
  <c r="P34" i="15" s="1"/>
  <c r="R33" i="15"/>
  <c r="Q33" i="15"/>
  <c r="J33" i="15"/>
  <c r="I33" i="15"/>
  <c r="F33" i="15"/>
  <c r="P33" i="15" s="1"/>
  <c r="Q32" i="15"/>
  <c r="J32" i="15"/>
  <c r="I32" i="15"/>
  <c r="F32" i="15"/>
  <c r="P32" i="15" s="1"/>
  <c r="J31" i="15"/>
  <c r="I31" i="15"/>
  <c r="F31" i="15"/>
  <c r="J30" i="15"/>
  <c r="I30" i="15"/>
  <c r="F30" i="15"/>
  <c r="J29" i="15"/>
  <c r="I29" i="15"/>
  <c r="F29" i="15"/>
  <c r="P29" i="15" s="1"/>
  <c r="R28" i="15"/>
  <c r="J28" i="15"/>
  <c r="I28" i="15"/>
  <c r="F28" i="15"/>
  <c r="P28" i="15" s="1"/>
  <c r="R27" i="15"/>
  <c r="Q27" i="15"/>
  <c r="J27" i="15"/>
  <c r="I27" i="15"/>
  <c r="F27" i="15"/>
  <c r="P27" i="15" s="1"/>
  <c r="R26" i="15"/>
  <c r="Q26" i="15"/>
  <c r="J26" i="15"/>
  <c r="I26" i="15"/>
  <c r="F26" i="15"/>
  <c r="P26" i="15" s="1"/>
  <c r="R25" i="15"/>
  <c r="Q25" i="15"/>
  <c r="J25" i="15"/>
  <c r="J71" i="15" s="1"/>
  <c r="I25" i="15"/>
  <c r="F25" i="15"/>
  <c r="P25" i="15" s="1"/>
  <c r="Q24" i="15"/>
  <c r="J24" i="15"/>
  <c r="I24" i="15"/>
  <c r="F24" i="15"/>
  <c r="P24" i="15" s="1"/>
  <c r="J23" i="15"/>
  <c r="I23" i="15"/>
  <c r="F23" i="15"/>
  <c r="J22" i="15"/>
  <c r="I22" i="15"/>
  <c r="H22" i="15"/>
  <c r="I10" i="16" s="1"/>
  <c r="F22" i="15"/>
  <c r="A22" i="15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J21" i="15"/>
  <c r="I21" i="15"/>
  <c r="H21" i="15"/>
  <c r="I9" i="16" s="1"/>
  <c r="F21" i="15"/>
  <c r="R20" i="15"/>
  <c r="Q20" i="15"/>
  <c r="P20" i="15"/>
  <c r="H64" i="14"/>
  <c r="D62" i="14"/>
  <c r="D61" i="14"/>
  <c r="D60" i="14"/>
  <c r="H58" i="14"/>
  <c r="F58" i="14"/>
  <c r="E58" i="14"/>
  <c r="D58" i="14"/>
  <c r="B58" i="14"/>
  <c r="H57" i="14"/>
  <c r="F57" i="14"/>
  <c r="E57" i="14"/>
  <c r="D57" i="14"/>
  <c r="B57" i="14"/>
  <c r="H56" i="14"/>
  <c r="F56" i="14"/>
  <c r="E56" i="14"/>
  <c r="D56" i="14"/>
  <c r="B56" i="14"/>
  <c r="H55" i="14"/>
  <c r="F55" i="14"/>
  <c r="E55" i="14"/>
  <c r="D55" i="14"/>
  <c r="B55" i="14"/>
  <c r="H54" i="14"/>
  <c r="F54" i="14"/>
  <c r="E54" i="14"/>
  <c r="D54" i="14"/>
  <c r="B54" i="14"/>
  <c r="H53" i="14"/>
  <c r="F53" i="14"/>
  <c r="E53" i="14"/>
  <c r="D53" i="14"/>
  <c r="B53" i="14"/>
  <c r="H52" i="14"/>
  <c r="F52" i="14"/>
  <c r="E52" i="14"/>
  <c r="D52" i="14"/>
  <c r="B52" i="14"/>
  <c r="H51" i="14"/>
  <c r="F51" i="14"/>
  <c r="E51" i="14"/>
  <c r="D51" i="14"/>
  <c r="B51" i="14"/>
  <c r="H50" i="14"/>
  <c r="F50" i="14"/>
  <c r="E50" i="14"/>
  <c r="D50" i="14"/>
  <c r="B50" i="14"/>
  <c r="H49" i="14"/>
  <c r="F49" i="14"/>
  <c r="E49" i="14"/>
  <c r="D49" i="14"/>
  <c r="B49" i="14"/>
  <c r="H48" i="14"/>
  <c r="F48" i="14"/>
  <c r="E48" i="14"/>
  <c r="D48" i="14"/>
  <c r="B48" i="14"/>
  <c r="H47" i="14"/>
  <c r="F47" i="14"/>
  <c r="E47" i="14"/>
  <c r="D47" i="14"/>
  <c r="B47" i="14"/>
  <c r="H46" i="14"/>
  <c r="F46" i="14"/>
  <c r="E46" i="14"/>
  <c r="D46" i="14"/>
  <c r="B46" i="14"/>
  <c r="H45" i="14"/>
  <c r="F45" i="14"/>
  <c r="E45" i="14"/>
  <c r="D45" i="14"/>
  <c r="B45" i="14"/>
  <c r="H44" i="14"/>
  <c r="F44" i="14"/>
  <c r="E44" i="14"/>
  <c r="D44" i="14"/>
  <c r="B44" i="14"/>
  <c r="H43" i="14"/>
  <c r="F43" i="14"/>
  <c r="E43" i="14"/>
  <c r="D43" i="14"/>
  <c r="B43" i="14"/>
  <c r="H42" i="14"/>
  <c r="F42" i="14"/>
  <c r="E42" i="14"/>
  <c r="D42" i="14"/>
  <c r="B42" i="14"/>
  <c r="H41" i="14"/>
  <c r="F41" i="14"/>
  <c r="E41" i="14"/>
  <c r="D41" i="14"/>
  <c r="B41" i="14"/>
  <c r="H40" i="14"/>
  <c r="F40" i="14"/>
  <c r="E40" i="14"/>
  <c r="D40" i="14"/>
  <c r="B40" i="14"/>
  <c r="H39" i="14"/>
  <c r="F39" i="14"/>
  <c r="E39" i="14"/>
  <c r="D39" i="14"/>
  <c r="B39" i="14"/>
  <c r="H38" i="14"/>
  <c r="F38" i="14"/>
  <c r="E38" i="14"/>
  <c r="D38" i="14"/>
  <c r="B38" i="14"/>
  <c r="H37" i="14"/>
  <c r="F37" i="14"/>
  <c r="E37" i="14"/>
  <c r="D37" i="14"/>
  <c r="B37" i="14"/>
  <c r="H36" i="14"/>
  <c r="F36" i="14"/>
  <c r="E36" i="14"/>
  <c r="D36" i="14"/>
  <c r="B36" i="14"/>
  <c r="H35" i="14"/>
  <c r="F35" i="14"/>
  <c r="E35" i="14"/>
  <c r="D35" i="14"/>
  <c r="B35" i="14"/>
  <c r="H34" i="14"/>
  <c r="F34" i="14"/>
  <c r="E34" i="14"/>
  <c r="D34" i="14"/>
  <c r="B34" i="14"/>
  <c r="H33" i="14"/>
  <c r="F33" i="14"/>
  <c r="E33" i="14"/>
  <c r="D33" i="14"/>
  <c r="B33" i="14"/>
  <c r="H32" i="14"/>
  <c r="F32" i="14"/>
  <c r="E32" i="14"/>
  <c r="D32" i="14"/>
  <c r="B32" i="14"/>
  <c r="H31" i="14"/>
  <c r="F31" i="14"/>
  <c r="E31" i="14"/>
  <c r="D31" i="14"/>
  <c r="B31" i="14"/>
  <c r="H30" i="14"/>
  <c r="F30" i="14"/>
  <c r="E30" i="14"/>
  <c r="D30" i="14"/>
  <c r="B30" i="14"/>
  <c r="H29" i="14"/>
  <c r="F29" i="14"/>
  <c r="E29" i="14"/>
  <c r="D29" i="14"/>
  <c r="B29" i="14"/>
  <c r="H28" i="14"/>
  <c r="F28" i="14"/>
  <c r="E28" i="14"/>
  <c r="D28" i="14"/>
  <c r="B28" i="14"/>
  <c r="H27" i="14"/>
  <c r="F27" i="14"/>
  <c r="E27" i="14"/>
  <c r="D27" i="14"/>
  <c r="B27" i="14"/>
  <c r="H26" i="14"/>
  <c r="F26" i="14"/>
  <c r="E26" i="14"/>
  <c r="D26" i="14"/>
  <c r="B26" i="14"/>
  <c r="H25" i="14"/>
  <c r="F25" i="14"/>
  <c r="E25" i="14"/>
  <c r="D25" i="14"/>
  <c r="B25" i="14"/>
  <c r="H24" i="14"/>
  <c r="F24" i="14"/>
  <c r="E24" i="14"/>
  <c r="D24" i="14"/>
  <c r="B24" i="14"/>
  <c r="H23" i="14"/>
  <c r="F23" i="14"/>
  <c r="E23" i="14"/>
  <c r="D23" i="14"/>
  <c r="B23" i="14"/>
  <c r="H22" i="14"/>
  <c r="F22" i="14"/>
  <c r="E22" i="14"/>
  <c r="D22" i="14"/>
  <c r="B22" i="14"/>
  <c r="H21" i="14"/>
  <c r="F21" i="14"/>
  <c r="E21" i="14"/>
  <c r="D21" i="14"/>
  <c r="B21" i="14"/>
  <c r="H20" i="14"/>
  <c r="F20" i="14"/>
  <c r="E20" i="14"/>
  <c r="D20" i="14"/>
  <c r="B20" i="14"/>
  <c r="H19" i="14"/>
  <c r="F19" i="14"/>
  <c r="E19" i="14"/>
  <c r="D19" i="14"/>
  <c r="B19" i="14"/>
  <c r="H18" i="14"/>
  <c r="F18" i="14"/>
  <c r="E18" i="14"/>
  <c r="D18" i="14"/>
  <c r="B18" i="14"/>
  <c r="H17" i="14"/>
  <c r="F17" i="14"/>
  <c r="E17" i="14"/>
  <c r="D17" i="14"/>
  <c r="B17" i="14"/>
  <c r="H16" i="14"/>
  <c r="F16" i="14"/>
  <c r="E16" i="14"/>
  <c r="D16" i="14"/>
  <c r="B16" i="14"/>
  <c r="H15" i="14"/>
  <c r="F15" i="14"/>
  <c r="E15" i="14"/>
  <c r="D15" i="14"/>
  <c r="B15" i="14"/>
  <c r="H14" i="14"/>
  <c r="F14" i="14"/>
  <c r="E14" i="14"/>
  <c r="D14" i="14"/>
  <c r="B14" i="14"/>
  <c r="H13" i="14"/>
  <c r="F13" i="14"/>
  <c r="E13" i="14"/>
  <c r="D13" i="14"/>
  <c r="B13" i="14"/>
  <c r="H12" i="14"/>
  <c r="F12" i="14"/>
  <c r="E12" i="14"/>
  <c r="D12" i="14"/>
  <c r="B12" i="14"/>
  <c r="H11" i="14"/>
  <c r="F11" i="14"/>
  <c r="E11" i="14"/>
  <c r="D11" i="14"/>
  <c r="B11" i="14"/>
  <c r="H10" i="14"/>
  <c r="F10" i="14"/>
  <c r="E10" i="14"/>
  <c r="D10" i="14"/>
  <c r="B10" i="14"/>
  <c r="H9" i="14"/>
  <c r="F9" i="14"/>
  <c r="E9" i="14"/>
  <c r="D9" i="14"/>
  <c r="B9" i="14"/>
  <c r="K6" i="14"/>
  <c r="D6" i="14"/>
  <c r="D5" i="14"/>
  <c r="D4" i="14"/>
  <c r="BK69" i="13"/>
  <c r="BJ69" i="13"/>
  <c r="BI69" i="13"/>
  <c r="J68" i="13"/>
  <c r="I68" i="13"/>
  <c r="F68" i="13"/>
  <c r="J67" i="13"/>
  <c r="I67" i="13"/>
  <c r="F67" i="13"/>
  <c r="J66" i="13"/>
  <c r="I66" i="13"/>
  <c r="F66" i="13"/>
  <c r="J65" i="13"/>
  <c r="I65" i="13"/>
  <c r="F65" i="13"/>
  <c r="J64" i="13"/>
  <c r="I64" i="13"/>
  <c r="F64" i="13"/>
  <c r="J63" i="13"/>
  <c r="I63" i="13"/>
  <c r="F63" i="13"/>
  <c r="J62" i="13"/>
  <c r="I62" i="13"/>
  <c r="F62" i="13"/>
  <c r="J61" i="13"/>
  <c r="I61" i="13"/>
  <c r="F61" i="13"/>
  <c r="J60" i="13"/>
  <c r="I60" i="13"/>
  <c r="F60" i="13"/>
  <c r="J59" i="13"/>
  <c r="I59" i="13"/>
  <c r="F59" i="13"/>
  <c r="J58" i="13"/>
  <c r="I58" i="13"/>
  <c r="F58" i="13"/>
  <c r="J57" i="13"/>
  <c r="I57" i="13"/>
  <c r="F57" i="13"/>
  <c r="J56" i="13"/>
  <c r="I56" i="13"/>
  <c r="F56" i="13"/>
  <c r="J55" i="13"/>
  <c r="I55" i="13"/>
  <c r="F55" i="13"/>
  <c r="J54" i="13"/>
  <c r="I54" i="13"/>
  <c r="F54" i="13"/>
  <c r="J53" i="13"/>
  <c r="I53" i="13"/>
  <c r="F53" i="13"/>
  <c r="J52" i="13"/>
  <c r="I52" i="13"/>
  <c r="F52" i="13"/>
  <c r="J51" i="13"/>
  <c r="I51" i="13"/>
  <c r="F51" i="13"/>
  <c r="J50" i="13"/>
  <c r="I50" i="13"/>
  <c r="F50" i="13"/>
  <c r="J49" i="13"/>
  <c r="I49" i="13"/>
  <c r="F49" i="13"/>
  <c r="J48" i="13"/>
  <c r="I48" i="13"/>
  <c r="F48" i="13"/>
  <c r="J47" i="13"/>
  <c r="I47" i="13"/>
  <c r="F47" i="13"/>
  <c r="J46" i="13"/>
  <c r="I46" i="13"/>
  <c r="F46" i="13"/>
  <c r="J45" i="13"/>
  <c r="I45" i="13"/>
  <c r="F45" i="13"/>
  <c r="J44" i="13"/>
  <c r="J70" i="13" s="1"/>
  <c r="I44" i="13"/>
  <c r="F44" i="13"/>
  <c r="J43" i="13"/>
  <c r="I43" i="13"/>
  <c r="F43" i="13"/>
  <c r="J42" i="13"/>
  <c r="I42" i="13"/>
  <c r="F42" i="13"/>
  <c r="J41" i="13"/>
  <c r="I41" i="13"/>
  <c r="F41" i="13"/>
  <c r="J40" i="13"/>
  <c r="I40" i="13"/>
  <c r="F40" i="13"/>
  <c r="J39" i="13"/>
  <c r="I39" i="13"/>
  <c r="F39" i="13"/>
  <c r="J38" i="13"/>
  <c r="I38" i="13"/>
  <c r="F38" i="13"/>
  <c r="J37" i="13"/>
  <c r="I37" i="13"/>
  <c r="F37" i="13"/>
  <c r="J36" i="13"/>
  <c r="I36" i="13"/>
  <c r="F36" i="13"/>
  <c r="J35" i="13"/>
  <c r="I35" i="13"/>
  <c r="F35" i="13"/>
  <c r="J34" i="13"/>
  <c r="I34" i="13"/>
  <c r="F34" i="13"/>
  <c r="J33" i="13"/>
  <c r="I33" i="13"/>
  <c r="F33" i="13"/>
  <c r="J32" i="13"/>
  <c r="I32" i="13"/>
  <c r="F32" i="13"/>
  <c r="J31" i="13"/>
  <c r="I31" i="13"/>
  <c r="F31" i="13"/>
  <c r="J30" i="13"/>
  <c r="I30" i="13"/>
  <c r="F30" i="13"/>
  <c r="J29" i="13"/>
  <c r="I29" i="13"/>
  <c r="F29" i="13"/>
  <c r="J28" i="13"/>
  <c r="I28" i="13"/>
  <c r="F28" i="13"/>
  <c r="J27" i="13"/>
  <c r="I27" i="13"/>
  <c r="F27" i="13"/>
  <c r="J26" i="13"/>
  <c r="I26" i="13"/>
  <c r="F26" i="13"/>
  <c r="J25" i="13"/>
  <c r="I25" i="13"/>
  <c r="F25" i="13"/>
  <c r="J24" i="13"/>
  <c r="I24" i="13"/>
  <c r="F24" i="13"/>
  <c r="J23" i="13"/>
  <c r="I23" i="13"/>
  <c r="F23" i="13"/>
  <c r="J22" i="13"/>
  <c r="I22" i="13"/>
  <c r="F22" i="13"/>
  <c r="J21" i="13"/>
  <c r="I21" i="13"/>
  <c r="F21" i="13"/>
  <c r="J20" i="13"/>
  <c r="I20" i="13"/>
  <c r="F20" i="13"/>
  <c r="J19" i="13"/>
  <c r="I19" i="13"/>
  <c r="H19" i="13"/>
  <c r="H20" i="13" s="1"/>
  <c r="H21" i="13" s="1"/>
  <c r="H22" i="13" s="1"/>
  <c r="H23" i="13" s="1"/>
  <c r="H24" i="13" s="1"/>
  <c r="H25" i="13" s="1"/>
  <c r="H26" i="13" s="1"/>
  <c r="H27" i="13" s="1"/>
  <c r="H28" i="13" s="1"/>
  <c r="H29" i="13" s="1"/>
  <c r="H30" i="13" s="1"/>
  <c r="H31" i="13" s="1"/>
  <c r="H32" i="13" s="1"/>
  <c r="H33" i="13" s="1"/>
  <c r="H34" i="13" s="1"/>
  <c r="H35" i="13" s="1"/>
  <c r="H36" i="13" s="1"/>
  <c r="H37" i="13" s="1"/>
  <c r="H38" i="13" s="1"/>
  <c r="H39" i="13" s="1"/>
  <c r="H40" i="13" s="1"/>
  <c r="H41" i="13" s="1"/>
  <c r="H42" i="13" s="1"/>
  <c r="H43" i="13" s="1"/>
  <c r="H44" i="13" s="1"/>
  <c r="H45" i="13" s="1"/>
  <c r="H46" i="13" s="1"/>
  <c r="H47" i="13" s="1"/>
  <c r="H48" i="13" s="1"/>
  <c r="H49" i="13" s="1"/>
  <c r="H50" i="13" s="1"/>
  <c r="H51" i="13" s="1"/>
  <c r="H52" i="13" s="1"/>
  <c r="H53" i="13" s="1"/>
  <c r="H54" i="13" s="1"/>
  <c r="H55" i="13" s="1"/>
  <c r="H56" i="13" s="1"/>
  <c r="H57" i="13" s="1"/>
  <c r="H58" i="13" s="1"/>
  <c r="H59" i="13" s="1"/>
  <c r="H60" i="13" s="1"/>
  <c r="H61" i="13" s="1"/>
  <c r="H62" i="13" s="1"/>
  <c r="H63" i="13" s="1"/>
  <c r="H64" i="13" s="1"/>
  <c r="H65" i="13" s="1"/>
  <c r="H66" i="13" s="1"/>
  <c r="H67" i="13" s="1"/>
  <c r="H68" i="13" s="1"/>
  <c r="F19" i="13"/>
  <c r="A19" i="13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G5" i="13"/>
  <c r="E5" i="13"/>
  <c r="H64" i="12"/>
  <c r="D62" i="12"/>
  <c r="D61" i="12"/>
  <c r="D60" i="12"/>
  <c r="H58" i="12"/>
  <c r="F58" i="12"/>
  <c r="E58" i="12"/>
  <c r="D58" i="12"/>
  <c r="B58" i="12"/>
  <c r="H57" i="12"/>
  <c r="F57" i="12"/>
  <c r="E57" i="12"/>
  <c r="D57" i="12"/>
  <c r="B57" i="12"/>
  <c r="H56" i="12"/>
  <c r="F56" i="12"/>
  <c r="E56" i="12"/>
  <c r="D56" i="12"/>
  <c r="B56" i="12"/>
  <c r="H55" i="12"/>
  <c r="F55" i="12"/>
  <c r="E55" i="12"/>
  <c r="D55" i="12"/>
  <c r="B55" i="12"/>
  <c r="H54" i="12"/>
  <c r="F54" i="12"/>
  <c r="E54" i="12"/>
  <c r="D54" i="12"/>
  <c r="B54" i="12"/>
  <c r="H53" i="12"/>
  <c r="G53" i="12"/>
  <c r="F53" i="12"/>
  <c r="E53" i="12"/>
  <c r="D53" i="12"/>
  <c r="B53" i="12"/>
  <c r="H52" i="12"/>
  <c r="F52" i="12"/>
  <c r="E52" i="12"/>
  <c r="D52" i="12"/>
  <c r="B52" i="12"/>
  <c r="H51" i="12"/>
  <c r="F51" i="12"/>
  <c r="E51" i="12"/>
  <c r="D51" i="12"/>
  <c r="B51" i="12"/>
  <c r="H50" i="12"/>
  <c r="F50" i="12"/>
  <c r="E50" i="12"/>
  <c r="D50" i="12"/>
  <c r="B50" i="12"/>
  <c r="H49" i="12"/>
  <c r="F49" i="12"/>
  <c r="E49" i="12"/>
  <c r="D49" i="12"/>
  <c r="B49" i="12"/>
  <c r="H48" i="12"/>
  <c r="G48" i="12"/>
  <c r="F48" i="12"/>
  <c r="E48" i="12"/>
  <c r="D48" i="12"/>
  <c r="B48" i="12"/>
  <c r="H47" i="12"/>
  <c r="F47" i="12"/>
  <c r="E47" i="12"/>
  <c r="D47" i="12"/>
  <c r="B47" i="12"/>
  <c r="H46" i="12"/>
  <c r="F46" i="12"/>
  <c r="E46" i="12"/>
  <c r="D46" i="12"/>
  <c r="B46" i="12"/>
  <c r="H45" i="12"/>
  <c r="F45" i="12"/>
  <c r="E45" i="12"/>
  <c r="D45" i="12"/>
  <c r="B45" i="12"/>
  <c r="H44" i="12"/>
  <c r="G44" i="12"/>
  <c r="F44" i="12"/>
  <c r="E44" i="12"/>
  <c r="D44" i="12"/>
  <c r="B44" i="12"/>
  <c r="H43" i="12"/>
  <c r="F43" i="12"/>
  <c r="E43" i="12"/>
  <c r="D43" i="12"/>
  <c r="B43" i="12"/>
  <c r="H42" i="12"/>
  <c r="F42" i="12"/>
  <c r="E42" i="12"/>
  <c r="D42" i="12"/>
  <c r="B42" i="12"/>
  <c r="H41" i="12"/>
  <c r="F41" i="12"/>
  <c r="E41" i="12"/>
  <c r="D41" i="12"/>
  <c r="B41" i="12"/>
  <c r="H40" i="12"/>
  <c r="F40" i="12"/>
  <c r="E40" i="12"/>
  <c r="D40" i="12"/>
  <c r="B40" i="12"/>
  <c r="H39" i="12"/>
  <c r="G39" i="12"/>
  <c r="F39" i="12"/>
  <c r="E39" i="12"/>
  <c r="D39" i="12"/>
  <c r="B39" i="12"/>
  <c r="H38" i="12"/>
  <c r="F38" i="12"/>
  <c r="E38" i="12"/>
  <c r="D38" i="12"/>
  <c r="B38" i="12"/>
  <c r="H37" i="12"/>
  <c r="G37" i="12"/>
  <c r="F37" i="12"/>
  <c r="E37" i="12"/>
  <c r="D37" i="12"/>
  <c r="B37" i="12"/>
  <c r="H36" i="12"/>
  <c r="F36" i="12"/>
  <c r="E36" i="12"/>
  <c r="D36" i="12"/>
  <c r="B36" i="12"/>
  <c r="H35" i="12"/>
  <c r="F35" i="12"/>
  <c r="E35" i="12"/>
  <c r="D35" i="12"/>
  <c r="B35" i="12"/>
  <c r="H34" i="12"/>
  <c r="F34" i="12"/>
  <c r="E34" i="12"/>
  <c r="D34" i="12"/>
  <c r="B34" i="12"/>
  <c r="H33" i="12"/>
  <c r="F33" i="12"/>
  <c r="E33" i="12"/>
  <c r="D33" i="12"/>
  <c r="B33" i="12"/>
  <c r="H32" i="12"/>
  <c r="G32" i="12"/>
  <c r="F32" i="12"/>
  <c r="E32" i="12"/>
  <c r="D32" i="12"/>
  <c r="B32" i="12"/>
  <c r="H31" i="12"/>
  <c r="F31" i="12"/>
  <c r="E31" i="12"/>
  <c r="D31" i="12"/>
  <c r="B31" i="12"/>
  <c r="H30" i="12"/>
  <c r="F30" i="12"/>
  <c r="E30" i="12"/>
  <c r="D30" i="12"/>
  <c r="B30" i="12"/>
  <c r="H29" i="12"/>
  <c r="F29" i="12"/>
  <c r="E29" i="12"/>
  <c r="D29" i="12"/>
  <c r="B29" i="12"/>
  <c r="H28" i="12"/>
  <c r="F28" i="12"/>
  <c r="E28" i="12"/>
  <c r="D28" i="12"/>
  <c r="B28" i="12"/>
  <c r="H27" i="12"/>
  <c r="G27" i="12"/>
  <c r="F27" i="12"/>
  <c r="E27" i="12"/>
  <c r="D27" i="12"/>
  <c r="B27" i="12"/>
  <c r="H26" i="12"/>
  <c r="F26" i="12"/>
  <c r="E26" i="12"/>
  <c r="D26" i="12"/>
  <c r="B26" i="12"/>
  <c r="H25" i="12"/>
  <c r="F25" i="12"/>
  <c r="E25" i="12"/>
  <c r="D25" i="12"/>
  <c r="B25" i="12"/>
  <c r="H24" i="12"/>
  <c r="F24" i="12"/>
  <c r="E24" i="12"/>
  <c r="D24" i="12"/>
  <c r="B24" i="12"/>
  <c r="H23" i="12"/>
  <c r="F23" i="12"/>
  <c r="E23" i="12"/>
  <c r="D23" i="12"/>
  <c r="B23" i="12"/>
  <c r="H22" i="12"/>
  <c r="F22" i="12"/>
  <c r="E22" i="12"/>
  <c r="D22" i="12"/>
  <c r="B22" i="12"/>
  <c r="H21" i="12"/>
  <c r="F21" i="12"/>
  <c r="E21" i="12"/>
  <c r="D21" i="12"/>
  <c r="B21" i="12"/>
  <c r="H20" i="12"/>
  <c r="F20" i="12"/>
  <c r="E20" i="12"/>
  <c r="D20" i="12"/>
  <c r="B20" i="12"/>
  <c r="H19" i="12"/>
  <c r="G19" i="12"/>
  <c r="F19" i="12"/>
  <c r="E19" i="12"/>
  <c r="D19" i="12"/>
  <c r="B19" i="12"/>
  <c r="H18" i="12"/>
  <c r="F18" i="12"/>
  <c r="E18" i="12"/>
  <c r="D18" i="12"/>
  <c r="B18" i="12"/>
  <c r="H17" i="12"/>
  <c r="F17" i="12"/>
  <c r="E17" i="12"/>
  <c r="D17" i="12"/>
  <c r="B17" i="12"/>
  <c r="H16" i="12"/>
  <c r="F16" i="12"/>
  <c r="E16" i="12"/>
  <c r="D16" i="12"/>
  <c r="B16" i="12"/>
  <c r="H15" i="12"/>
  <c r="F15" i="12"/>
  <c r="E15" i="12"/>
  <c r="D15" i="12"/>
  <c r="B15" i="12"/>
  <c r="H14" i="12"/>
  <c r="G14" i="12"/>
  <c r="F14" i="12"/>
  <c r="E14" i="12"/>
  <c r="D14" i="12"/>
  <c r="B14" i="12"/>
  <c r="H13" i="12"/>
  <c r="F13" i="12"/>
  <c r="E13" i="12"/>
  <c r="D13" i="12"/>
  <c r="B13" i="12"/>
  <c r="H12" i="12"/>
  <c r="G12" i="12"/>
  <c r="F12" i="12"/>
  <c r="E12" i="12"/>
  <c r="D12" i="12"/>
  <c r="B12" i="12"/>
  <c r="H11" i="12"/>
  <c r="F11" i="12"/>
  <c r="E11" i="12"/>
  <c r="D11" i="12"/>
  <c r="B11" i="12"/>
  <c r="H10" i="12"/>
  <c r="F10" i="12"/>
  <c r="E10" i="12"/>
  <c r="D10" i="12"/>
  <c r="B10" i="12"/>
  <c r="H9" i="12"/>
  <c r="F9" i="12"/>
  <c r="E9" i="12"/>
  <c r="D9" i="12"/>
  <c r="B9" i="12"/>
  <c r="K6" i="12"/>
  <c r="D6" i="12"/>
  <c r="D5" i="12"/>
  <c r="D4" i="12"/>
  <c r="AW71" i="11"/>
  <c r="AV71" i="11"/>
  <c r="AU71" i="11"/>
  <c r="J70" i="11"/>
  <c r="H70" i="11"/>
  <c r="G58" i="14" s="1"/>
  <c r="F70" i="11"/>
  <c r="J69" i="11"/>
  <c r="H69" i="11"/>
  <c r="G57" i="14" s="1"/>
  <c r="F69" i="11"/>
  <c r="J68" i="11"/>
  <c r="H68" i="11"/>
  <c r="G56" i="14" s="1"/>
  <c r="F68" i="11"/>
  <c r="J67" i="11"/>
  <c r="H67" i="11"/>
  <c r="G55" i="12" s="1"/>
  <c r="F67" i="11"/>
  <c r="J66" i="11"/>
  <c r="H66" i="11"/>
  <c r="G54" i="14" s="1"/>
  <c r="F66" i="11"/>
  <c r="J65" i="11"/>
  <c r="H65" i="11"/>
  <c r="G53" i="14" s="1"/>
  <c r="F65" i="11"/>
  <c r="J64" i="11"/>
  <c r="H64" i="11"/>
  <c r="G52" i="14" s="1"/>
  <c r="F64" i="11"/>
  <c r="J63" i="11"/>
  <c r="H63" i="11"/>
  <c r="F63" i="11"/>
  <c r="J62" i="11"/>
  <c r="H62" i="11"/>
  <c r="G50" i="14" s="1"/>
  <c r="F62" i="11"/>
  <c r="J61" i="11"/>
  <c r="H61" i="11"/>
  <c r="G49" i="14" s="1"/>
  <c r="F61" i="11"/>
  <c r="J60" i="11"/>
  <c r="H60" i="11"/>
  <c r="G48" i="14" s="1"/>
  <c r="F60" i="11"/>
  <c r="J59" i="11"/>
  <c r="H59" i="11"/>
  <c r="G47" i="14" s="1"/>
  <c r="F59" i="11"/>
  <c r="J58" i="11"/>
  <c r="H58" i="11"/>
  <c r="G46" i="14" s="1"/>
  <c r="F58" i="11"/>
  <c r="J57" i="11"/>
  <c r="H57" i="11"/>
  <c r="G45" i="14" s="1"/>
  <c r="F57" i="11"/>
  <c r="J56" i="11"/>
  <c r="H56" i="11"/>
  <c r="G44" i="14" s="1"/>
  <c r="F56" i="11"/>
  <c r="J55" i="11"/>
  <c r="H55" i="11"/>
  <c r="F55" i="11"/>
  <c r="J54" i="11"/>
  <c r="H54" i="11"/>
  <c r="G42" i="14" s="1"/>
  <c r="F54" i="11"/>
  <c r="J53" i="11"/>
  <c r="H53" i="11"/>
  <c r="G41" i="14" s="1"/>
  <c r="F53" i="11"/>
  <c r="J52" i="11"/>
  <c r="H52" i="11"/>
  <c r="G40" i="14" s="1"/>
  <c r="F52" i="11"/>
  <c r="J51" i="11"/>
  <c r="H51" i="11"/>
  <c r="G39" i="14" s="1"/>
  <c r="F51" i="11"/>
  <c r="J50" i="11"/>
  <c r="H50" i="11"/>
  <c r="G38" i="14" s="1"/>
  <c r="F50" i="11"/>
  <c r="J49" i="11"/>
  <c r="H49" i="11"/>
  <c r="G37" i="14" s="1"/>
  <c r="F49" i="11"/>
  <c r="J48" i="11"/>
  <c r="H48" i="11"/>
  <c r="G36" i="14" s="1"/>
  <c r="F48" i="11"/>
  <c r="J47" i="11"/>
  <c r="H47" i="11"/>
  <c r="F47" i="11"/>
  <c r="J46" i="11"/>
  <c r="J72" i="11" s="1"/>
  <c r="H46" i="11"/>
  <c r="G34" i="14" s="1"/>
  <c r="F46" i="11"/>
  <c r="J45" i="11"/>
  <c r="H45" i="11"/>
  <c r="G33" i="14" s="1"/>
  <c r="F45" i="11"/>
  <c r="J44" i="11"/>
  <c r="H44" i="11"/>
  <c r="G32" i="14" s="1"/>
  <c r="F44" i="11"/>
  <c r="J43" i="11"/>
  <c r="H43" i="11"/>
  <c r="G31" i="14" s="1"/>
  <c r="F43" i="11"/>
  <c r="J42" i="11"/>
  <c r="H42" i="11"/>
  <c r="G30" i="14" s="1"/>
  <c r="F42" i="11"/>
  <c r="J41" i="11"/>
  <c r="H41" i="11"/>
  <c r="G29" i="14" s="1"/>
  <c r="F41" i="11"/>
  <c r="J40" i="11"/>
  <c r="H40" i="11"/>
  <c r="G28" i="14" s="1"/>
  <c r="F40" i="11"/>
  <c r="J39" i="11"/>
  <c r="H39" i="11"/>
  <c r="G27" i="14" s="1"/>
  <c r="F39" i="11"/>
  <c r="J38" i="11"/>
  <c r="H38" i="11"/>
  <c r="G26" i="14" s="1"/>
  <c r="F38" i="11"/>
  <c r="J37" i="11"/>
  <c r="H37" i="11"/>
  <c r="G25" i="14" s="1"/>
  <c r="F37" i="11"/>
  <c r="J36" i="11"/>
  <c r="H36" i="11"/>
  <c r="G24" i="14" s="1"/>
  <c r="F36" i="11"/>
  <c r="J35" i="11"/>
  <c r="H35" i="11"/>
  <c r="G23" i="12" s="1"/>
  <c r="F35" i="11"/>
  <c r="J34" i="11"/>
  <c r="H34" i="11"/>
  <c r="G22" i="14" s="1"/>
  <c r="F34" i="11"/>
  <c r="J33" i="11"/>
  <c r="H33" i="11"/>
  <c r="G21" i="14" s="1"/>
  <c r="F33" i="11"/>
  <c r="J32" i="11"/>
  <c r="H32" i="11"/>
  <c r="G20" i="14" s="1"/>
  <c r="F32" i="11"/>
  <c r="J31" i="11"/>
  <c r="H31" i="11"/>
  <c r="G19" i="14" s="1"/>
  <c r="F31" i="11"/>
  <c r="J30" i="11"/>
  <c r="H30" i="11"/>
  <c r="G18" i="14" s="1"/>
  <c r="F30" i="11"/>
  <c r="J29" i="11"/>
  <c r="H29" i="11"/>
  <c r="G17" i="14" s="1"/>
  <c r="F29" i="11"/>
  <c r="J28" i="11"/>
  <c r="H28" i="11"/>
  <c r="G16" i="12" s="1"/>
  <c r="F28" i="11"/>
  <c r="J27" i="11"/>
  <c r="H27" i="11"/>
  <c r="G15" i="12" s="1"/>
  <c r="F27" i="11"/>
  <c r="J26" i="11"/>
  <c r="H26" i="11"/>
  <c r="G14" i="14" s="1"/>
  <c r="F26" i="11"/>
  <c r="J25" i="11"/>
  <c r="H25" i="11"/>
  <c r="G13" i="14" s="1"/>
  <c r="F25" i="11"/>
  <c r="J24" i="11"/>
  <c r="H24" i="11"/>
  <c r="G12" i="14" s="1"/>
  <c r="F24" i="11"/>
  <c r="J23" i="11"/>
  <c r="J71" i="11" s="1"/>
  <c r="H23" i="11"/>
  <c r="G11" i="14" s="1"/>
  <c r="F23" i="11"/>
  <c r="J22" i="11"/>
  <c r="H22" i="11"/>
  <c r="G10" i="14" s="1"/>
  <c r="F22" i="11"/>
  <c r="J21" i="11"/>
  <c r="I21" i="11"/>
  <c r="I9" i="14" s="1"/>
  <c r="H21" i="11"/>
  <c r="G9" i="14" s="1"/>
  <c r="F21" i="11"/>
  <c r="A21" i="1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G5" i="11"/>
  <c r="E5" i="11"/>
  <c r="H64" i="10"/>
  <c r="D62" i="10"/>
  <c r="D61" i="10"/>
  <c r="D60" i="10"/>
  <c r="H58" i="10"/>
  <c r="F58" i="10"/>
  <c r="E58" i="10"/>
  <c r="D58" i="10"/>
  <c r="B58" i="10"/>
  <c r="H57" i="10"/>
  <c r="F57" i="10"/>
  <c r="E57" i="10"/>
  <c r="D57" i="10"/>
  <c r="B57" i="10"/>
  <c r="H56" i="10"/>
  <c r="F56" i="10"/>
  <c r="E56" i="10"/>
  <c r="D56" i="10"/>
  <c r="B56" i="10"/>
  <c r="H55" i="10"/>
  <c r="F55" i="10"/>
  <c r="E55" i="10"/>
  <c r="D55" i="10"/>
  <c r="B55" i="10"/>
  <c r="H54" i="10"/>
  <c r="F54" i="10"/>
  <c r="E54" i="10"/>
  <c r="D54" i="10"/>
  <c r="B54" i="10"/>
  <c r="H53" i="10"/>
  <c r="F53" i="10"/>
  <c r="E53" i="10"/>
  <c r="D53" i="10"/>
  <c r="B53" i="10"/>
  <c r="H52" i="10"/>
  <c r="F52" i="10"/>
  <c r="E52" i="10"/>
  <c r="D52" i="10"/>
  <c r="B52" i="10"/>
  <c r="H51" i="10"/>
  <c r="F51" i="10"/>
  <c r="E51" i="10"/>
  <c r="D51" i="10"/>
  <c r="B51" i="10"/>
  <c r="H50" i="10"/>
  <c r="F50" i="10"/>
  <c r="E50" i="10"/>
  <c r="D50" i="10"/>
  <c r="B50" i="10"/>
  <c r="H49" i="10"/>
  <c r="F49" i="10"/>
  <c r="E49" i="10"/>
  <c r="D49" i="10"/>
  <c r="B49" i="10"/>
  <c r="H48" i="10"/>
  <c r="F48" i="10"/>
  <c r="E48" i="10"/>
  <c r="D48" i="10"/>
  <c r="B48" i="10"/>
  <c r="H47" i="10"/>
  <c r="F47" i="10"/>
  <c r="E47" i="10"/>
  <c r="D47" i="10"/>
  <c r="B47" i="10"/>
  <c r="H46" i="10"/>
  <c r="F46" i="10"/>
  <c r="E46" i="10"/>
  <c r="D46" i="10"/>
  <c r="B46" i="10"/>
  <c r="H45" i="10"/>
  <c r="F45" i="10"/>
  <c r="E45" i="10"/>
  <c r="D45" i="10"/>
  <c r="B45" i="10"/>
  <c r="H44" i="10"/>
  <c r="F44" i="10"/>
  <c r="E44" i="10"/>
  <c r="D44" i="10"/>
  <c r="B44" i="10"/>
  <c r="H43" i="10"/>
  <c r="F43" i="10"/>
  <c r="E43" i="10"/>
  <c r="D43" i="10"/>
  <c r="B43" i="10"/>
  <c r="H42" i="10"/>
  <c r="F42" i="10"/>
  <c r="E42" i="10"/>
  <c r="D42" i="10"/>
  <c r="B42" i="10"/>
  <c r="H41" i="10"/>
  <c r="F41" i="10"/>
  <c r="E41" i="10"/>
  <c r="D41" i="10"/>
  <c r="B41" i="10"/>
  <c r="H40" i="10"/>
  <c r="F40" i="10"/>
  <c r="E40" i="10"/>
  <c r="D40" i="10"/>
  <c r="B40" i="10"/>
  <c r="H39" i="10"/>
  <c r="F39" i="10"/>
  <c r="E39" i="10"/>
  <c r="D39" i="10"/>
  <c r="B39" i="10"/>
  <c r="H38" i="10"/>
  <c r="F38" i="10"/>
  <c r="E38" i="10"/>
  <c r="D38" i="10"/>
  <c r="B38" i="10"/>
  <c r="H37" i="10"/>
  <c r="F37" i="10"/>
  <c r="E37" i="10"/>
  <c r="D37" i="10"/>
  <c r="B37" i="10"/>
  <c r="H36" i="10"/>
  <c r="F36" i="10"/>
  <c r="E36" i="10"/>
  <c r="D36" i="10"/>
  <c r="B36" i="10"/>
  <c r="H35" i="10"/>
  <c r="F35" i="10"/>
  <c r="E35" i="10"/>
  <c r="D35" i="10"/>
  <c r="B35" i="10"/>
  <c r="H34" i="10"/>
  <c r="F34" i="10"/>
  <c r="E34" i="10"/>
  <c r="D34" i="10"/>
  <c r="B34" i="10"/>
  <c r="H33" i="10"/>
  <c r="F33" i="10"/>
  <c r="E33" i="10"/>
  <c r="D33" i="10"/>
  <c r="B33" i="10"/>
  <c r="H32" i="10"/>
  <c r="F32" i="10"/>
  <c r="E32" i="10"/>
  <c r="D32" i="10"/>
  <c r="B32" i="10"/>
  <c r="H31" i="10"/>
  <c r="F31" i="10"/>
  <c r="E31" i="10"/>
  <c r="D31" i="10"/>
  <c r="B31" i="10"/>
  <c r="H30" i="10"/>
  <c r="F30" i="10"/>
  <c r="E30" i="10"/>
  <c r="D30" i="10"/>
  <c r="B30" i="10"/>
  <c r="H29" i="10"/>
  <c r="F29" i="10"/>
  <c r="E29" i="10"/>
  <c r="D29" i="10"/>
  <c r="B29" i="10"/>
  <c r="H28" i="10"/>
  <c r="F28" i="10"/>
  <c r="E28" i="10"/>
  <c r="D28" i="10"/>
  <c r="B28" i="10"/>
  <c r="H27" i="10"/>
  <c r="F27" i="10"/>
  <c r="E27" i="10"/>
  <c r="D27" i="10"/>
  <c r="B27" i="10"/>
  <c r="H26" i="10"/>
  <c r="F26" i="10"/>
  <c r="E26" i="10"/>
  <c r="D26" i="10"/>
  <c r="B26" i="10"/>
  <c r="H25" i="10"/>
  <c r="F25" i="10"/>
  <c r="E25" i="10"/>
  <c r="D25" i="10"/>
  <c r="B25" i="10"/>
  <c r="H24" i="10"/>
  <c r="F24" i="10"/>
  <c r="E24" i="10"/>
  <c r="D24" i="10"/>
  <c r="B24" i="10"/>
  <c r="H23" i="10"/>
  <c r="F23" i="10"/>
  <c r="E23" i="10"/>
  <c r="D23" i="10"/>
  <c r="B23" i="10"/>
  <c r="H22" i="10"/>
  <c r="F22" i="10"/>
  <c r="E22" i="10"/>
  <c r="D22" i="10"/>
  <c r="B22" i="10"/>
  <c r="H21" i="10"/>
  <c r="F21" i="10"/>
  <c r="E21" i="10"/>
  <c r="D21" i="10"/>
  <c r="B21" i="10"/>
  <c r="H20" i="10"/>
  <c r="F20" i="10"/>
  <c r="E20" i="10"/>
  <c r="D20" i="10"/>
  <c r="B20" i="10"/>
  <c r="H19" i="10"/>
  <c r="F19" i="10"/>
  <c r="E19" i="10"/>
  <c r="D19" i="10"/>
  <c r="B19" i="10"/>
  <c r="H18" i="10"/>
  <c r="F18" i="10"/>
  <c r="E18" i="10"/>
  <c r="D18" i="10"/>
  <c r="B18" i="10"/>
  <c r="H17" i="10"/>
  <c r="F17" i="10"/>
  <c r="E17" i="10"/>
  <c r="D17" i="10"/>
  <c r="B17" i="10"/>
  <c r="H16" i="10"/>
  <c r="F16" i="10"/>
  <c r="E16" i="10"/>
  <c r="D16" i="10"/>
  <c r="B16" i="10"/>
  <c r="H15" i="10"/>
  <c r="F15" i="10"/>
  <c r="E15" i="10"/>
  <c r="D15" i="10"/>
  <c r="B15" i="10"/>
  <c r="H14" i="10"/>
  <c r="F14" i="10"/>
  <c r="E14" i="10"/>
  <c r="D14" i="10"/>
  <c r="B14" i="10"/>
  <c r="H13" i="10"/>
  <c r="F13" i="10"/>
  <c r="E13" i="10"/>
  <c r="D13" i="10"/>
  <c r="B13" i="10"/>
  <c r="H12" i="10"/>
  <c r="F12" i="10"/>
  <c r="E12" i="10"/>
  <c r="D12" i="10"/>
  <c r="B12" i="10"/>
  <c r="H11" i="10"/>
  <c r="F11" i="10"/>
  <c r="E11" i="10"/>
  <c r="D11" i="10"/>
  <c r="B11" i="10"/>
  <c r="H10" i="10"/>
  <c r="F10" i="10"/>
  <c r="E10" i="10"/>
  <c r="D10" i="10"/>
  <c r="B10" i="10"/>
  <c r="H9" i="10"/>
  <c r="F9" i="10"/>
  <c r="E9" i="10"/>
  <c r="D9" i="10"/>
  <c r="B9" i="10"/>
  <c r="K6" i="10"/>
  <c r="D6" i="10"/>
  <c r="D5" i="10"/>
  <c r="D4" i="10"/>
  <c r="J70" i="9"/>
  <c r="I70" i="9"/>
  <c r="F70" i="9"/>
  <c r="AV70" i="9" s="1"/>
  <c r="J69" i="9"/>
  <c r="I69" i="9"/>
  <c r="F69" i="9"/>
  <c r="AV69" i="9" s="1"/>
  <c r="J68" i="9"/>
  <c r="I68" i="9"/>
  <c r="F68" i="9"/>
  <c r="AV68" i="9" s="1"/>
  <c r="J67" i="9"/>
  <c r="I67" i="9"/>
  <c r="F67" i="9"/>
  <c r="AV67" i="9" s="1"/>
  <c r="J66" i="9"/>
  <c r="I66" i="9"/>
  <c r="F66" i="9"/>
  <c r="AV66" i="9" s="1"/>
  <c r="J65" i="9"/>
  <c r="I65" i="9"/>
  <c r="F65" i="9"/>
  <c r="AV65" i="9" s="1"/>
  <c r="J64" i="9"/>
  <c r="I64" i="9"/>
  <c r="F64" i="9"/>
  <c r="AV64" i="9" s="1"/>
  <c r="J63" i="9"/>
  <c r="I63" i="9"/>
  <c r="F63" i="9"/>
  <c r="AV63" i="9" s="1"/>
  <c r="J62" i="9"/>
  <c r="I62" i="9"/>
  <c r="F62" i="9"/>
  <c r="AV62" i="9" s="1"/>
  <c r="J61" i="9"/>
  <c r="I61" i="9"/>
  <c r="F61" i="9"/>
  <c r="AV61" i="9" s="1"/>
  <c r="J60" i="9"/>
  <c r="I60" i="9"/>
  <c r="F60" i="9"/>
  <c r="AV60" i="9" s="1"/>
  <c r="J59" i="9"/>
  <c r="I59" i="9"/>
  <c r="F59" i="9"/>
  <c r="AV59" i="9" s="1"/>
  <c r="J58" i="9"/>
  <c r="I58" i="9"/>
  <c r="F58" i="9"/>
  <c r="AV58" i="9" s="1"/>
  <c r="J57" i="9"/>
  <c r="I57" i="9"/>
  <c r="F57" i="9"/>
  <c r="AV57" i="9" s="1"/>
  <c r="J56" i="9"/>
  <c r="I56" i="9"/>
  <c r="F56" i="9"/>
  <c r="AV56" i="9" s="1"/>
  <c r="J55" i="9"/>
  <c r="I55" i="9"/>
  <c r="F55" i="9"/>
  <c r="AV55" i="9" s="1"/>
  <c r="J54" i="9"/>
  <c r="I54" i="9"/>
  <c r="F54" i="9"/>
  <c r="AV54" i="9" s="1"/>
  <c r="J53" i="9"/>
  <c r="I53" i="9"/>
  <c r="F53" i="9"/>
  <c r="AV53" i="9" s="1"/>
  <c r="J52" i="9"/>
  <c r="I52" i="9"/>
  <c r="F52" i="9"/>
  <c r="AV52" i="9" s="1"/>
  <c r="J51" i="9"/>
  <c r="I51" i="9"/>
  <c r="F51" i="9"/>
  <c r="AV51" i="9" s="1"/>
  <c r="J50" i="9"/>
  <c r="I50" i="9"/>
  <c r="F50" i="9"/>
  <c r="AV50" i="9" s="1"/>
  <c r="J49" i="9"/>
  <c r="I49" i="9"/>
  <c r="F49" i="9"/>
  <c r="AV49" i="9" s="1"/>
  <c r="J48" i="9"/>
  <c r="I48" i="9"/>
  <c r="F48" i="9"/>
  <c r="AV48" i="9" s="1"/>
  <c r="J47" i="9"/>
  <c r="I47" i="9"/>
  <c r="F47" i="9"/>
  <c r="AV47" i="9" s="1"/>
  <c r="J46" i="9"/>
  <c r="J72" i="9" s="1"/>
  <c r="I46" i="9"/>
  <c r="I72" i="9" s="1"/>
  <c r="F46" i="9"/>
  <c r="AV46" i="9" s="1"/>
  <c r="A46" i="9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J45" i="9"/>
  <c r="I45" i="9"/>
  <c r="F45" i="9"/>
  <c r="AV45" i="9" s="1"/>
  <c r="AX44" i="9"/>
  <c r="AW44" i="9"/>
  <c r="AV44" i="9"/>
  <c r="J44" i="9"/>
  <c r="I44" i="9"/>
  <c r="F44" i="9"/>
  <c r="AX43" i="9"/>
  <c r="AW43" i="9"/>
  <c r="J43" i="9"/>
  <c r="I43" i="9"/>
  <c r="F43" i="9"/>
  <c r="AV43" i="9" s="1"/>
  <c r="AW42" i="9"/>
  <c r="AV42" i="9"/>
  <c r="J42" i="9"/>
  <c r="I42" i="9"/>
  <c r="F42" i="9"/>
  <c r="AX42" i="9" s="1"/>
  <c r="AV41" i="9"/>
  <c r="J41" i="9"/>
  <c r="I41" i="9"/>
  <c r="F41" i="9"/>
  <c r="AX41" i="9" s="1"/>
  <c r="AX40" i="9"/>
  <c r="AW40" i="9"/>
  <c r="J40" i="9"/>
  <c r="I40" i="9"/>
  <c r="F40" i="9"/>
  <c r="AV40" i="9" s="1"/>
  <c r="AX39" i="9"/>
  <c r="AW39" i="9"/>
  <c r="AV39" i="9"/>
  <c r="J39" i="9"/>
  <c r="I39" i="9"/>
  <c r="F39" i="9"/>
  <c r="J38" i="9"/>
  <c r="I38" i="9"/>
  <c r="F38" i="9"/>
  <c r="AW38" i="9" s="1"/>
  <c r="J37" i="9"/>
  <c r="I37" i="9"/>
  <c r="F37" i="9"/>
  <c r="AV37" i="9" s="1"/>
  <c r="AX36" i="9"/>
  <c r="AV36" i="9"/>
  <c r="J36" i="9"/>
  <c r="I36" i="9"/>
  <c r="F36" i="9"/>
  <c r="AW36" i="9" s="1"/>
  <c r="AW35" i="9"/>
  <c r="J35" i="9"/>
  <c r="I35" i="9"/>
  <c r="F35" i="9"/>
  <c r="AX35" i="9" s="1"/>
  <c r="AW34" i="9"/>
  <c r="AV34" i="9"/>
  <c r="J34" i="9"/>
  <c r="I34" i="9"/>
  <c r="F34" i="9"/>
  <c r="AX34" i="9" s="1"/>
  <c r="AX33" i="9"/>
  <c r="AV33" i="9"/>
  <c r="J33" i="9"/>
  <c r="I33" i="9"/>
  <c r="F33" i="9"/>
  <c r="AW33" i="9" s="1"/>
  <c r="AX32" i="9"/>
  <c r="AW32" i="9"/>
  <c r="J32" i="9"/>
  <c r="I32" i="9"/>
  <c r="F32" i="9"/>
  <c r="AV32" i="9" s="1"/>
  <c r="AX31" i="9"/>
  <c r="AW31" i="9"/>
  <c r="AV31" i="9"/>
  <c r="J31" i="9"/>
  <c r="I31" i="9"/>
  <c r="F31" i="9"/>
  <c r="J30" i="9"/>
  <c r="I30" i="9"/>
  <c r="F30" i="9"/>
  <c r="AW30" i="9" s="1"/>
  <c r="J29" i="9"/>
  <c r="I29" i="9"/>
  <c r="F29" i="9"/>
  <c r="AV29" i="9" s="1"/>
  <c r="AX28" i="9"/>
  <c r="AV28" i="9"/>
  <c r="J28" i="9"/>
  <c r="I28" i="9"/>
  <c r="F28" i="9"/>
  <c r="AW28" i="9" s="1"/>
  <c r="AW27" i="9"/>
  <c r="J27" i="9"/>
  <c r="I27" i="9"/>
  <c r="F27" i="9"/>
  <c r="AX27" i="9" s="1"/>
  <c r="AW26" i="9"/>
  <c r="AV26" i="9"/>
  <c r="J26" i="9"/>
  <c r="I26" i="9"/>
  <c r="F26" i="9"/>
  <c r="AX26" i="9" s="1"/>
  <c r="AX25" i="9"/>
  <c r="AV25" i="9"/>
  <c r="J25" i="9"/>
  <c r="I25" i="9"/>
  <c r="F25" i="9"/>
  <c r="AW25" i="9" s="1"/>
  <c r="AX24" i="9"/>
  <c r="AW24" i="9"/>
  <c r="J24" i="9"/>
  <c r="I24" i="9"/>
  <c r="F24" i="9"/>
  <c r="AV24" i="9" s="1"/>
  <c r="AX23" i="9"/>
  <c r="AW23" i="9"/>
  <c r="AV23" i="9"/>
  <c r="J23" i="9"/>
  <c r="I23" i="9"/>
  <c r="H23" i="9"/>
  <c r="H24" i="9" s="1"/>
  <c r="F23" i="9"/>
  <c r="J22" i="9"/>
  <c r="I22" i="9"/>
  <c r="H22" i="9"/>
  <c r="I10" i="10" s="1"/>
  <c r="F22" i="9"/>
  <c r="AW22" i="9" s="1"/>
  <c r="J21" i="9"/>
  <c r="J71" i="9" s="1"/>
  <c r="I21" i="9"/>
  <c r="I74" i="9" s="1"/>
  <c r="H21" i="9"/>
  <c r="I9" i="10" s="1"/>
  <c r="F21" i="9"/>
  <c r="AV21" i="9" s="1"/>
  <c r="AV71" i="9" s="1"/>
  <c r="G45" i="8"/>
  <c r="C42" i="8"/>
  <c r="C40" i="8"/>
  <c r="A40" i="8"/>
  <c r="A42" i="8" s="1"/>
  <c r="C38" i="8"/>
  <c r="C36" i="8"/>
  <c r="C34" i="8"/>
  <c r="A34" i="8"/>
  <c r="C32" i="8"/>
  <c r="A32" i="8"/>
  <c r="C30" i="8"/>
  <c r="C28" i="8"/>
  <c r="C26" i="8"/>
  <c r="C24" i="8"/>
  <c r="A24" i="8"/>
  <c r="A26" i="8" s="1"/>
  <c r="C22" i="8"/>
  <c r="C20" i="8"/>
  <c r="K785" i="7"/>
  <c r="J785" i="7"/>
  <c r="I785" i="7"/>
  <c r="H785" i="7"/>
  <c r="K784" i="7"/>
  <c r="J784" i="7"/>
  <c r="I784" i="7"/>
  <c r="H784" i="7"/>
  <c r="K783" i="7"/>
  <c r="J783" i="7"/>
  <c r="I783" i="7"/>
  <c r="H783" i="7"/>
  <c r="K782" i="7"/>
  <c r="J782" i="7"/>
  <c r="I782" i="7"/>
  <c r="H782" i="7"/>
  <c r="K781" i="7"/>
  <c r="J781" i="7"/>
  <c r="I781" i="7"/>
  <c r="H781" i="7"/>
  <c r="K780" i="7"/>
  <c r="J780" i="7"/>
  <c r="I780" i="7"/>
  <c r="H780" i="7"/>
  <c r="K779" i="7"/>
  <c r="J779" i="7"/>
  <c r="I779" i="7"/>
  <c r="H779" i="7"/>
  <c r="K778" i="7"/>
  <c r="J778" i="7"/>
  <c r="I778" i="7"/>
  <c r="H778" i="7"/>
  <c r="K777" i="7"/>
  <c r="J777" i="7"/>
  <c r="I777" i="7"/>
  <c r="H777" i="7"/>
  <c r="K776" i="7"/>
  <c r="J776" i="7"/>
  <c r="I776" i="7"/>
  <c r="H776" i="7"/>
  <c r="K775" i="7"/>
  <c r="J775" i="7"/>
  <c r="I775" i="7"/>
  <c r="H775" i="7"/>
  <c r="K774" i="7"/>
  <c r="J774" i="7"/>
  <c r="I774" i="7"/>
  <c r="H774" i="7"/>
  <c r="K773" i="7"/>
  <c r="J773" i="7"/>
  <c r="I773" i="7"/>
  <c r="H773" i="7"/>
  <c r="K772" i="7"/>
  <c r="J772" i="7"/>
  <c r="I772" i="7"/>
  <c r="H772" i="7"/>
  <c r="K771" i="7"/>
  <c r="J771" i="7"/>
  <c r="I771" i="7"/>
  <c r="H771" i="7"/>
  <c r="K770" i="7"/>
  <c r="J770" i="7"/>
  <c r="I770" i="7"/>
  <c r="H770" i="7"/>
  <c r="K769" i="7"/>
  <c r="J769" i="7"/>
  <c r="I769" i="7"/>
  <c r="H769" i="7"/>
  <c r="K768" i="7"/>
  <c r="J768" i="7"/>
  <c r="I768" i="7"/>
  <c r="H768" i="7"/>
  <c r="K767" i="7"/>
  <c r="J767" i="7"/>
  <c r="I767" i="7"/>
  <c r="H767" i="7"/>
  <c r="K766" i="7"/>
  <c r="J766" i="7"/>
  <c r="I766" i="7"/>
  <c r="H766" i="7"/>
  <c r="K765" i="7"/>
  <c r="J765" i="7"/>
  <c r="I765" i="7"/>
  <c r="H765" i="7"/>
  <c r="K764" i="7"/>
  <c r="J764" i="7"/>
  <c r="I764" i="7"/>
  <c r="H764" i="7"/>
  <c r="K763" i="7"/>
  <c r="J763" i="7"/>
  <c r="I763" i="7"/>
  <c r="H763" i="7"/>
  <c r="K762" i="7"/>
  <c r="J762" i="7"/>
  <c r="I762" i="7"/>
  <c r="H762" i="7"/>
  <c r="K761" i="7"/>
  <c r="J761" i="7"/>
  <c r="I761" i="7"/>
  <c r="H761" i="7"/>
  <c r="K760" i="7"/>
  <c r="J760" i="7"/>
  <c r="I760" i="7"/>
  <c r="H760" i="7"/>
  <c r="K759" i="7"/>
  <c r="J759" i="7"/>
  <c r="I759" i="7"/>
  <c r="H759" i="7"/>
  <c r="K758" i="7"/>
  <c r="J758" i="7"/>
  <c r="I758" i="7"/>
  <c r="H758" i="7"/>
  <c r="K757" i="7"/>
  <c r="J757" i="7"/>
  <c r="I757" i="7"/>
  <c r="H757" i="7"/>
  <c r="K756" i="7"/>
  <c r="J756" i="7"/>
  <c r="I756" i="7"/>
  <c r="H756" i="7"/>
  <c r="K755" i="7"/>
  <c r="J755" i="7"/>
  <c r="I755" i="7"/>
  <c r="H755" i="7"/>
  <c r="K754" i="7"/>
  <c r="J754" i="7"/>
  <c r="I754" i="7"/>
  <c r="H754" i="7"/>
  <c r="K753" i="7"/>
  <c r="J753" i="7"/>
  <c r="I753" i="7"/>
  <c r="H753" i="7"/>
  <c r="K752" i="7"/>
  <c r="J752" i="7"/>
  <c r="I752" i="7"/>
  <c r="H752" i="7"/>
  <c r="K751" i="7"/>
  <c r="J751" i="7"/>
  <c r="I751" i="7"/>
  <c r="H751" i="7"/>
  <c r="K750" i="7"/>
  <c r="J750" i="7"/>
  <c r="I750" i="7"/>
  <c r="H750" i="7"/>
  <c r="K749" i="7"/>
  <c r="J749" i="7"/>
  <c r="I749" i="7"/>
  <c r="H749" i="7"/>
  <c r="K748" i="7"/>
  <c r="J748" i="7"/>
  <c r="I748" i="7"/>
  <c r="H748" i="7"/>
  <c r="K747" i="7"/>
  <c r="J747" i="7"/>
  <c r="I747" i="7"/>
  <c r="H747" i="7"/>
  <c r="K746" i="7"/>
  <c r="J746" i="7"/>
  <c r="I746" i="7"/>
  <c r="H746" i="7"/>
  <c r="K745" i="7"/>
  <c r="J745" i="7"/>
  <c r="I745" i="7"/>
  <c r="H745" i="7"/>
  <c r="K744" i="7"/>
  <c r="J744" i="7"/>
  <c r="I744" i="7"/>
  <c r="H744" i="7"/>
  <c r="K743" i="7"/>
  <c r="J743" i="7"/>
  <c r="I743" i="7"/>
  <c r="H743" i="7"/>
  <c r="K742" i="7"/>
  <c r="J742" i="7"/>
  <c r="I742" i="7"/>
  <c r="H742" i="7"/>
  <c r="K741" i="7"/>
  <c r="J741" i="7"/>
  <c r="I741" i="7"/>
  <c r="H741" i="7"/>
  <c r="K740" i="7"/>
  <c r="J740" i="7"/>
  <c r="I740" i="7"/>
  <c r="H740" i="7"/>
  <c r="K739" i="7"/>
  <c r="J739" i="7"/>
  <c r="I739" i="7"/>
  <c r="H739" i="7"/>
  <c r="K738" i="7"/>
  <c r="J738" i="7"/>
  <c r="I738" i="7"/>
  <c r="H738" i="7"/>
  <c r="K737" i="7"/>
  <c r="J737" i="7"/>
  <c r="I737" i="7"/>
  <c r="H737" i="7"/>
  <c r="K736" i="7"/>
  <c r="J736" i="7"/>
  <c r="I736" i="7"/>
  <c r="H736" i="7"/>
  <c r="K735" i="7"/>
  <c r="J735" i="7"/>
  <c r="I735" i="7"/>
  <c r="H735" i="7"/>
  <c r="K734" i="7"/>
  <c r="J734" i="7"/>
  <c r="I734" i="7"/>
  <c r="H734" i="7"/>
  <c r="K733" i="7"/>
  <c r="J733" i="7"/>
  <c r="I733" i="7"/>
  <c r="H733" i="7"/>
  <c r="K732" i="7"/>
  <c r="J732" i="7"/>
  <c r="I732" i="7"/>
  <c r="H732" i="7"/>
  <c r="K731" i="7"/>
  <c r="J731" i="7"/>
  <c r="I731" i="7"/>
  <c r="H731" i="7"/>
  <c r="K730" i="7"/>
  <c r="J730" i="7"/>
  <c r="I730" i="7"/>
  <c r="H730" i="7"/>
  <c r="K729" i="7"/>
  <c r="J729" i="7"/>
  <c r="I729" i="7"/>
  <c r="H729" i="7"/>
  <c r="K728" i="7"/>
  <c r="J728" i="7"/>
  <c r="I728" i="7"/>
  <c r="H728" i="7"/>
  <c r="K727" i="7"/>
  <c r="J727" i="7"/>
  <c r="I727" i="7"/>
  <c r="H727" i="7"/>
  <c r="K726" i="7"/>
  <c r="J726" i="7"/>
  <c r="I726" i="7"/>
  <c r="H726" i="7"/>
  <c r="K725" i="7"/>
  <c r="J725" i="7"/>
  <c r="I725" i="7"/>
  <c r="H725" i="7"/>
  <c r="K724" i="7"/>
  <c r="J724" i="7"/>
  <c r="I724" i="7"/>
  <c r="H724" i="7"/>
  <c r="K723" i="7"/>
  <c r="J723" i="7"/>
  <c r="I723" i="7"/>
  <c r="H723" i="7"/>
  <c r="K722" i="7"/>
  <c r="J722" i="7"/>
  <c r="I722" i="7"/>
  <c r="H722" i="7"/>
  <c r="K721" i="7"/>
  <c r="J721" i="7"/>
  <c r="I721" i="7"/>
  <c r="H721" i="7"/>
  <c r="K720" i="7"/>
  <c r="J720" i="7"/>
  <c r="I720" i="7"/>
  <c r="H720" i="7"/>
  <c r="K719" i="7"/>
  <c r="J719" i="7"/>
  <c r="I719" i="7"/>
  <c r="H719" i="7"/>
  <c r="K718" i="7"/>
  <c r="J718" i="7"/>
  <c r="I718" i="7"/>
  <c r="H718" i="7"/>
  <c r="K717" i="7"/>
  <c r="J717" i="7"/>
  <c r="I717" i="7"/>
  <c r="H717" i="7"/>
  <c r="K716" i="7"/>
  <c r="J716" i="7"/>
  <c r="I716" i="7"/>
  <c r="H716" i="7"/>
  <c r="K715" i="7"/>
  <c r="J715" i="7"/>
  <c r="I715" i="7"/>
  <c r="H715" i="7"/>
  <c r="K714" i="7"/>
  <c r="J714" i="7"/>
  <c r="I714" i="7"/>
  <c r="H714" i="7"/>
  <c r="K713" i="7"/>
  <c r="J713" i="7"/>
  <c r="I713" i="7"/>
  <c r="H713" i="7"/>
  <c r="K712" i="7"/>
  <c r="J712" i="7"/>
  <c r="I712" i="7"/>
  <c r="H712" i="7"/>
  <c r="K711" i="7"/>
  <c r="J711" i="7"/>
  <c r="I711" i="7"/>
  <c r="H711" i="7"/>
  <c r="K710" i="7"/>
  <c r="J710" i="7"/>
  <c r="I710" i="7"/>
  <c r="H710" i="7"/>
  <c r="K709" i="7"/>
  <c r="J709" i="7"/>
  <c r="I709" i="7"/>
  <c r="H709" i="7"/>
  <c r="K708" i="7"/>
  <c r="J708" i="7"/>
  <c r="I708" i="7"/>
  <c r="H708" i="7"/>
  <c r="K707" i="7"/>
  <c r="J707" i="7"/>
  <c r="I707" i="7"/>
  <c r="H707" i="7"/>
  <c r="K706" i="7"/>
  <c r="J706" i="7"/>
  <c r="I706" i="7"/>
  <c r="H706" i="7"/>
  <c r="K705" i="7"/>
  <c r="J705" i="7"/>
  <c r="I705" i="7"/>
  <c r="H705" i="7"/>
  <c r="K704" i="7"/>
  <c r="J704" i="7"/>
  <c r="I704" i="7"/>
  <c r="H704" i="7"/>
  <c r="K703" i="7"/>
  <c r="J703" i="7"/>
  <c r="I703" i="7"/>
  <c r="H703" i="7"/>
  <c r="K702" i="7"/>
  <c r="J702" i="7"/>
  <c r="I702" i="7"/>
  <c r="H702" i="7"/>
  <c r="K701" i="7"/>
  <c r="J701" i="7"/>
  <c r="I701" i="7"/>
  <c r="H701" i="7"/>
  <c r="K700" i="7"/>
  <c r="J700" i="7"/>
  <c r="I700" i="7"/>
  <c r="H700" i="7"/>
  <c r="K699" i="7"/>
  <c r="J699" i="7"/>
  <c r="I699" i="7"/>
  <c r="H699" i="7"/>
  <c r="K698" i="7"/>
  <c r="J698" i="7"/>
  <c r="I698" i="7"/>
  <c r="H698" i="7"/>
  <c r="K697" i="7"/>
  <c r="J697" i="7"/>
  <c r="I697" i="7"/>
  <c r="H697" i="7"/>
  <c r="K696" i="7"/>
  <c r="J696" i="7"/>
  <c r="I696" i="7"/>
  <c r="H696" i="7"/>
  <c r="K695" i="7"/>
  <c r="J695" i="7"/>
  <c r="I695" i="7"/>
  <c r="H695" i="7"/>
  <c r="K694" i="7"/>
  <c r="J694" i="7"/>
  <c r="I694" i="7"/>
  <c r="H694" i="7"/>
  <c r="K693" i="7"/>
  <c r="J693" i="7"/>
  <c r="I693" i="7"/>
  <c r="H693" i="7"/>
  <c r="K692" i="7"/>
  <c r="J692" i="7"/>
  <c r="I692" i="7"/>
  <c r="H692" i="7"/>
  <c r="K691" i="7"/>
  <c r="J691" i="7"/>
  <c r="I691" i="7"/>
  <c r="H691" i="7"/>
  <c r="K690" i="7"/>
  <c r="J690" i="7"/>
  <c r="I690" i="7"/>
  <c r="H690" i="7"/>
  <c r="K689" i="7"/>
  <c r="J689" i="7"/>
  <c r="I689" i="7"/>
  <c r="H689" i="7"/>
  <c r="K688" i="7"/>
  <c r="J688" i="7"/>
  <c r="I688" i="7"/>
  <c r="H688" i="7"/>
  <c r="K687" i="7"/>
  <c r="J687" i="7"/>
  <c r="I687" i="7"/>
  <c r="H687" i="7"/>
  <c r="K686" i="7"/>
  <c r="J686" i="7"/>
  <c r="I686" i="7"/>
  <c r="H686" i="7"/>
  <c r="K685" i="7"/>
  <c r="J685" i="7"/>
  <c r="I685" i="7"/>
  <c r="H685" i="7"/>
  <c r="K684" i="7"/>
  <c r="J684" i="7"/>
  <c r="I684" i="7"/>
  <c r="H684" i="7"/>
  <c r="K683" i="7"/>
  <c r="J683" i="7"/>
  <c r="I683" i="7"/>
  <c r="H683" i="7"/>
  <c r="K682" i="7"/>
  <c r="J682" i="7"/>
  <c r="I682" i="7"/>
  <c r="H682" i="7"/>
  <c r="K681" i="7"/>
  <c r="J681" i="7"/>
  <c r="I681" i="7"/>
  <c r="H681" i="7"/>
  <c r="K680" i="7"/>
  <c r="J680" i="7"/>
  <c r="I680" i="7"/>
  <c r="H680" i="7"/>
  <c r="K679" i="7"/>
  <c r="J679" i="7"/>
  <c r="I679" i="7"/>
  <c r="H679" i="7"/>
  <c r="K678" i="7"/>
  <c r="J678" i="7"/>
  <c r="I678" i="7"/>
  <c r="H678" i="7"/>
  <c r="K677" i="7"/>
  <c r="J677" i="7"/>
  <c r="I677" i="7"/>
  <c r="H677" i="7"/>
  <c r="K676" i="7"/>
  <c r="J676" i="7"/>
  <c r="I676" i="7"/>
  <c r="H676" i="7"/>
  <c r="K675" i="7"/>
  <c r="J675" i="7"/>
  <c r="I675" i="7"/>
  <c r="H675" i="7"/>
  <c r="K674" i="7"/>
  <c r="J674" i="7"/>
  <c r="I674" i="7"/>
  <c r="H674" i="7"/>
  <c r="K673" i="7"/>
  <c r="J673" i="7"/>
  <c r="I673" i="7"/>
  <c r="H673" i="7"/>
  <c r="K672" i="7"/>
  <c r="J672" i="7"/>
  <c r="I672" i="7"/>
  <c r="H672" i="7"/>
  <c r="K671" i="7"/>
  <c r="J671" i="7"/>
  <c r="I671" i="7"/>
  <c r="H671" i="7"/>
  <c r="K670" i="7"/>
  <c r="J670" i="7"/>
  <c r="I670" i="7"/>
  <c r="H670" i="7"/>
  <c r="K669" i="7"/>
  <c r="J669" i="7"/>
  <c r="I669" i="7"/>
  <c r="H669" i="7"/>
  <c r="K668" i="7"/>
  <c r="J668" i="7"/>
  <c r="I668" i="7"/>
  <c r="H668" i="7"/>
  <c r="K667" i="7"/>
  <c r="J667" i="7"/>
  <c r="I667" i="7"/>
  <c r="H667" i="7"/>
  <c r="K666" i="7"/>
  <c r="J666" i="7"/>
  <c r="I666" i="7"/>
  <c r="H666" i="7"/>
  <c r="K665" i="7"/>
  <c r="J665" i="7"/>
  <c r="I665" i="7"/>
  <c r="H665" i="7"/>
  <c r="K664" i="7"/>
  <c r="J664" i="7"/>
  <c r="I664" i="7"/>
  <c r="H664" i="7"/>
  <c r="K663" i="7"/>
  <c r="J663" i="7"/>
  <c r="I663" i="7"/>
  <c r="H663" i="7"/>
  <c r="K662" i="7"/>
  <c r="J662" i="7"/>
  <c r="I662" i="7"/>
  <c r="H662" i="7"/>
  <c r="K661" i="7"/>
  <c r="J661" i="7"/>
  <c r="I661" i="7"/>
  <c r="H661" i="7"/>
  <c r="K660" i="7"/>
  <c r="J660" i="7"/>
  <c r="I660" i="7"/>
  <c r="H660" i="7"/>
  <c r="K659" i="7"/>
  <c r="J659" i="7"/>
  <c r="I659" i="7"/>
  <c r="H659" i="7"/>
  <c r="K658" i="7"/>
  <c r="J658" i="7"/>
  <c r="I658" i="7"/>
  <c r="H658" i="7"/>
  <c r="K657" i="7"/>
  <c r="J657" i="7"/>
  <c r="I657" i="7"/>
  <c r="H657" i="7"/>
  <c r="K656" i="7"/>
  <c r="J656" i="7"/>
  <c r="I656" i="7"/>
  <c r="H656" i="7"/>
  <c r="K655" i="7"/>
  <c r="J655" i="7"/>
  <c r="I655" i="7"/>
  <c r="H655" i="7"/>
  <c r="K654" i="7"/>
  <c r="J654" i="7"/>
  <c r="I654" i="7"/>
  <c r="H654" i="7"/>
  <c r="K653" i="7"/>
  <c r="J653" i="7"/>
  <c r="I653" i="7"/>
  <c r="H653" i="7"/>
  <c r="K652" i="7"/>
  <c r="J652" i="7"/>
  <c r="I652" i="7"/>
  <c r="H652" i="7"/>
  <c r="K651" i="7"/>
  <c r="J651" i="7"/>
  <c r="I651" i="7"/>
  <c r="H651" i="7"/>
  <c r="K650" i="7"/>
  <c r="J650" i="7"/>
  <c r="I650" i="7"/>
  <c r="H650" i="7"/>
  <c r="K649" i="7"/>
  <c r="J649" i="7"/>
  <c r="I649" i="7"/>
  <c r="H649" i="7"/>
  <c r="K648" i="7"/>
  <c r="J648" i="7"/>
  <c r="I648" i="7"/>
  <c r="H648" i="7"/>
  <c r="K647" i="7"/>
  <c r="J647" i="7"/>
  <c r="I647" i="7"/>
  <c r="H647" i="7"/>
  <c r="K646" i="7"/>
  <c r="J646" i="7"/>
  <c r="I646" i="7"/>
  <c r="H646" i="7"/>
  <c r="K645" i="7"/>
  <c r="J645" i="7"/>
  <c r="I645" i="7"/>
  <c r="H645" i="7"/>
  <c r="K644" i="7"/>
  <c r="J644" i="7"/>
  <c r="I644" i="7"/>
  <c r="H644" i="7"/>
  <c r="K643" i="7"/>
  <c r="J643" i="7"/>
  <c r="I643" i="7"/>
  <c r="H643" i="7"/>
  <c r="K642" i="7"/>
  <c r="J642" i="7"/>
  <c r="I642" i="7"/>
  <c r="H642" i="7"/>
  <c r="K641" i="7"/>
  <c r="J641" i="7"/>
  <c r="I641" i="7"/>
  <c r="H641" i="7"/>
  <c r="K640" i="7"/>
  <c r="J640" i="7"/>
  <c r="I640" i="7"/>
  <c r="H640" i="7"/>
  <c r="K639" i="7"/>
  <c r="J639" i="7"/>
  <c r="I639" i="7"/>
  <c r="H639" i="7"/>
  <c r="K638" i="7"/>
  <c r="J638" i="7"/>
  <c r="I638" i="7"/>
  <c r="H638" i="7"/>
  <c r="K637" i="7"/>
  <c r="J637" i="7"/>
  <c r="I637" i="7"/>
  <c r="H637" i="7"/>
  <c r="K636" i="7"/>
  <c r="J636" i="7"/>
  <c r="I636" i="7"/>
  <c r="H636" i="7"/>
  <c r="K635" i="7"/>
  <c r="J635" i="7"/>
  <c r="I635" i="7"/>
  <c r="H635" i="7"/>
  <c r="K634" i="7"/>
  <c r="J634" i="7"/>
  <c r="I634" i="7"/>
  <c r="H634" i="7"/>
  <c r="K633" i="7"/>
  <c r="J633" i="7"/>
  <c r="I633" i="7"/>
  <c r="H633" i="7"/>
  <c r="K632" i="7"/>
  <c r="J632" i="7"/>
  <c r="I632" i="7"/>
  <c r="H632" i="7"/>
  <c r="K631" i="7"/>
  <c r="J631" i="7"/>
  <c r="I631" i="7"/>
  <c r="H631" i="7"/>
  <c r="K630" i="7"/>
  <c r="J630" i="7"/>
  <c r="I630" i="7"/>
  <c r="H630" i="7"/>
  <c r="K629" i="7"/>
  <c r="J629" i="7"/>
  <c r="I629" i="7"/>
  <c r="H629" i="7"/>
  <c r="K628" i="7"/>
  <c r="J628" i="7"/>
  <c r="I628" i="7"/>
  <c r="H628" i="7"/>
  <c r="K627" i="7"/>
  <c r="J627" i="7"/>
  <c r="I627" i="7"/>
  <c r="H627" i="7"/>
  <c r="K626" i="7"/>
  <c r="J626" i="7"/>
  <c r="I626" i="7"/>
  <c r="H626" i="7"/>
  <c r="K625" i="7"/>
  <c r="J625" i="7"/>
  <c r="I625" i="7"/>
  <c r="H625" i="7"/>
  <c r="K624" i="7"/>
  <c r="J624" i="7"/>
  <c r="I624" i="7"/>
  <c r="H624" i="7"/>
  <c r="K623" i="7"/>
  <c r="J623" i="7"/>
  <c r="I623" i="7"/>
  <c r="H623" i="7"/>
  <c r="K622" i="7"/>
  <c r="J622" i="7"/>
  <c r="I622" i="7"/>
  <c r="H622" i="7"/>
  <c r="K621" i="7"/>
  <c r="J621" i="7"/>
  <c r="I621" i="7"/>
  <c r="H621" i="7"/>
  <c r="K620" i="7"/>
  <c r="J620" i="7"/>
  <c r="I620" i="7"/>
  <c r="H620" i="7"/>
  <c r="K619" i="7"/>
  <c r="J619" i="7"/>
  <c r="I619" i="7"/>
  <c r="H619" i="7"/>
  <c r="K618" i="7"/>
  <c r="J618" i="7"/>
  <c r="I618" i="7"/>
  <c r="H618" i="7"/>
  <c r="K617" i="7"/>
  <c r="J617" i="7"/>
  <c r="I617" i="7"/>
  <c r="H617" i="7"/>
  <c r="K616" i="7"/>
  <c r="J616" i="7"/>
  <c r="I616" i="7"/>
  <c r="H616" i="7"/>
  <c r="K615" i="7"/>
  <c r="J615" i="7"/>
  <c r="I615" i="7"/>
  <c r="H615" i="7"/>
  <c r="K614" i="7"/>
  <c r="J614" i="7"/>
  <c r="I614" i="7"/>
  <c r="H614" i="7"/>
  <c r="K613" i="7"/>
  <c r="J613" i="7"/>
  <c r="I613" i="7"/>
  <c r="H613" i="7"/>
  <c r="K612" i="7"/>
  <c r="J612" i="7"/>
  <c r="I612" i="7"/>
  <c r="H612" i="7"/>
  <c r="K611" i="7"/>
  <c r="J611" i="7"/>
  <c r="I611" i="7"/>
  <c r="H611" i="7"/>
  <c r="K610" i="7"/>
  <c r="J610" i="7"/>
  <c r="I610" i="7"/>
  <c r="H610" i="7"/>
  <c r="K609" i="7"/>
  <c r="J609" i="7"/>
  <c r="I609" i="7"/>
  <c r="H609" i="7"/>
  <c r="K608" i="7"/>
  <c r="J608" i="7"/>
  <c r="I608" i="7"/>
  <c r="H608" i="7"/>
  <c r="K607" i="7"/>
  <c r="J607" i="7"/>
  <c r="I607" i="7"/>
  <c r="H607" i="7"/>
  <c r="K606" i="7"/>
  <c r="J606" i="7"/>
  <c r="I606" i="7"/>
  <c r="H606" i="7"/>
  <c r="K605" i="7"/>
  <c r="J605" i="7"/>
  <c r="I605" i="7"/>
  <c r="H605" i="7"/>
  <c r="K604" i="7"/>
  <c r="J604" i="7"/>
  <c r="I604" i="7"/>
  <c r="H604" i="7"/>
  <c r="K603" i="7"/>
  <c r="J603" i="7"/>
  <c r="I603" i="7"/>
  <c r="H603" i="7"/>
  <c r="K602" i="7"/>
  <c r="J602" i="7"/>
  <c r="I602" i="7"/>
  <c r="H602" i="7"/>
  <c r="K601" i="7"/>
  <c r="J601" i="7"/>
  <c r="I601" i="7"/>
  <c r="H601" i="7"/>
  <c r="K600" i="7"/>
  <c r="J600" i="7"/>
  <c r="I600" i="7"/>
  <c r="H600" i="7"/>
  <c r="K599" i="7"/>
  <c r="J599" i="7"/>
  <c r="I599" i="7"/>
  <c r="H599" i="7"/>
  <c r="K598" i="7"/>
  <c r="J598" i="7"/>
  <c r="I598" i="7"/>
  <c r="H598" i="7"/>
  <c r="K597" i="7"/>
  <c r="J597" i="7"/>
  <c r="I597" i="7"/>
  <c r="H597" i="7"/>
  <c r="K596" i="7"/>
  <c r="J596" i="7"/>
  <c r="I596" i="7"/>
  <c r="H596" i="7"/>
  <c r="K595" i="7"/>
  <c r="J595" i="7"/>
  <c r="I595" i="7"/>
  <c r="H595" i="7"/>
  <c r="K594" i="7"/>
  <c r="J594" i="7"/>
  <c r="I594" i="7"/>
  <c r="H594" i="7"/>
  <c r="K593" i="7"/>
  <c r="J593" i="7"/>
  <c r="I593" i="7"/>
  <c r="H593" i="7"/>
  <c r="K592" i="7"/>
  <c r="J592" i="7"/>
  <c r="I592" i="7"/>
  <c r="H592" i="7"/>
  <c r="K591" i="7"/>
  <c r="J591" i="7"/>
  <c r="I591" i="7"/>
  <c r="H591" i="7"/>
  <c r="K590" i="7"/>
  <c r="J590" i="7"/>
  <c r="I590" i="7"/>
  <c r="H590" i="7"/>
  <c r="K589" i="7"/>
  <c r="J589" i="7"/>
  <c r="I589" i="7"/>
  <c r="H589" i="7"/>
  <c r="K588" i="7"/>
  <c r="J588" i="7"/>
  <c r="I588" i="7"/>
  <c r="H588" i="7"/>
  <c r="K587" i="7"/>
  <c r="J587" i="7"/>
  <c r="I587" i="7"/>
  <c r="H587" i="7"/>
  <c r="K586" i="7"/>
  <c r="J586" i="7"/>
  <c r="I586" i="7"/>
  <c r="H586" i="7"/>
  <c r="K585" i="7"/>
  <c r="J585" i="7"/>
  <c r="I585" i="7"/>
  <c r="H585" i="7"/>
  <c r="K584" i="7"/>
  <c r="J584" i="7"/>
  <c r="I584" i="7"/>
  <c r="H584" i="7"/>
  <c r="K583" i="7"/>
  <c r="J583" i="7"/>
  <c r="I583" i="7"/>
  <c r="H583" i="7"/>
  <c r="K582" i="7"/>
  <c r="J582" i="7"/>
  <c r="I582" i="7"/>
  <c r="H582" i="7"/>
  <c r="K581" i="7"/>
  <c r="J581" i="7"/>
  <c r="I581" i="7"/>
  <c r="H581" i="7"/>
  <c r="K580" i="7"/>
  <c r="J580" i="7"/>
  <c r="I580" i="7"/>
  <c r="H580" i="7"/>
  <c r="K579" i="7"/>
  <c r="J579" i="7"/>
  <c r="I579" i="7"/>
  <c r="H579" i="7"/>
  <c r="K578" i="7"/>
  <c r="J578" i="7"/>
  <c r="I578" i="7"/>
  <c r="H578" i="7"/>
  <c r="K577" i="7"/>
  <c r="J577" i="7"/>
  <c r="I577" i="7"/>
  <c r="H577" i="7"/>
  <c r="K576" i="7"/>
  <c r="J576" i="7"/>
  <c r="I576" i="7"/>
  <c r="H576" i="7"/>
  <c r="K575" i="7"/>
  <c r="J575" i="7"/>
  <c r="I575" i="7"/>
  <c r="H575" i="7"/>
  <c r="K574" i="7"/>
  <c r="J574" i="7"/>
  <c r="I574" i="7"/>
  <c r="H574" i="7"/>
  <c r="K573" i="7"/>
  <c r="J573" i="7"/>
  <c r="I573" i="7"/>
  <c r="H573" i="7"/>
  <c r="K572" i="7"/>
  <c r="J572" i="7"/>
  <c r="I572" i="7"/>
  <c r="H572" i="7"/>
  <c r="K571" i="7"/>
  <c r="J571" i="7"/>
  <c r="I571" i="7"/>
  <c r="H571" i="7"/>
  <c r="K570" i="7"/>
  <c r="J570" i="7"/>
  <c r="I570" i="7"/>
  <c r="H570" i="7"/>
  <c r="K569" i="7"/>
  <c r="J569" i="7"/>
  <c r="I569" i="7"/>
  <c r="H569" i="7"/>
  <c r="K568" i="7"/>
  <c r="J568" i="7"/>
  <c r="I568" i="7"/>
  <c r="H568" i="7"/>
  <c r="K567" i="7"/>
  <c r="J567" i="7"/>
  <c r="I567" i="7"/>
  <c r="H567" i="7"/>
  <c r="K566" i="7"/>
  <c r="J566" i="7"/>
  <c r="I566" i="7"/>
  <c r="H566" i="7"/>
  <c r="K565" i="7"/>
  <c r="J565" i="7"/>
  <c r="I565" i="7"/>
  <c r="H565" i="7"/>
  <c r="K564" i="7"/>
  <c r="J564" i="7"/>
  <c r="I564" i="7"/>
  <c r="H564" i="7"/>
  <c r="K563" i="7"/>
  <c r="J563" i="7"/>
  <c r="I563" i="7"/>
  <c r="H563" i="7"/>
  <c r="K562" i="7"/>
  <c r="J562" i="7"/>
  <c r="I562" i="7"/>
  <c r="H562" i="7"/>
  <c r="K561" i="7"/>
  <c r="J561" i="7"/>
  <c r="I561" i="7"/>
  <c r="H561" i="7"/>
  <c r="K560" i="7"/>
  <c r="J560" i="7"/>
  <c r="I560" i="7"/>
  <c r="H560" i="7"/>
  <c r="K559" i="7"/>
  <c r="J559" i="7"/>
  <c r="I559" i="7"/>
  <c r="H559" i="7"/>
  <c r="K558" i="7"/>
  <c r="J558" i="7"/>
  <c r="I558" i="7"/>
  <c r="H558" i="7"/>
  <c r="K557" i="7"/>
  <c r="J557" i="7"/>
  <c r="I557" i="7"/>
  <c r="H557" i="7"/>
  <c r="K556" i="7"/>
  <c r="J556" i="7"/>
  <c r="I556" i="7"/>
  <c r="H556" i="7"/>
  <c r="K555" i="7"/>
  <c r="J555" i="7"/>
  <c r="I555" i="7"/>
  <c r="H555" i="7"/>
  <c r="K554" i="7"/>
  <c r="J554" i="7"/>
  <c r="I554" i="7"/>
  <c r="H554" i="7"/>
  <c r="K553" i="7"/>
  <c r="J553" i="7"/>
  <c r="I553" i="7"/>
  <c r="H553" i="7"/>
  <c r="K552" i="7"/>
  <c r="J552" i="7"/>
  <c r="I552" i="7"/>
  <c r="H552" i="7"/>
  <c r="K551" i="7"/>
  <c r="J551" i="7"/>
  <c r="I551" i="7"/>
  <c r="H551" i="7"/>
  <c r="K550" i="7"/>
  <c r="J550" i="7"/>
  <c r="I550" i="7"/>
  <c r="H550" i="7"/>
  <c r="K549" i="7"/>
  <c r="J549" i="7"/>
  <c r="I549" i="7"/>
  <c r="H549" i="7"/>
  <c r="K548" i="7"/>
  <c r="J548" i="7"/>
  <c r="I548" i="7"/>
  <c r="H548" i="7"/>
  <c r="K547" i="7"/>
  <c r="J547" i="7"/>
  <c r="I547" i="7"/>
  <c r="H547" i="7"/>
  <c r="K546" i="7"/>
  <c r="J546" i="7"/>
  <c r="I546" i="7"/>
  <c r="H546" i="7"/>
  <c r="K545" i="7"/>
  <c r="J545" i="7"/>
  <c r="I545" i="7"/>
  <c r="H545" i="7"/>
  <c r="K544" i="7"/>
  <c r="J544" i="7"/>
  <c r="I544" i="7"/>
  <c r="H544" i="7"/>
  <c r="K543" i="7"/>
  <c r="J543" i="7"/>
  <c r="I543" i="7"/>
  <c r="H543" i="7"/>
  <c r="K542" i="7"/>
  <c r="J542" i="7"/>
  <c r="I542" i="7"/>
  <c r="H542" i="7"/>
  <c r="K541" i="7"/>
  <c r="J541" i="7"/>
  <c r="I541" i="7"/>
  <c r="H541" i="7"/>
  <c r="K540" i="7"/>
  <c r="J540" i="7"/>
  <c r="I540" i="7"/>
  <c r="H540" i="7"/>
  <c r="K539" i="7"/>
  <c r="J539" i="7"/>
  <c r="I539" i="7"/>
  <c r="H539" i="7"/>
  <c r="K538" i="7"/>
  <c r="J538" i="7"/>
  <c r="I538" i="7"/>
  <c r="H538" i="7"/>
  <c r="K537" i="7"/>
  <c r="J537" i="7"/>
  <c r="I537" i="7"/>
  <c r="H537" i="7"/>
  <c r="K536" i="7"/>
  <c r="J536" i="7"/>
  <c r="I536" i="7"/>
  <c r="H536" i="7"/>
  <c r="K535" i="7"/>
  <c r="J535" i="7"/>
  <c r="I535" i="7"/>
  <c r="H535" i="7"/>
  <c r="K534" i="7"/>
  <c r="J534" i="7"/>
  <c r="I534" i="7"/>
  <c r="H534" i="7"/>
  <c r="K533" i="7"/>
  <c r="J533" i="7"/>
  <c r="I533" i="7"/>
  <c r="H533" i="7"/>
  <c r="K532" i="7"/>
  <c r="J532" i="7"/>
  <c r="I532" i="7"/>
  <c r="H532" i="7"/>
  <c r="K531" i="7"/>
  <c r="J531" i="7"/>
  <c r="I531" i="7"/>
  <c r="H531" i="7"/>
  <c r="K530" i="7"/>
  <c r="J530" i="7"/>
  <c r="I530" i="7"/>
  <c r="H530" i="7"/>
  <c r="K529" i="7"/>
  <c r="J529" i="7"/>
  <c r="I529" i="7"/>
  <c r="H529" i="7"/>
  <c r="K528" i="7"/>
  <c r="J528" i="7"/>
  <c r="I528" i="7"/>
  <c r="H528" i="7"/>
  <c r="K527" i="7"/>
  <c r="J527" i="7"/>
  <c r="I527" i="7"/>
  <c r="H527" i="7"/>
  <c r="K526" i="7"/>
  <c r="J526" i="7"/>
  <c r="I526" i="7"/>
  <c r="H526" i="7"/>
  <c r="K525" i="7"/>
  <c r="J525" i="7"/>
  <c r="I525" i="7"/>
  <c r="H525" i="7"/>
  <c r="K524" i="7"/>
  <c r="J524" i="7"/>
  <c r="I524" i="7"/>
  <c r="H524" i="7"/>
  <c r="K523" i="7"/>
  <c r="J523" i="7"/>
  <c r="I523" i="7"/>
  <c r="H523" i="7"/>
  <c r="K522" i="7"/>
  <c r="J522" i="7"/>
  <c r="I522" i="7"/>
  <c r="H522" i="7"/>
  <c r="K521" i="7"/>
  <c r="J521" i="7"/>
  <c r="I521" i="7"/>
  <c r="H521" i="7"/>
  <c r="K520" i="7"/>
  <c r="J520" i="7"/>
  <c r="I520" i="7"/>
  <c r="H520" i="7"/>
  <c r="K519" i="7"/>
  <c r="J519" i="7"/>
  <c r="I519" i="7"/>
  <c r="H519" i="7"/>
  <c r="K518" i="7"/>
  <c r="J518" i="7"/>
  <c r="I518" i="7"/>
  <c r="H518" i="7"/>
  <c r="K517" i="7"/>
  <c r="J517" i="7"/>
  <c r="I517" i="7"/>
  <c r="H517" i="7"/>
  <c r="K516" i="7"/>
  <c r="J516" i="7"/>
  <c r="I516" i="7"/>
  <c r="H516" i="7"/>
  <c r="K515" i="7"/>
  <c r="J515" i="7"/>
  <c r="I515" i="7"/>
  <c r="H515" i="7"/>
  <c r="K514" i="7"/>
  <c r="J514" i="7"/>
  <c r="I514" i="7"/>
  <c r="H514" i="7"/>
  <c r="K513" i="7"/>
  <c r="J513" i="7"/>
  <c r="I513" i="7"/>
  <c r="H513" i="7"/>
  <c r="K512" i="7"/>
  <c r="J512" i="7"/>
  <c r="I512" i="7"/>
  <c r="H512" i="7"/>
  <c r="K511" i="7"/>
  <c r="J511" i="7"/>
  <c r="I511" i="7"/>
  <c r="H511" i="7"/>
  <c r="K510" i="7"/>
  <c r="J510" i="7"/>
  <c r="I510" i="7"/>
  <c r="H510" i="7"/>
  <c r="K509" i="7"/>
  <c r="J509" i="7"/>
  <c r="I509" i="7"/>
  <c r="H509" i="7"/>
  <c r="K508" i="7"/>
  <c r="J508" i="7"/>
  <c r="I508" i="7"/>
  <c r="H508" i="7"/>
  <c r="K507" i="7"/>
  <c r="J507" i="7"/>
  <c r="I507" i="7"/>
  <c r="H507" i="7"/>
  <c r="K506" i="7"/>
  <c r="J506" i="7"/>
  <c r="I506" i="7"/>
  <c r="H506" i="7"/>
  <c r="K505" i="7"/>
  <c r="J505" i="7"/>
  <c r="I505" i="7"/>
  <c r="H505" i="7"/>
  <c r="K504" i="7"/>
  <c r="J504" i="7"/>
  <c r="I504" i="7"/>
  <c r="H504" i="7"/>
  <c r="K503" i="7"/>
  <c r="J503" i="7"/>
  <c r="I503" i="7"/>
  <c r="H503" i="7"/>
  <c r="K502" i="7"/>
  <c r="J502" i="7"/>
  <c r="I502" i="7"/>
  <c r="H502" i="7"/>
  <c r="K501" i="7"/>
  <c r="J501" i="7"/>
  <c r="I501" i="7"/>
  <c r="H501" i="7"/>
  <c r="K500" i="7"/>
  <c r="J500" i="7"/>
  <c r="I500" i="7"/>
  <c r="H500" i="7"/>
  <c r="K499" i="7"/>
  <c r="J499" i="7"/>
  <c r="I499" i="7"/>
  <c r="H499" i="7"/>
  <c r="K498" i="7"/>
  <c r="J498" i="7"/>
  <c r="I498" i="7"/>
  <c r="H498" i="7"/>
  <c r="K497" i="7"/>
  <c r="J497" i="7"/>
  <c r="I497" i="7"/>
  <c r="H497" i="7"/>
  <c r="K496" i="7"/>
  <c r="J496" i="7"/>
  <c r="I496" i="7"/>
  <c r="H496" i="7"/>
  <c r="K495" i="7"/>
  <c r="J495" i="7"/>
  <c r="I495" i="7"/>
  <c r="H495" i="7"/>
  <c r="K494" i="7"/>
  <c r="J494" i="7"/>
  <c r="I494" i="7"/>
  <c r="H494" i="7"/>
  <c r="K493" i="7"/>
  <c r="J493" i="7"/>
  <c r="I493" i="7"/>
  <c r="H493" i="7"/>
  <c r="K492" i="7"/>
  <c r="J492" i="7"/>
  <c r="I492" i="7"/>
  <c r="H492" i="7"/>
  <c r="K491" i="7"/>
  <c r="J491" i="7"/>
  <c r="I491" i="7"/>
  <c r="H491" i="7"/>
  <c r="K490" i="7"/>
  <c r="J490" i="7"/>
  <c r="I490" i="7"/>
  <c r="H490" i="7"/>
  <c r="K489" i="7"/>
  <c r="J489" i="7"/>
  <c r="I489" i="7"/>
  <c r="H489" i="7"/>
  <c r="K488" i="7"/>
  <c r="J488" i="7"/>
  <c r="I488" i="7"/>
  <c r="H488" i="7"/>
  <c r="K487" i="7"/>
  <c r="J487" i="7"/>
  <c r="I487" i="7"/>
  <c r="H487" i="7"/>
  <c r="K486" i="7"/>
  <c r="J486" i="7"/>
  <c r="I486" i="7"/>
  <c r="H486" i="7"/>
  <c r="K485" i="7"/>
  <c r="J485" i="7"/>
  <c r="I485" i="7"/>
  <c r="H485" i="7"/>
  <c r="K484" i="7"/>
  <c r="J484" i="7"/>
  <c r="I484" i="7"/>
  <c r="H484" i="7"/>
  <c r="K483" i="7"/>
  <c r="J483" i="7"/>
  <c r="I483" i="7"/>
  <c r="H483" i="7"/>
  <c r="K482" i="7"/>
  <c r="J482" i="7"/>
  <c r="I482" i="7"/>
  <c r="H482" i="7"/>
  <c r="K481" i="7"/>
  <c r="J481" i="7"/>
  <c r="I481" i="7"/>
  <c r="H481" i="7"/>
  <c r="K480" i="7"/>
  <c r="J480" i="7"/>
  <c r="I480" i="7"/>
  <c r="H480" i="7"/>
  <c r="K479" i="7"/>
  <c r="J479" i="7"/>
  <c r="I479" i="7"/>
  <c r="H479" i="7"/>
  <c r="K478" i="7"/>
  <c r="J478" i="7"/>
  <c r="I478" i="7"/>
  <c r="H478" i="7"/>
  <c r="K477" i="7"/>
  <c r="J477" i="7"/>
  <c r="I477" i="7"/>
  <c r="H477" i="7"/>
  <c r="K476" i="7"/>
  <c r="J476" i="7"/>
  <c r="I476" i="7"/>
  <c r="H476" i="7"/>
  <c r="K475" i="7"/>
  <c r="J475" i="7"/>
  <c r="I475" i="7"/>
  <c r="H475" i="7"/>
  <c r="K474" i="7"/>
  <c r="J474" i="7"/>
  <c r="I474" i="7"/>
  <c r="H474" i="7"/>
  <c r="K473" i="7"/>
  <c r="J473" i="7"/>
  <c r="I473" i="7"/>
  <c r="H473" i="7"/>
  <c r="K472" i="7"/>
  <c r="J472" i="7"/>
  <c r="I472" i="7"/>
  <c r="H472" i="7"/>
  <c r="K471" i="7"/>
  <c r="J471" i="7"/>
  <c r="I471" i="7"/>
  <c r="H471" i="7"/>
  <c r="K470" i="7"/>
  <c r="J470" i="7"/>
  <c r="I470" i="7"/>
  <c r="H470" i="7"/>
  <c r="K469" i="7"/>
  <c r="J469" i="7"/>
  <c r="I469" i="7"/>
  <c r="H469" i="7"/>
  <c r="K468" i="7"/>
  <c r="J468" i="7"/>
  <c r="I468" i="7"/>
  <c r="H468" i="7"/>
  <c r="K467" i="7"/>
  <c r="J467" i="7"/>
  <c r="I467" i="7"/>
  <c r="H467" i="7"/>
  <c r="K466" i="7"/>
  <c r="J466" i="7"/>
  <c r="I466" i="7"/>
  <c r="H466" i="7"/>
  <c r="K465" i="7"/>
  <c r="J465" i="7"/>
  <c r="I465" i="7"/>
  <c r="H465" i="7"/>
  <c r="K464" i="7"/>
  <c r="J464" i="7"/>
  <c r="I464" i="7"/>
  <c r="H464" i="7"/>
  <c r="K463" i="7"/>
  <c r="J463" i="7"/>
  <c r="I463" i="7"/>
  <c r="H463" i="7"/>
  <c r="K462" i="7"/>
  <c r="J462" i="7"/>
  <c r="I462" i="7"/>
  <c r="H462" i="7"/>
  <c r="K461" i="7"/>
  <c r="J461" i="7"/>
  <c r="I461" i="7"/>
  <c r="H461" i="7"/>
  <c r="K460" i="7"/>
  <c r="J460" i="7"/>
  <c r="I460" i="7"/>
  <c r="H460" i="7"/>
  <c r="K459" i="7"/>
  <c r="J459" i="7"/>
  <c r="I459" i="7"/>
  <c r="H459" i="7"/>
  <c r="K458" i="7"/>
  <c r="J458" i="7"/>
  <c r="I458" i="7"/>
  <c r="H458" i="7"/>
  <c r="K457" i="7"/>
  <c r="J457" i="7"/>
  <c r="I457" i="7"/>
  <c r="H457" i="7"/>
  <c r="K456" i="7"/>
  <c r="J456" i="7"/>
  <c r="I456" i="7"/>
  <c r="H456" i="7"/>
  <c r="K455" i="7"/>
  <c r="J455" i="7"/>
  <c r="I455" i="7"/>
  <c r="H455" i="7"/>
  <c r="K454" i="7"/>
  <c r="J454" i="7"/>
  <c r="I454" i="7"/>
  <c r="H454" i="7"/>
  <c r="K453" i="7"/>
  <c r="J453" i="7"/>
  <c r="I453" i="7"/>
  <c r="H453" i="7"/>
  <c r="K452" i="7"/>
  <c r="J452" i="7"/>
  <c r="I452" i="7"/>
  <c r="H452" i="7"/>
  <c r="K451" i="7"/>
  <c r="J451" i="7"/>
  <c r="I451" i="7"/>
  <c r="H451" i="7"/>
  <c r="K450" i="7"/>
  <c r="J450" i="7"/>
  <c r="I450" i="7"/>
  <c r="H450" i="7"/>
  <c r="K449" i="7"/>
  <c r="J449" i="7"/>
  <c r="I449" i="7"/>
  <c r="K448" i="7"/>
  <c r="J448" i="7"/>
  <c r="I448" i="7"/>
  <c r="K447" i="7"/>
  <c r="J447" i="7"/>
  <c r="I447" i="7"/>
  <c r="K446" i="7"/>
  <c r="J446" i="7"/>
  <c r="I446" i="7"/>
  <c r="K445" i="7"/>
  <c r="J445" i="7"/>
  <c r="I445" i="7"/>
  <c r="K444" i="7"/>
  <c r="J444" i="7"/>
  <c r="I444" i="7"/>
  <c r="K443" i="7"/>
  <c r="J443" i="7"/>
  <c r="I443" i="7"/>
  <c r="K442" i="7"/>
  <c r="J442" i="7"/>
  <c r="I442" i="7"/>
  <c r="K441" i="7"/>
  <c r="J441" i="7"/>
  <c r="I441" i="7"/>
  <c r="K440" i="7"/>
  <c r="J440" i="7"/>
  <c r="I440" i="7"/>
  <c r="K439" i="7"/>
  <c r="J439" i="7"/>
  <c r="I439" i="7"/>
  <c r="K438" i="7"/>
  <c r="J438" i="7"/>
  <c r="I438" i="7"/>
  <c r="K437" i="7"/>
  <c r="J437" i="7"/>
  <c r="I437" i="7"/>
  <c r="K436" i="7"/>
  <c r="J436" i="7"/>
  <c r="I436" i="7"/>
  <c r="K435" i="7"/>
  <c r="J435" i="7"/>
  <c r="I435" i="7"/>
  <c r="K434" i="7"/>
  <c r="J434" i="7"/>
  <c r="I434" i="7"/>
  <c r="K433" i="7"/>
  <c r="J433" i="7"/>
  <c r="I433" i="7"/>
  <c r="K432" i="7"/>
  <c r="J432" i="7"/>
  <c r="I432" i="7"/>
  <c r="O457" i="5"/>
  <c r="R456" i="5"/>
  <c r="O456" i="5"/>
  <c r="M456" i="5"/>
  <c r="L456" i="5"/>
  <c r="K456" i="5"/>
  <c r="J456" i="5"/>
  <c r="I456" i="5"/>
  <c r="G456" i="5"/>
  <c r="F456" i="5"/>
  <c r="E456" i="5"/>
  <c r="S455" i="5"/>
  <c r="R455" i="5"/>
  <c r="Q455" i="5"/>
  <c r="P455" i="5"/>
  <c r="O455" i="5"/>
  <c r="M455" i="5"/>
  <c r="L455" i="5"/>
  <c r="K455" i="5"/>
  <c r="J455" i="5"/>
  <c r="I455" i="5"/>
  <c r="G455" i="5"/>
  <c r="F455" i="5"/>
  <c r="E455" i="5"/>
  <c r="C455" i="5"/>
  <c r="B455" i="5"/>
  <c r="S454" i="5"/>
  <c r="R454" i="5"/>
  <c r="Q454" i="5"/>
  <c r="P454" i="5"/>
  <c r="O454" i="5"/>
  <c r="M454" i="5"/>
  <c r="L454" i="5"/>
  <c r="K454" i="5"/>
  <c r="J454" i="5"/>
  <c r="I454" i="5"/>
  <c r="G454" i="5"/>
  <c r="F454" i="5"/>
  <c r="E454" i="5"/>
  <c r="C454" i="5"/>
  <c r="B454" i="5"/>
  <c r="S453" i="5"/>
  <c r="R453" i="5"/>
  <c r="Q453" i="5"/>
  <c r="P453" i="5"/>
  <c r="O453" i="5"/>
  <c r="M453" i="5"/>
  <c r="L453" i="5"/>
  <c r="K453" i="5"/>
  <c r="J453" i="5"/>
  <c r="I453" i="5"/>
  <c r="G453" i="5"/>
  <c r="F453" i="5"/>
  <c r="E453" i="5"/>
  <c r="C453" i="5"/>
  <c r="B453" i="5"/>
  <c r="S452" i="5"/>
  <c r="R452" i="5"/>
  <c r="Q452" i="5"/>
  <c r="P452" i="5"/>
  <c r="O452" i="5"/>
  <c r="N452" i="5"/>
  <c r="M452" i="5"/>
  <c r="L452" i="5"/>
  <c r="K452" i="5"/>
  <c r="J452" i="5"/>
  <c r="I452" i="5"/>
  <c r="G452" i="5"/>
  <c r="F452" i="5"/>
  <c r="E452" i="5"/>
  <c r="D452" i="5"/>
  <c r="C452" i="5"/>
  <c r="B452" i="5"/>
  <c r="S451" i="5"/>
  <c r="R451" i="5"/>
  <c r="Q451" i="5"/>
  <c r="P451" i="5"/>
  <c r="O451" i="5"/>
  <c r="N451" i="5"/>
  <c r="M451" i="5"/>
  <c r="L451" i="5"/>
  <c r="K451" i="5"/>
  <c r="J451" i="5"/>
  <c r="I451" i="5"/>
  <c r="G451" i="5"/>
  <c r="F451" i="5"/>
  <c r="E451" i="5"/>
  <c r="D451" i="5"/>
  <c r="C451" i="5"/>
  <c r="B451" i="5"/>
  <c r="S450" i="5"/>
  <c r="R450" i="5"/>
  <c r="Q450" i="5"/>
  <c r="P450" i="5"/>
  <c r="O450" i="5"/>
  <c r="N450" i="5"/>
  <c r="M450" i="5"/>
  <c r="L450" i="5"/>
  <c r="K450" i="5"/>
  <c r="J450" i="5"/>
  <c r="I450" i="5"/>
  <c r="G450" i="5"/>
  <c r="F450" i="5"/>
  <c r="E450" i="5"/>
  <c r="D450" i="5"/>
  <c r="C450" i="5"/>
  <c r="B450" i="5"/>
  <c r="S449" i="5"/>
  <c r="R449" i="5"/>
  <c r="Q449" i="5"/>
  <c r="P449" i="5"/>
  <c r="O449" i="5"/>
  <c r="N449" i="5"/>
  <c r="M449" i="5"/>
  <c r="L449" i="5"/>
  <c r="K449" i="5"/>
  <c r="J449" i="5"/>
  <c r="I449" i="5"/>
  <c r="G449" i="5"/>
  <c r="F449" i="5"/>
  <c r="E449" i="5"/>
  <c r="D449" i="5"/>
  <c r="C449" i="5"/>
  <c r="B449" i="5"/>
  <c r="S448" i="5"/>
  <c r="R448" i="5"/>
  <c r="Q448" i="5"/>
  <c r="P448" i="5"/>
  <c r="O448" i="5"/>
  <c r="N448" i="5"/>
  <c r="M448" i="5"/>
  <c r="L448" i="5"/>
  <c r="K448" i="5"/>
  <c r="J448" i="5"/>
  <c r="I448" i="5"/>
  <c r="G448" i="5"/>
  <c r="F448" i="5"/>
  <c r="E448" i="5"/>
  <c r="D448" i="5"/>
  <c r="C448" i="5"/>
  <c r="B448" i="5"/>
  <c r="S447" i="5"/>
  <c r="R447" i="5"/>
  <c r="Q447" i="5"/>
  <c r="P447" i="5"/>
  <c r="O447" i="5"/>
  <c r="N447" i="5"/>
  <c r="M447" i="5"/>
  <c r="L447" i="5"/>
  <c r="K447" i="5"/>
  <c r="J447" i="5"/>
  <c r="I447" i="5"/>
  <c r="G447" i="5"/>
  <c r="F447" i="5"/>
  <c r="E447" i="5"/>
  <c r="D447" i="5"/>
  <c r="C447" i="5"/>
  <c r="B447" i="5"/>
  <c r="E436" i="5"/>
  <c r="D436" i="5"/>
  <c r="C436" i="5"/>
  <c r="B436" i="5"/>
  <c r="E435" i="5"/>
  <c r="D435" i="5"/>
  <c r="C435" i="5"/>
  <c r="B435" i="5"/>
  <c r="E434" i="5"/>
  <c r="D434" i="5"/>
  <c r="C434" i="5"/>
  <c r="B434" i="5"/>
  <c r="E433" i="5"/>
  <c r="D433" i="5"/>
  <c r="C433" i="5"/>
  <c r="B433" i="5"/>
  <c r="E432" i="5"/>
  <c r="D432" i="5"/>
  <c r="C432" i="5"/>
  <c r="B432" i="5"/>
  <c r="E431" i="5"/>
  <c r="D431" i="5"/>
  <c r="C431" i="5"/>
  <c r="B431" i="5"/>
  <c r="E430" i="5"/>
  <c r="D430" i="5"/>
  <c r="C430" i="5"/>
  <c r="B430" i="5"/>
  <c r="E429" i="5"/>
  <c r="D429" i="5"/>
  <c r="C429" i="5"/>
  <c r="B429" i="5"/>
  <c r="E428" i="5"/>
  <c r="D428" i="5"/>
  <c r="C428" i="5"/>
  <c r="B428" i="5"/>
  <c r="Q399" i="5"/>
  <c r="L399" i="5"/>
  <c r="J399" i="5"/>
  <c r="I399" i="5"/>
  <c r="Q398" i="5"/>
  <c r="M398" i="5"/>
  <c r="L398" i="5"/>
  <c r="N398" i="5" s="1"/>
  <c r="J398" i="5"/>
  <c r="I398" i="5"/>
  <c r="Q397" i="5"/>
  <c r="N397" i="5"/>
  <c r="L397" i="5"/>
  <c r="J397" i="5"/>
  <c r="I397" i="5"/>
  <c r="Q396" i="5"/>
  <c r="M396" i="5"/>
  <c r="L396" i="5"/>
  <c r="N396" i="5" s="1"/>
  <c r="J396" i="5"/>
  <c r="I396" i="5"/>
  <c r="Q395" i="5"/>
  <c r="N395" i="5"/>
  <c r="M395" i="5"/>
  <c r="J395" i="5"/>
  <c r="I395" i="5"/>
  <c r="Q394" i="5"/>
  <c r="N394" i="5"/>
  <c r="M394" i="5"/>
  <c r="J394" i="5"/>
  <c r="I394" i="5"/>
  <c r="Q391" i="5"/>
  <c r="M391" i="5"/>
  <c r="L391" i="5"/>
  <c r="N391" i="5" s="1"/>
  <c r="J391" i="5"/>
  <c r="I391" i="5"/>
  <c r="Q390" i="5"/>
  <c r="L390" i="5"/>
  <c r="J390" i="5"/>
  <c r="I390" i="5"/>
  <c r="Q389" i="5"/>
  <c r="N389" i="5"/>
  <c r="M389" i="5"/>
  <c r="L389" i="5"/>
  <c r="J389" i="5"/>
  <c r="I389" i="5"/>
  <c r="Q388" i="5"/>
  <c r="N388" i="5"/>
  <c r="L388" i="5"/>
  <c r="M388" i="5" s="1"/>
  <c r="J388" i="5"/>
  <c r="I388" i="5"/>
  <c r="Q387" i="5"/>
  <c r="N387" i="5"/>
  <c r="M387" i="5"/>
  <c r="J387" i="5"/>
  <c r="I387" i="5"/>
  <c r="Q386" i="5"/>
  <c r="N386" i="5"/>
  <c r="M386" i="5"/>
  <c r="J386" i="5"/>
  <c r="I386" i="5"/>
  <c r="Q383" i="5"/>
  <c r="N383" i="5"/>
  <c r="L383" i="5"/>
  <c r="M383" i="5" s="1"/>
  <c r="J383" i="5"/>
  <c r="I383" i="5"/>
  <c r="Q382" i="5"/>
  <c r="L382" i="5"/>
  <c r="J382" i="5"/>
  <c r="I382" i="5"/>
  <c r="Q381" i="5"/>
  <c r="M381" i="5"/>
  <c r="L381" i="5"/>
  <c r="J381" i="5"/>
  <c r="I381" i="5"/>
  <c r="Q380" i="5"/>
  <c r="N380" i="5"/>
  <c r="M380" i="5"/>
  <c r="L380" i="5"/>
  <c r="N381" i="5" s="1"/>
  <c r="J380" i="5"/>
  <c r="I380" i="5"/>
  <c r="Q379" i="5"/>
  <c r="N379" i="5"/>
  <c r="M379" i="5"/>
  <c r="J379" i="5"/>
  <c r="I379" i="5"/>
  <c r="Q378" i="5"/>
  <c r="N378" i="5"/>
  <c r="M378" i="5"/>
  <c r="J378" i="5"/>
  <c r="I378" i="5"/>
  <c r="Q375" i="5"/>
  <c r="N375" i="5"/>
  <c r="L375" i="5"/>
  <c r="J375" i="5"/>
  <c r="I375" i="5"/>
  <c r="Q374" i="5"/>
  <c r="L374" i="5"/>
  <c r="M374" i="5" s="1"/>
  <c r="J374" i="5"/>
  <c r="I374" i="5"/>
  <c r="Q373" i="5"/>
  <c r="M373" i="5"/>
  <c r="L373" i="5"/>
  <c r="N373" i="5" s="1"/>
  <c r="J373" i="5"/>
  <c r="I373" i="5"/>
  <c r="Q372" i="5"/>
  <c r="N372" i="5"/>
  <c r="M372" i="5"/>
  <c r="L372" i="5"/>
  <c r="J372" i="5"/>
  <c r="I372" i="5"/>
  <c r="Q371" i="5"/>
  <c r="N371" i="5"/>
  <c r="M371" i="5"/>
  <c r="J371" i="5"/>
  <c r="I371" i="5"/>
  <c r="Q370" i="5"/>
  <c r="N370" i="5"/>
  <c r="M370" i="5"/>
  <c r="J370" i="5"/>
  <c r="I370" i="5"/>
  <c r="Q367" i="5"/>
  <c r="L367" i="5"/>
  <c r="J367" i="5"/>
  <c r="I367" i="5"/>
  <c r="Q366" i="5"/>
  <c r="L366" i="5"/>
  <c r="N366" i="5" s="1"/>
  <c r="J366" i="5"/>
  <c r="I366" i="5"/>
  <c r="Q365" i="5"/>
  <c r="N365" i="5"/>
  <c r="L365" i="5"/>
  <c r="J365" i="5"/>
  <c r="I365" i="5"/>
  <c r="Q364" i="5"/>
  <c r="M364" i="5"/>
  <c r="L364" i="5"/>
  <c r="N364" i="5" s="1"/>
  <c r="J364" i="5"/>
  <c r="I364" i="5"/>
  <c r="Q363" i="5"/>
  <c r="N363" i="5"/>
  <c r="M363" i="5"/>
  <c r="J363" i="5"/>
  <c r="I363" i="5"/>
  <c r="Q362" i="5"/>
  <c r="N362" i="5"/>
  <c r="M362" i="5"/>
  <c r="J362" i="5"/>
  <c r="I362" i="5"/>
  <c r="Q359" i="5"/>
  <c r="M359" i="5"/>
  <c r="L359" i="5"/>
  <c r="N359" i="5" s="1"/>
  <c r="J359" i="5"/>
  <c r="I359" i="5"/>
  <c r="Q358" i="5"/>
  <c r="L358" i="5"/>
  <c r="J358" i="5"/>
  <c r="I358" i="5"/>
  <c r="Q357" i="5"/>
  <c r="N357" i="5"/>
  <c r="M357" i="5"/>
  <c r="L357" i="5"/>
  <c r="J357" i="5"/>
  <c r="I357" i="5"/>
  <c r="Q356" i="5"/>
  <c r="N356" i="5"/>
  <c r="L356" i="5"/>
  <c r="M356" i="5" s="1"/>
  <c r="J356" i="5"/>
  <c r="I356" i="5"/>
  <c r="Q355" i="5"/>
  <c r="N355" i="5"/>
  <c r="M355" i="5"/>
  <c r="J355" i="5"/>
  <c r="I355" i="5"/>
  <c r="Q354" i="5"/>
  <c r="N354" i="5"/>
  <c r="M354" i="5"/>
  <c r="J354" i="5"/>
  <c r="I354" i="5"/>
  <c r="Q351" i="5"/>
  <c r="N351" i="5"/>
  <c r="M351" i="5"/>
  <c r="Q350" i="5"/>
  <c r="N350" i="5"/>
  <c r="M350" i="5"/>
  <c r="Q349" i="5"/>
  <c r="N349" i="5"/>
  <c r="M349" i="5"/>
  <c r="Q348" i="5"/>
  <c r="N348" i="5"/>
  <c r="M348" i="5"/>
  <c r="Q347" i="5"/>
  <c r="N347" i="5"/>
  <c r="M347" i="5"/>
  <c r="Q346" i="5"/>
  <c r="N346" i="5"/>
  <c r="M346" i="5"/>
  <c r="Q343" i="5"/>
  <c r="N343" i="5"/>
  <c r="M343" i="5"/>
  <c r="Q342" i="5"/>
  <c r="N342" i="5"/>
  <c r="M342" i="5"/>
  <c r="Q341" i="5"/>
  <c r="N341" i="5"/>
  <c r="M341" i="5"/>
  <c r="Q340" i="5"/>
  <c r="N340" i="5"/>
  <c r="M340" i="5"/>
  <c r="Q339" i="5"/>
  <c r="N339" i="5"/>
  <c r="M339" i="5"/>
  <c r="Q338" i="5"/>
  <c r="N338" i="5"/>
  <c r="M338" i="5"/>
  <c r="Q335" i="5"/>
  <c r="N335" i="5"/>
  <c r="M335" i="5"/>
  <c r="Q334" i="5"/>
  <c r="N334" i="5"/>
  <c r="M334" i="5"/>
  <c r="Q333" i="5"/>
  <c r="N333" i="5"/>
  <c r="M333" i="5"/>
  <c r="Q332" i="5"/>
  <c r="N332" i="5"/>
  <c r="M332" i="5"/>
  <c r="Q331" i="5"/>
  <c r="N331" i="5"/>
  <c r="M331" i="5"/>
  <c r="Q330" i="5"/>
  <c r="N330" i="5"/>
  <c r="M330" i="5"/>
  <c r="Q327" i="5"/>
  <c r="N327" i="5"/>
  <c r="M327" i="5"/>
  <c r="Q326" i="5"/>
  <c r="N326" i="5"/>
  <c r="M326" i="5"/>
  <c r="Q325" i="5"/>
  <c r="N325" i="5"/>
  <c r="M325" i="5"/>
  <c r="Q324" i="5"/>
  <c r="N324" i="5"/>
  <c r="M324" i="5"/>
  <c r="Q323" i="5"/>
  <c r="N323" i="5"/>
  <c r="M323" i="5"/>
  <c r="Q322" i="5"/>
  <c r="N322" i="5"/>
  <c r="M322" i="5"/>
  <c r="Q319" i="5"/>
  <c r="N319" i="5"/>
  <c r="M319" i="5"/>
  <c r="Q318" i="5"/>
  <c r="N318" i="5"/>
  <c r="M318" i="5"/>
  <c r="Q317" i="5"/>
  <c r="N317" i="5"/>
  <c r="M317" i="5"/>
  <c r="Q316" i="5"/>
  <c r="N316" i="5"/>
  <c r="M316" i="5"/>
  <c r="Q315" i="5"/>
  <c r="N315" i="5"/>
  <c r="M315" i="5"/>
  <c r="Q314" i="5"/>
  <c r="N314" i="5"/>
  <c r="M314" i="5"/>
  <c r="Q311" i="5"/>
  <c r="N311" i="5"/>
  <c r="M311" i="5"/>
  <c r="Q310" i="5"/>
  <c r="N310" i="5"/>
  <c r="M310" i="5"/>
  <c r="Q309" i="5"/>
  <c r="N309" i="5"/>
  <c r="M309" i="5"/>
  <c r="Q308" i="5"/>
  <c r="N308" i="5"/>
  <c r="M308" i="5"/>
  <c r="Q307" i="5"/>
  <c r="N307" i="5"/>
  <c r="M307" i="5"/>
  <c r="Q306" i="5"/>
  <c r="N306" i="5"/>
  <c r="M306" i="5"/>
  <c r="Q303" i="5"/>
  <c r="L303" i="5"/>
  <c r="J303" i="5"/>
  <c r="I303" i="5"/>
  <c r="Q302" i="5"/>
  <c r="L302" i="5"/>
  <c r="N302" i="5" s="1"/>
  <c r="J302" i="5"/>
  <c r="I302" i="5"/>
  <c r="Q301" i="5"/>
  <c r="N301" i="5"/>
  <c r="L301" i="5"/>
  <c r="J301" i="5"/>
  <c r="I301" i="5"/>
  <c r="Q300" i="5"/>
  <c r="L300" i="5"/>
  <c r="N300" i="5" s="1"/>
  <c r="J300" i="5"/>
  <c r="I300" i="5"/>
  <c r="Q299" i="5"/>
  <c r="N299" i="5"/>
  <c r="M299" i="5"/>
  <c r="J299" i="5"/>
  <c r="I299" i="5"/>
  <c r="Q298" i="5"/>
  <c r="N298" i="5"/>
  <c r="M298" i="5"/>
  <c r="J298" i="5"/>
  <c r="I298" i="5"/>
  <c r="Q295" i="5"/>
  <c r="L295" i="5"/>
  <c r="N295" i="5" s="1"/>
  <c r="J295" i="5"/>
  <c r="I295" i="5"/>
  <c r="Q294" i="5"/>
  <c r="L294" i="5"/>
  <c r="J294" i="5"/>
  <c r="I294" i="5"/>
  <c r="Q293" i="5"/>
  <c r="L293" i="5"/>
  <c r="N294" i="5" s="1"/>
  <c r="J293" i="5"/>
  <c r="I293" i="5"/>
  <c r="Q292" i="5"/>
  <c r="N292" i="5"/>
  <c r="M292" i="5"/>
  <c r="L292" i="5"/>
  <c r="J292" i="5"/>
  <c r="I292" i="5"/>
  <c r="Q291" i="5"/>
  <c r="N291" i="5"/>
  <c r="M291" i="5"/>
  <c r="J291" i="5"/>
  <c r="I291" i="5"/>
  <c r="Q290" i="5"/>
  <c r="N290" i="5"/>
  <c r="M290" i="5"/>
  <c r="J290" i="5"/>
  <c r="I290" i="5"/>
  <c r="Q271" i="5"/>
  <c r="M271" i="5"/>
  <c r="L271" i="5"/>
  <c r="J271" i="5"/>
  <c r="I271" i="5"/>
  <c r="Q270" i="5"/>
  <c r="L270" i="5"/>
  <c r="N270" i="5" s="1"/>
  <c r="J270" i="5"/>
  <c r="I270" i="5"/>
  <c r="Q269" i="5"/>
  <c r="L269" i="5"/>
  <c r="J269" i="5"/>
  <c r="I269" i="5"/>
  <c r="Q268" i="5"/>
  <c r="L268" i="5"/>
  <c r="N269" i="5" s="1"/>
  <c r="J268" i="5"/>
  <c r="I268" i="5"/>
  <c r="Q267" i="5"/>
  <c r="N267" i="5"/>
  <c r="M267" i="5"/>
  <c r="J267" i="5"/>
  <c r="I267" i="5"/>
  <c r="Q266" i="5"/>
  <c r="N266" i="5"/>
  <c r="M266" i="5"/>
  <c r="J266" i="5"/>
  <c r="I266" i="5"/>
  <c r="Q263" i="5"/>
  <c r="L263" i="5"/>
  <c r="N263" i="5" s="1"/>
  <c r="J263" i="5"/>
  <c r="I263" i="5"/>
  <c r="Q262" i="5"/>
  <c r="M262" i="5"/>
  <c r="L262" i="5"/>
  <c r="J262" i="5"/>
  <c r="I262" i="5"/>
  <c r="Q261" i="5"/>
  <c r="L261" i="5"/>
  <c r="N261" i="5" s="1"/>
  <c r="J261" i="5"/>
  <c r="I261" i="5"/>
  <c r="Q260" i="5"/>
  <c r="N260" i="5"/>
  <c r="M260" i="5"/>
  <c r="L260" i="5"/>
  <c r="J260" i="5"/>
  <c r="I260" i="5"/>
  <c r="Q259" i="5"/>
  <c r="N259" i="5"/>
  <c r="M259" i="5"/>
  <c r="J259" i="5"/>
  <c r="I259" i="5"/>
  <c r="Q258" i="5"/>
  <c r="N258" i="5"/>
  <c r="M258" i="5"/>
  <c r="J258" i="5"/>
  <c r="I258" i="5"/>
  <c r="Q255" i="5"/>
  <c r="N255" i="5"/>
  <c r="M255" i="5"/>
  <c r="J255" i="5"/>
  <c r="I255" i="5"/>
  <c r="Q254" i="5"/>
  <c r="N254" i="5"/>
  <c r="M254" i="5"/>
  <c r="J254" i="5"/>
  <c r="I254" i="5"/>
  <c r="Q253" i="5"/>
  <c r="N253" i="5"/>
  <c r="M253" i="5"/>
  <c r="J253" i="5"/>
  <c r="I253" i="5"/>
  <c r="Q252" i="5"/>
  <c r="N252" i="5"/>
  <c r="M252" i="5"/>
  <c r="J252" i="5"/>
  <c r="I252" i="5"/>
  <c r="Q251" i="5"/>
  <c r="N251" i="5"/>
  <c r="M251" i="5"/>
  <c r="J251" i="5"/>
  <c r="I251" i="5"/>
  <c r="Q250" i="5"/>
  <c r="N250" i="5"/>
  <c r="M250" i="5"/>
  <c r="J250" i="5"/>
  <c r="I250" i="5"/>
  <c r="Q247" i="5"/>
  <c r="N247" i="5"/>
  <c r="M247" i="5"/>
  <c r="J247" i="5"/>
  <c r="I247" i="5"/>
  <c r="Q246" i="5"/>
  <c r="N246" i="5"/>
  <c r="M246" i="5"/>
  <c r="J246" i="5"/>
  <c r="I246" i="5"/>
  <c r="Q245" i="5"/>
  <c r="N245" i="5"/>
  <c r="M245" i="5"/>
  <c r="J245" i="5"/>
  <c r="I245" i="5"/>
  <c r="Q244" i="5"/>
  <c r="N244" i="5"/>
  <c r="M244" i="5"/>
  <c r="J244" i="5"/>
  <c r="I244" i="5"/>
  <c r="Q243" i="5"/>
  <c r="N243" i="5"/>
  <c r="M243" i="5"/>
  <c r="J243" i="5"/>
  <c r="I243" i="5"/>
  <c r="Q242" i="5"/>
  <c r="N242" i="5"/>
  <c r="M242" i="5"/>
  <c r="J242" i="5"/>
  <c r="I242" i="5"/>
  <c r="Q239" i="5"/>
  <c r="M239" i="5"/>
  <c r="L239" i="5"/>
  <c r="J239" i="5"/>
  <c r="I239" i="5"/>
  <c r="Q238" i="5"/>
  <c r="L238" i="5"/>
  <c r="N238" i="5" s="1"/>
  <c r="J238" i="5"/>
  <c r="I238" i="5"/>
  <c r="Q237" i="5"/>
  <c r="L237" i="5"/>
  <c r="J237" i="5"/>
  <c r="I237" i="5"/>
  <c r="Q236" i="5"/>
  <c r="L236" i="5"/>
  <c r="N236" i="5" s="1"/>
  <c r="J236" i="5"/>
  <c r="I236" i="5"/>
  <c r="Q235" i="5"/>
  <c r="M235" i="5"/>
  <c r="L235" i="5"/>
  <c r="J235" i="5"/>
  <c r="I235" i="5"/>
  <c r="Q234" i="5"/>
  <c r="L234" i="5"/>
  <c r="N237" i="5" s="1"/>
  <c r="J234" i="5"/>
  <c r="I234" i="5"/>
  <c r="Q233" i="5"/>
  <c r="N233" i="5"/>
  <c r="M233" i="5"/>
  <c r="L233" i="5"/>
  <c r="J233" i="5"/>
  <c r="I233" i="5"/>
  <c r="Q232" i="5"/>
  <c r="N232" i="5"/>
  <c r="M232" i="5"/>
  <c r="J232" i="5"/>
  <c r="I232" i="5"/>
  <c r="Q231" i="5"/>
  <c r="N231" i="5"/>
  <c r="M231" i="5"/>
  <c r="J231" i="5"/>
  <c r="I231" i="5"/>
  <c r="Q228" i="5"/>
  <c r="L228" i="5"/>
  <c r="J228" i="5"/>
  <c r="I228" i="5"/>
  <c r="Q227" i="5"/>
  <c r="L227" i="5"/>
  <c r="N227" i="5" s="1"/>
  <c r="J227" i="5"/>
  <c r="I227" i="5"/>
  <c r="Q226" i="5"/>
  <c r="M226" i="5"/>
  <c r="L226" i="5"/>
  <c r="J226" i="5"/>
  <c r="I226" i="5"/>
  <c r="Q225" i="5"/>
  <c r="L225" i="5"/>
  <c r="N225" i="5" s="1"/>
  <c r="J225" i="5"/>
  <c r="I225" i="5"/>
  <c r="Q224" i="5"/>
  <c r="L224" i="5"/>
  <c r="J224" i="5"/>
  <c r="I224" i="5"/>
  <c r="Q223" i="5"/>
  <c r="L223" i="5"/>
  <c r="N228" i="5" s="1"/>
  <c r="J223" i="5"/>
  <c r="I223" i="5"/>
  <c r="Q222" i="5"/>
  <c r="N222" i="5"/>
  <c r="M222" i="5"/>
  <c r="L222" i="5"/>
  <c r="J222" i="5"/>
  <c r="I222" i="5"/>
  <c r="Q221" i="5"/>
  <c r="N221" i="5"/>
  <c r="M221" i="5"/>
  <c r="J221" i="5"/>
  <c r="I221" i="5"/>
  <c r="Q220" i="5"/>
  <c r="N220" i="5"/>
  <c r="M220" i="5"/>
  <c r="J220" i="5"/>
  <c r="I220" i="5"/>
  <c r="Q217" i="5"/>
  <c r="M217" i="5"/>
  <c r="L217" i="5"/>
  <c r="J217" i="5"/>
  <c r="I217" i="5"/>
  <c r="Q216" i="5"/>
  <c r="L216" i="5"/>
  <c r="N216" i="5" s="1"/>
  <c r="J216" i="5"/>
  <c r="I216" i="5"/>
  <c r="Q215" i="5"/>
  <c r="L215" i="5"/>
  <c r="J215" i="5"/>
  <c r="I215" i="5"/>
  <c r="Q214" i="5"/>
  <c r="L214" i="5"/>
  <c r="N215" i="5" s="1"/>
  <c r="J214" i="5"/>
  <c r="I214" i="5"/>
  <c r="Q213" i="5"/>
  <c r="N213" i="5"/>
  <c r="M213" i="5"/>
  <c r="J213" i="5"/>
  <c r="I213" i="5"/>
  <c r="Q212" i="5"/>
  <c r="N212" i="5"/>
  <c r="M212" i="5"/>
  <c r="J212" i="5"/>
  <c r="I212" i="5"/>
  <c r="Q208" i="5"/>
  <c r="L208" i="5"/>
  <c r="N208" i="5" s="1"/>
  <c r="J208" i="5"/>
  <c r="I208" i="5"/>
  <c r="Q207" i="5"/>
  <c r="M207" i="5"/>
  <c r="L207" i="5"/>
  <c r="J207" i="5"/>
  <c r="I207" i="5"/>
  <c r="Q206" i="5"/>
  <c r="L206" i="5"/>
  <c r="N206" i="5" s="1"/>
  <c r="J206" i="5"/>
  <c r="I206" i="5"/>
  <c r="Q205" i="5"/>
  <c r="N205" i="5"/>
  <c r="M205" i="5"/>
  <c r="L205" i="5"/>
  <c r="J205" i="5"/>
  <c r="I205" i="5"/>
  <c r="Q204" i="5"/>
  <c r="N204" i="5"/>
  <c r="M204" i="5"/>
  <c r="J204" i="5"/>
  <c r="I204" i="5"/>
  <c r="Q203" i="5"/>
  <c r="N203" i="5"/>
  <c r="M203" i="5"/>
  <c r="J203" i="5"/>
  <c r="I203" i="5"/>
  <c r="Q200" i="5"/>
  <c r="L200" i="5"/>
  <c r="J200" i="5"/>
  <c r="I200" i="5"/>
  <c r="Q199" i="5"/>
  <c r="L199" i="5"/>
  <c r="N199" i="5" s="1"/>
  <c r="J199" i="5"/>
  <c r="I199" i="5"/>
  <c r="Q198" i="5"/>
  <c r="M198" i="5"/>
  <c r="L198" i="5"/>
  <c r="J198" i="5"/>
  <c r="I198" i="5"/>
  <c r="Q197" i="5"/>
  <c r="L197" i="5"/>
  <c r="N197" i="5" s="1"/>
  <c r="J197" i="5"/>
  <c r="I197" i="5"/>
  <c r="Q196" i="5"/>
  <c r="L196" i="5"/>
  <c r="J196" i="5"/>
  <c r="I196" i="5"/>
  <c r="Q195" i="5"/>
  <c r="L195" i="5"/>
  <c r="N200" i="5" s="1"/>
  <c r="J195" i="5"/>
  <c r="I195" i="5"/>
  <c r="Q194" i="5"/>
  <c r="N194" i="5"/>
  <c r="M194" i="5"/>
  <c r="L194" i="5"/>
  <c r="J194" i="5"/>
  <c r="I194" i="5"/>
  <c r="Q193" i="5"/>
  <c r="N193" i="5"/>
  <c r="M193" i="5"/>
  <c r="J193" i="5"/>
  <c r="I193" i="5"/>
  <c r="Q192" i="5"/>
  <c r="N192" i="5"/>
  <c r="M192" i="5"/>
  <c r="J192" i="5"/>
  <c r="I192" i="5"/>
  <c r="Q189" i="5"/>
  <c r="M189" i="5"/>
  <c r="L189" i="5"/>
  <c r="J189" i="5"/>
  <c r="I189" i="5"/>
  <c r="Q188" i="5"/>
  <c r="L188" i="5"/>
  <c r="N188" i="5" s="1"/>
  <c r="J188" i="5"/>
  <c r="I188" i="5"/>
  <c r="Q187" i="5"/>
  <c r="L187" i="5"/>
  <c r="J187" i="5"/>
  <c r="I187" i="5"/>
  <c r="Q186" i="5"/>
  <c r="L186" i="5"/>
  <c r="N186" i="5" s="1"/>
  <c r="J186" i="5"/>
  <c r="I186" i="5"/>
  <c r="Q185" i="5"/>
  <c r="M185" i="5"/>
  <c r="L185" i="5"/>
  <c r="J185" i="5"/>
  <c r="I185" i="5"/>
  <c r="Q184" i="5"/>
  <c r="L184" i="5"/>
  <c r="N187" i="5" s="1"/>
  <c r="J184" i="5"/>
  <c r="I184" i="5"/>
  <c r="Q183" i="5"/>
  <c r="N183" i="5"/>
  <c r="M183" i="5"/>
  <c r="L183" i="5"/>
  <c r="J183" i="5"/>
  <c r="I183" i="5"/>
  <c r="Q182" i="5"/>
  <c r="N182" i="5"/>
  <c r="M182" i="5"/>
  <c r="J182" i="5"/>
  <c r="I182" i="5"/>
  <c r="Q181" i="5"/>
  <c r="N181" i="5"/>
  <c r="M181" i="5"/>
  <c r="J181" i="5"/>
  <c r="I181" i="5"/>
  <c r="Q179" i="5"/>
  <c r="N179" i="5"/>
  <c r="M179" i="5"/>
  <c r="J179" i="5"/>
  <c r="I179" i="5"/>
  <c r="Q178" i="5"/>
  <c r="L178" i="5"/>
  <c r="J178" i="5"/>
  <c r="I178" i="5"/>
  <c r="Q177" i="5"/>
  <c r="L177" i="5"/>
  <c r="N177" i="5" s="1"/>
  <c r="J177" i="5"/>
  <c r="I177" i="5"/>
  <c r="Q176" i="5"/>
  <c r="L176" i="5"/>
  <c r="M176" i="5" s="1"/>
  <c r="J176" i="5"/>
  <c r="I176" i="5"/>
  <c r="Q175" i="5"/>
  <c r="L175" i="5"/>
  <c r="M175" i="5" s="1"/>
  <c r="J175" i="5"/>
  <c r="I175" i="5"/>
  <c r="Q174" i="5"/>
  <c r="L174" i="5"/>
  <c r="J174" i="5"/>
  <c r="I174" i="5"/>
  <c r="Q173" i="5"/>
  <c r="L173" i="5"/>
  <c r="N176" i="5" s="1"/>
  <c r="J173" i="5"/>
  <c r="I173" i="5"/>
  <c r="Q172" i="5"/>
  <c r="N172" i="5"/>
  <c r="L172" i="5"/>
  <c r="M172" i="5" s="1"/>
  <c r="J172" i="5"/>
  <c r="I172" i="5"/>
  <c r="Q171" i="5"/>
  <c r="N171" i="5"/>
  <c r="M171" i="5"/>
  <c r="J171" i="5"/>
  <c r="I171" i="5"/>
  <c r="Q170" i="5"/>
  <c r="N170" i="5"/>
  <c r="M170" i="5"/>
  <c r="J170" i="5"/>
  <c r="I170" i="5"/>
  <c r="Q167" i="5"/>
  <c r="L167" i="5"/>
  <c r="M167" i="5" s="1"/>
  <c r="J167" i="5"/>
  <c r="I167" i="5"/>
  <c r="Q166" i="5"/>
  <c r="L166" i="5"/>
  <c r="M166" i="5" s="1"/>
  <c r="J166" i="5"/>
  <c r="I166" i="5"/>
  <c r="Q165" i="5"/>
  <c r="L165" i="5"/>
  <c r="J165" i="5"/>
  <c r="I165" i="5"/>
  <c r="Q164" i="5"/>
  <c r="L164" i="5"/>
  <c r="N164" i="5" s="1"/>
  <c r="J164" i="5"/>
  <c r="I164" i="5"/>
  <c r="Q163" i="5"/>
  <c r="L163" i="5"/>
  <c r="J163" i="5"/>
  <c r="I163" i="5"/>
  <c r="Q162" i="5"/>
  <c r="L162" i="5"/>
  <c r="M162" i="5" s="1"/>
  <c r="J162" i="5"/>
  <c r="I162" i="5"/>
  <c r="Q161" i="5"/>
  <c r="N161" i="5"/>
  <c r="M161" i="5"/>
  <c r="L161" i="5"/>
  <c r="M163" i="5" s="1"/>
  <c r="J161" i="5"/>
  <c r="I161" i="5"/>
  <c r="Q160" i="5"/>
  <c r="N160" i="5"/>
  <c r="M160" i="5"/>
  <c r="J160" i="5"/>
  <c r="I160" i="5"/>
  <c r="Q159" i="5"/>
  <c r="N159" i="5"/>
  <c r="M159" i="5"/>
  <c r="J159" i="5"/>
  <c r="I159" i="5"/>
  <c r="Q156" i="5"/>
  <c r="L156" i="5"/>
  <c r="J156" i="5"/>
  <c r="I156" i="5"/>
  <c r="Q155" i="5"/>
  <c r="L155" i="5"/>
  <c r="N155" i="5" s="1"/>
  <c r="J155" i="5"/>
  <c r="I155" i="5"/>
  <c r="Q154" i="5"/>
  <c r="L154" i="5"/>
  <c r="J154" i="5"/>
  <c r="I154" i="5"/>
  <c r="Q153" i="5"/>
  <c r="L153" i="5"/>
  <c r="M153" i="5" s="1"/>
  <c r="J153" i="5"/>
  <c r="I153" i="5"/>
  <c r="Q152" i="5"/>
  <c r="L152" i="5"/>
  <c r="J152" i="5"/>
  <c r="I152" i="5"/>
  <c r="Q151" i="5"/>
  <c r="L151" i="5"/>
  <c r="N154" i="5" s="1"/>
  <c r="J151" i="5"/>
  <c r="I151" i="5"/>
  <c r="Q150" i="5"/>
  <c r="N150" i="5"/>
  <c r="M150" i="5"/>
  <c r="L150" i="5"/>
  <c r="M154" i="5" s="1"/>
  <c r="J150" i="5"/>
  <c r="I150" i="5"/>
  <c r="Q149" i="5"/>
  <c r="N149" i="5"/>
  <c r="M149" i="5"/>
  <c r="J149" i="5"/>
  <c r="I149" i="5"/>
  <c r="Q148" i="5"/>
  <c r="N148" i="5"/>
  <c r="M148" i="5"/>
  <c r="J148" i="5"/>
  <c r="I148" i="5"/>
  <c r="Q145" i="5"/>
  <c r="L145" i="5"/>
  <c r="J145" i="5"/>
  <c r="I145" i="5"/>
  <c r="Q144" i="5"/>
  <c r="L144" i="5"/>
  <c r="M144" i="5" s="1"/>
  <c r="J144" i="5"/>
  <c r="I144" i="5"/>
  <c r="Q143" i="5"/>
  <c r="L143" i="5"/>
  <c r="J143" i="5"/>
  <c r="I143" i="5"/>
  <c r="Q142" i="5"/>
  <c r="L142" i="5"/>
  <c r="N143" i="5" s="1"/>
  <c r="J142" i="5"/>
  <c r="I142" i="5"/>
  <c r="Q141" i="5"/>
  <c r="L141" i="5"/>
  <c r="J141" i="5"/>
  <c r="I141" i="5"/>
  <c r="Q140" i="5"/>
  <c r="L140" i="5"/>
  <c r="M140" i="5" s="1"/>
  <c r="J140" i="5"/>
  <c r="I140" i="5"/>
  <c r="Q139" i="5"/>
  <c r="N139" i="5"/>
  <c r="M139" i="5"/>
  <c r="L139" i="5"/>
  <c r="J139" i="5"/>
  <c r="I139" i="5"/>
  <c r="Q138" i="5"/>
  <c r="N138" i="5"/>
  <c r="M138" i="5"/>
  <c r="J138" i="5"/>
  <c r="I138" i="5"/>
  <c r="Q137" i="5"/>
  <c r="N137" i="5"/>
  <c r="M137" i="5"/>
  <c r="J137" i="5"/>
  <c r="I137" i="5"/>
  <c r="Q135" i="5"/>
  <c r="N135" i="5"/>
  <c r="M135" i="5"/>
  <c r="J135" i="5"/>
  <c r="I135" i="5"/>
  <c r="Q134" i="5"/>
  <c r="L134" i="5"/>
  <c r="N134" i="5" s="1"/>
  <c r="J134" i="5"/>
  <c r="I134" i="5"/>
  <c r="Q133" i="5"/>
  <c r="M133" i="5"/>
  <c r="L133" i="5"/>
  <c r="J133" i="5"/>
  <c r="I133" i="5"/>
  <c r="Q132" i="5"/>
  <c r="L132" i="5"/>
  <c r="N132" i="5" s="1"/>
  <c r="J132" i="5"/>
  <c r="I132" i="5"/>
  <c r="Q131" i="5"/>
  <c r="M131" i="5"/>
  <c r="L131" i="5"/>
  <c r="J131" i="5"/>
  <c r="I131" i="5"/>
  <c r="Q130" i="5"/>
  <c r="L130" i="5"/>
  <c r="N130" i="5" s="1"/>
  <c r="J130" i="5"/>
  <c r="I130" i="5"/>
  <c r="Q129" i="5"/>
  <c r="M129" i="5"/>
  <c r="L129" i="5"/>
  <c r="J129" i="5"/>
  <c r="I129" i="5"/>
  <c r="Q128" i="5"/>
  <c r="L128" i="5"/>
  <c r="N133" i="5" s="1"/>
  <c r="J128" i="5"/>
  <c r="I128" i="5"/>
  <c r="Q127" i="5"/>
  <c r="N127" i="5"/>
  <c r="M127" i="5"/>
  <c r="J127" i="5"/>
  <c r="I127" i="5"/>
  <c r="Q126" i="5"/>
  <c r="N126" i="5"/>
  <c r="M126" i="5"/>
  <c r="J126" i="5"/>
  <c r="I126" i="5"/>
  <c r="Q123" i="5"/>
  <c r="L123" i="5"/>
  <c r="N123" i="5" s="1"/>
  <c r="J123" i="5"/>
  <c r="I123" i="5"/>
  <c r="Q122" i="5"/>
  <c r="M122" i="5"/>
  <c r="L122" i="5"/>
  <c r="J122" i="5"/>
  <c r="I122" i="5"/>
  <c r="Q121" i="5"/>
  <c r="L121" i="5"/>
  <c r="N121" i="5" s="1"/>
  <c r="J121" i="5"/>
  <c r="I121" i="5"/>
  <c r="Q120" i="5"/>
  <c r="M120" i="5"/>
  <c r="L120" i="5"/>
  <c r="J120" i="5"/>
  <c r="I120" i="5"/>
  <c r="Q119" i="5"/>
  <c r="L119" i="5"/>
  <c r="N119" i="5" s="1"/>
  <c r="J119" i="5"/>
  <c r="I119" i="5"/>
  <c r="Q118" i="5"/>
  <c r="M118" i="5"/>
  <c r="L118" i="5"/>
  <c r="J118" i="5"/>
  <c r="I118" i="5"/>
  <c r="Q117" i="5"/>
  <c r="L117" i="5"/>
  <c r="N120" i="5" s="1"/>
  <c r="J117" i="5"/>
  <c r="I117" i="5"/>
  <c r="Q116" i="5"/>
  <c r="N116" i="5"/>
  <c r="M116" i="5"/>
  <c r="J116" i="5"/>
  <c r="I116" i="5"/>
  <c r="Q115" i="5"/>
  <c r="N115" i="5"/>
  <c r="M115" i="5"/>
  <c r="J115" i="5"/>
  <c r="I115" i="5"/>
  <c r="Q112" i="5"/>
  <c r="L112" i="5"/>
  <c r="J112" i="5"/>
  <c r="I112" i="5"/>
  <c r="Q111" i="5"/>
  <c r="L111" i="5"/>
  <c r="J111" i="5"/>
  <c r="I111" i="5"/>
  <c r="Q110" i="5"/>
  <c r="L110" i="5"/>
  <c r="J110" i="5"/>
  <c r="I110" i="5"/>
  <c r="Q109" i="5"/>
  <c r="L109" i="5"/>
  <c r="J109" i="5"/>
  <c r="I109" i="5"/>
  <c r="Q108" i="5"/>
  <c r="L108" i="5"/>
  <c r="M111" i="5" s="1"/>
  <c r="J108" i="5"/>
  <c r="I108" i="5"/>
  <c r="Q107" i="5"/>
  <c r="N107" i="5"/>
  <c r="M107" i="5"/>
  <c r="L107" i="5"/>
  <c r="J107" i="5"/>
  <c r="I107" i="5"/>
  <c r="Q106" i="5"/>
  <c r="L106" i="5"/>
  <c r="J106" i="5"/>
  <c r="I106" i="5"/>
  <c r="Q105" i="5"/>
  <c r="N105" i="5"/>
  <c r="M105" i="5"/>
  <c r="J105" i="5"/>
  <c r="I105" i="5"/>
  <c r="Q104" i="5"/>
  <c r="N104" i="5"/>
  <c r="M104" i="5"/>
  <c r="J104" i="5"/>
  <c r="I104" i="5"/>
  <c r="Q102" i="5"/>
  <c r="N102" i="5"/>
  <c r="M102" i="5"/>
  <c r="J102" i="5"/>
  <c r="I102" i="5"/>
  <c r="Q101" i="5"/>
  <c r="L101" i="5"/>
  <c r="J101" i="5"/>
  <c r="I101" i="5"/>
  <c r="Q100" i="5"/>
  <c r="L100" i="5"/>
  <c r="J100" i="5"/>
  <c r="I100" i="5"/>
  <c r="Q99" i="5"/>
  <c r="L99" i="5"/>
  <c r="N99" i="5" s="1"/>
  <c r="J99" i="5"/>
  <c r="I99" i="5"/>
  <c r="Q98" i="5"/>
  <c r="L98" i="5"/>
  <c r="J98" i="5"/>
  <c r="I98" i="5"/>
  <c r="Q97" i="5"/>
  <c r="L97" i="5"/>
  <c r="J97" i="5"/>
  <c r="I97" i="5"/>
  <c r="Q96" i="5"/>
  <c r="L96" i="5"/>
  <c r="J96" i="5"/>
  <c r="I96" i="5"/>
  <c r="Q95" i="5"/>
  <c r="L95" i="5"/>
  <c r="J95" i="5"/>
  <c r="I95" i="5"/>
  <c r="Q94" i="5"/>
  <c r="N94" i="5"/>
  <c r="M94" i="5"/>
  <c r="J94" i="5"/>
  <c r="I94" i="5"/>
  <c r="Q93" i="5"/>
  <c r="N93" i="5"/>
  <c r="M93" i="5"/>
  <c r="J93" i="5"/>
  <c r="I93" i="5"/>
  <c r="Q90" i="5"/>
  <c r="L90" i="5"/>
  <c r="J90" i="5"/>
  <c r="I90" i="5"/>
  <c r="Q89" i="5"/>
  <c r="L89" i="5"/>
  <c r="J89" i="5"/>
  <c r="I89" i="5"/>
  <c r="Q88" i="5"/>
  <c r="L88" i="5"/>
  <c r="J88" i="5"/>
  <c r="I88" i="5"/>
  <c r="Q87" i="5"/>
  <c r="L87" i="5"/>
  <c r="J87" i="5"/>
  <c r="I87" i="5"/>
  <c r="Q86" i="5"/>
  <c r="L86" i="5"/>
  <c r="J86" i="5"/>
  <c r="I86" i="5"/>
  <c r="Q85" i="5"/>
  <c r="L85" i="5"/>
  <c r="J85" i="5"/>
  <c r="I85" i="5"/>
  <c r="Q84" i="5"/>
  <c r="M84" i="5"/>
  <c r="L84" i="5"/>
  <c r="N85" i="5" s="1"/>
  <c r="J84" i="5"/>
  <c r="I84" i="5"/>
  <c r="Q83" i="5"/>
  <c r="N83" i="5"/>
  <c r="M83" i="5"/>
  <c r="J83" i="5"/>
  <c r="I83" i="5"/>
  <c r="Q82" i="5"/>
  <c r="N82" i="5"/>
  <c r="M82" i="5"/>
  <c r="J82" i="5"/>
  <c r="I82" i="5"/>
  <c r="Q79" i="5"/>
  <c r="L79" i="5"/>
  <c r="N79" i="5" s="1"/>
  <c r="J79" i="5"/>
  <c r="I79" i="5"/>
  <c r="Q78" i="5"/>
  <c r="L78" i="5"/>
  <c r="J78" i="5"/>
  <c r="I78" i="5"/>
  <c r="Q77" i="5"/>
  <c r="L77" i="5"/>
  <c r="J77" i="5"/>
  <c r="I77" i="5"/>
  <c r="Q76" i="5"/>
  <c r="L76" i="5"/>
  <c r="J76" i="5"/>
  <c r="I76" i="5"/>
  <c r="Q75" i="5"/>
  <c r="L75" i="5"/>
  <c r="N75" i="5" s="1"/>
  <c r="J75" i="5"/>
  <c r="I75" i="5"/>
  <c r="Q74" i="5"/>
  <c r="N74" i="5"/>
  <c r="L74" i="5"/>
  <c r="J74" i="5"/>
  <c r="I74" i="5"/>
  <c r="Q73" i="5"/>
  <c r="M73" i="5"/>
  <c r="L73" i="5"/>
  <c r="J73" i="5"/>
  <c r="I73" i="5"/>
  <c r="Q72" i="5"/>
  <c r="N72" i="5"/>
  <c r="M72" i="5"/>
  <c r="J72" i="5"/>
  <c r="I72" i="5"/>
  <c r="Q71" i="5"/>
  <c r="N71" i="5"/>
  <c r="M71" i="5"/>
  <c r="J71" i="5"/>
  <c r="I71" i="5"/>
  <c r="Q68" i="5"/>
  <c r="L68" i="5"/>
  <c r="J68" i="5"/>
  <c r="I68" i="5"/>
  <c r="Q67" i="5"/>
  <c r="L67" i="5"/>
  <c r="J67" i="5"/>
  <c r="I67" i="5"/>
  <c r="Q66" i="5"/>
  <c r="L66" i="5"/>
  <c r="J66" i="5"/>
  <c r="I66" i="5"/>
  <c r="Q65" i="5"/>
  <c r="L65" i="5"/>
  <c r="J65" i="5"/>
  <c r="I65" i="5"/>
  <c r="Q64" i="5"/>
  <c r="M64" i="5"/>
  <c r="L64" i="5"/>
  <c r="N64" i="5" s="1"/>
  <c r="J64" i="5"/>
  <c r="I64" i="5"/>
  <c r="Q63" i="5"/>
  <c r="N63" i="5"/>
  <c r="L63" i="5"/>
  <c r="J63" i="5"/>
  <c r="I63" i="5"/>
  <c r="Q62" i="5"/>
  <c r="L62" i="5"/>
  <c r="J62" i="5"/>
  <c r="I62" i="5"/>
  <c r="Q61" i="5"/>
  <c r="N61" i="5"/>
  <c r="M61" i="5"/>
  <c r="J61" i="5"/>
  <c r="I61" i="5"/>
  <c r="Q60" i="5"/>
  <c r="N60" i="5"/>
  <c r="M60" i="5"/>
  <c r="J60" i="5"/>
  <c r="I60" i="5"/>
  <c r="Q57" i="5"/>
  <c r="L57" i="5"/>
  <c r="J57" i="5"/>
  <c r="I57" i="5"/>
  <c r="Q56" i="5"/>
  <c r="L56" i="5"/>
  <c r="J56" i="5"/>
  <c r="I56" i="5"/>
  <c r="Q55" i="5"/>
  <c r="L55" i="5"/>
  <c r="J55" i="5"/>
  <c r="I55" i="5"/>
  <c r="Q54" i="5"/>
  <c r="L54" i="5"/>
  <c r="J54" i="5"/>
  <c r="I54" i="5"/>
  <c r="Q53" i="5"/>
  <c r="L53" i="5"/>
  <c r="J53" i="5"/>
  <c r="I53" i="5"/>
  <c r="Q52" i="5"/>
  <c r="L52" i="5"/>
  <c r="J52" i="5"/>
  <c r="I52" i="5"/>
  <c r="Q51" i="5"/>
  <c r="L51" i="5"/>
  <c r="M57" i="5" s="1"/>
  <c r="J51" i="5"/>
  <c r="I51" i="5"/>
  <c r="Q50" i="5"/>
  <c r="N50" i="5"/>
  <c r="M50" i="5"/>
  <c r="J50" i="5"/>
  <c r="I50" i="5"/>
  <c r="Q49" i="5"/>
  <c r="N49" i="5"/>
  <c r="M49" i="5"/>
  <c r="J49" i="5"/>
  <c r="I49" i="5"/>
  <c r="Q46" i="5"/>
  <c r="L46" i="5"/>
  <c r="J46" i="5"/>
  <c r="I46" i="5"/>
  <c r="Q45" i="5"/>
  <c r="L45" i="5"/>
  <c r="J45" i="5"/>
  <c r="I45" i="5"/>
  <c r="Q44" i="5"/>
  <c r="M44" i="5"/>
  <c r="L44" i="5"/>
  <c r="N44" i="5" s="1"/>
  <c r="J44" i="5"/>
  <c r="I44" i="5"/>
  <c r="Q43" i="5"/>
  <c r="L43" i="5"/>
  <c r="J43" i="5"/>
  <c r="I43" i="5"/>
  <c r="Q42" i="5"/>
  <c r="L42" i="5"/>
  <c r="J42" i="5"/>
  <c r="I42" i="5"/>
  <c r="Q41" i="5"/>
  <c r="L41" i="5"/>
  <c r="J41" i="5"/>
  <c r="I41" i="5"/>
  <c r="Q40" i="5"/>
  <c r="M40" i="5"/>
  <c r="L40" i="5"/>
  <c r="N41" i="5" s="1"/>
  <c r="J40" i="5"/>
  <c r="I40" i="5"/>
  <c r="Q39" i="5"/>
  <c r="N39" i="5"/>
  <c r="M39" i="5"/>
  <c r="J39" i="5"/>
  <c r="I39" i="5"/>
  <c r="Q38" i="5"/>
  <c r="N38" i="5"/>
  <c r="M38" i="5"/>
  <c r="J38" i="5"/>
  <c r="I38" i="5"/>
  <c r="Q35" i="5"/>
  <c r="L35" i="5"/>
  <c r="J35" i="5"/>
  <c r="I35" i="5"/>
  <c r="Q34" i="5"/>
  <c r="L34" i="5"/>
  <c r="J34" i="5"/>
  <c r="I34" i="5"/>
  <c r="Q33" i="5"/>
  <c r="L33" i="5"/>
  <c r="J33" i="5"/>
  <c r="I33" i="5"/>
  <c r="Q32" i="5"/>
  <c r="L32" i="5"/>
  <c r="J32" i="5"/>
  <c r="I32" i="5"/>
  <c r="Q31" i="5"/>
  <c r="L31" i="5"/>
  <c r="N31" i="5" s="1"/>
  <c r="J31" i="5"/>
  <c r="I31" i="5"/>
  <c r="Q30" i="5"/>
  <c r="N30" i="5"/>
  <c r="L30" i="5"/>
  <c r="J30" i="5"/>
  <c r="I30" i="5"/>
  <c r="Q29" i="5"/>
  <c r="M29" i="5"/>
  <c r="L29" i="5"/>
  <c r="J29" i="5"/>
  <c r="I29" i="5"/>
  <c r="Q28" i="5"/>
  <c r="N28" i="5"/>
  <c r="M28" i="5"/>
  <c r="J28" i="5"/>
  <c r="I28" i="5"/>
  <c r="Q27" i="5"/>
  <c r="N27" i="5"/>
  <c r="M27" i="5"/>
  <c r="J27" i="5"/>
  <c r="I27" i="5"/>
  <c r="Q24" i="5"/>
  <c r="M24" i="5"/>
  <c r="L24" i="5"/>
  <c r="N24" i="5" s="1"/>
  <c r="J24" i="5"/>
  <c r="I24" i="5"/>
  <c r="Q23" i="5"/>
  <c r="L23" i="5"/>
  <c r="J23" i="5"/>
  <c r="I23" i="5"/>
  <c r="Q22" i="5"/>
  <c r="L22" i="5"/>
  <c r="J22" i="5"/>
  <c r="I22" i="5"/>
  <c r="Q21" i="5"/>
  <c r="L21" i="5"/>
  <c r="J21" i="5"/>
  <c r="I21" i="5"/>
  <c r="Q20" i="5"/>
  <c r="M20" i="5"/>
  <c r="L20" i="5"/>
  <c r="N20" i="5" s="1"/>
  <c r="J20" i="5"/>
  <c r="I20" i="5"/>
  <c r="Q19" i="5"/>
  <c r="N19" i="5"/>
  <c r="L19" i="5"/>
  <c r="J19" i="5"/>
  <c r="I19" i="5"/>
  <c r="Q18" i="5"/>
  <c r="L18" i="5"/>
  <c r="J18" i="5"/>
  <c r="I18" i="5"/>
  <c r="Q17" i="5"/>
  <c r="N17" i="5"/>
  <c r="M17" i="5"/>
  <c r="J17" i="5"/>
  <c r="I17" i="5"/>
  <c r="Q16" i="5"/>
  <c r="N16" i="5"/>
  <c r="M16" i="5"/>
  <c r="J16" i="5"/>
  <c r="I16" i="5"/>
  <c r="Q14" i="5"/>
  <c r="J14" i="5"/>
  <c r="I14" i="5"/>
  <c r="Q13" i="5"/>
  <c r="L13" i="5"/>
  <c r="J13" i="5"/>
  <c r="I13" i="5"/>
  <c r="Q12" i="5"/>
  <c r="L12" i="5"/>
  <c r="J12" i="5"/>
  <c r="I12" i="5"/>
  <c r="Q11" i="5"/>
  <c r="L11" i="5"/>
  <c r="J11" i="5"/>
  <c r="I11" i="5"/>
  <c r="Q10" i="5"/>
  <c r="L10" i="5"/>
  <c r="J10" i="5"/>
  <c r="I10" i="5"/>
  <c r="Q9" i="5"/>
  <c r="L9" i="5"/>
  <c r="J9" i="5"/>
  <c r="I9" i="5"/>
  <c r="Q8" i="5"/>
  <c r="N8" i="5"/>
  <c r="M8" i="5"/>
  <c r="L8" i="5"/>
  <c r="J8" i="5"/>
  <c r="I8" i="5"/>
  <c r="Q7" i="5"/>
  <c r="L7" i="5"/>
  <c r="J7" i="5"/>
  <c r="I7" i="5"/>
  <c r="Q6" i="5"/>
  <c r="N6" i="5"/>
  <c r="M6" i="5"/>
  <c r="J6" i="5"/>
  <c r="I6" i="5"/>
  <c r="Q5" i="5"/>
  <c r="N5" i="5"/>
  <c r="M5" i="5"/>
  <c r="J5" i="5"/>
  <c r="I5" i="5"/>
  <c r="A56" i="4"/>
  <c r="A53" i="4"/>
  <c r="A54" i="4" s="1"/>
  <c r="A55" i="4" s="1"/>
  <c r="E51" i="4"/>
  <c r="A14" i="4"/>
  <c r="P13" i="4"/>
  <c r="E12" i="4"/>
  <c r="U67" i="3"/>
  <c r="R67" i="3"/>
  <c r="S67" i="3" s="1"/>
  <c r="P67" i="3"/>
  <c r="O67" i="3"/>
  <c r="L67" i="3"/>
  <c r="M67" i="3" s="1"/>
  <c r="U66" i="3"/>
  <c r="S66" i="3"/>
  <c r="R66" i="3"/>
  <c r="P66" i="3"/>
  <c r="O66" i="3"/>
  <c r="M66" i="3"/>
  <c r="L66" i="3"/>
  <c r="U65" i="3"/>
  <c r="S65" i="3"/>
  <c r="R65" i="3"/>
  <c r="P65" i="3"/>
  <c r="O65" i="3"/>
  <c r="M65" i="3"/>
  <c r="L65" i="3"/>
  <c r="U64" i="3"/>
  <c r="S64" i="3"/>
  <c r="R64" i="3"/>
  <c r="P64" i="3"/>
  <c r="O64" i="3"/>
  <c r="L64" i="3"/>
  <c r="M64" i="3" s="1"/>
  <c r="H63" i="3"/>
  <c r="F63" i="3"/>
  <c r="A63" i="3"/>
  <c r="U63" i="3" s="1"/>
  <c r="U62" i="3"/>
  <c r="S62" i="3"/>
  <c r="R62" i="3"/>
  <c r="P62" i="3"/>
  <c r="O62" i="3"/>
  <c r="L62" i="3"/>
  <c r="M62" i="3" s="1"/>
  <c r="U61" i="3"/>
  <c r="S61" i="3"/>
  <c r="R61" i="3"/>
  <c r="P61" i="3"/>
  <c r="O61" i="3"/>
  <c r="M61" i="3"/>
  <c r="L61" i="3"/>
  <c r="U60" i="3"/>
  <c r="S60" i="3"/>
  <c r="R60" i="3"/>
  <c r="P60" i="3"/>
  <c r="O60" i="3"/>
  <c r="L60" i="3"/>
  <c r="M60" i="3" s="1"/>
  <c r="U59" i="3"/>
  <c r="S59" i="3"/>
  <c r="R59" i="3"/>
  <c r="P59" i="3"/>
  <c r="O59" i="3"/>
  <c r="L59" i="3"/>
  <c r="M59" i="3" s="1"/>
  <c r="U58" i="3"/>
  <c r="H58" i="3"/>
  <c r="F58" i="3"/>
  <c r="A58" i="3"/>
  <c r="U57" i="3"/>
  <c r="S57" i="3"/>
  <c r="R57" i="3"/>
  <c r="P57" i="3"/>
  <c r="O57" i="3"/>
  <c r="L57" i="3"/>
  <c r="M57" i="3" s="1"/>
  <c r="U56" i="3"/>
  <c r="S56" i="3"/>
  <c r="R56" i="3"/>
  <c r="P56" i="3"/>
  <c r="O56" i="3"/>
  <c r="M56" i="3"/>
  <c r="L56" i="3"/>
  <c r="U55" i="3"/>
  <c r="S55" i="3"/>
  <c r="R55" i="3"/>
  <c r="P55" i="3"/>
  <c r="O55" i="3"/>
  <c r="L55" i="3"/>
  <c r="M55" i="3" s="1"/>
  <c r="U54" i="3"/>
  <c r="S54" i="3"/>
  <c r="R54" i="3"/>
  <c r="P54" i="3"/>
  <c r="O54" i="3"/>
  <c r="L54" i="3"/>
  <c r="M54" i="3" s="1"/>
  <c r="U53" i="3"/>
  <c r="H53" i="3"/>
  <c r="F53" i="3"/>
  <c r="A53" i="3"/>
  <c r="U52" i="3"/>
  <c r="S52" i="3"/>
  <c r="R52" i="3"/>
  <c r="P52" i="3"/>
  <c r="O52" i="3"/>
  <c r="L52" i="3"/>
  <c r="M52" i="3" s="1"/>
  <c r="U51" i="3"/>
  <c r="R51" i="3"/>
  <c r="S51" i="3" s="1"/>
  <c r="P51" i="3"/>
  <c r="O51" i="3"/>
  <c r="M51" i="3"/>
  <c r="L51" i="3"/>
  <c r="U50" i="3"/>
  <c r="S50" i="3"/>
  <c r="R50" i="3"/>
  <c r="P50" i="3"/>
  <c r="O50" i="3"/>
  <c r="M50" i="3"/>
  <c r="L50" i="3"/>
  <c r="U49" i="3"/>
  <c r="R49" i="3"/>
  <c r="S49" i="3" s="1"/>
  <c r="P49" i="3"/>
  <c r="O49" i="3"/>
  <c r="M49" i="3"/>
  <c r="L49" i="3"/>
  <c r="H48" i="3"/>
  <c r="F48" i="3"/>
  <c r="A48" i="3"/>
  <c r="E47" i="3" s="1"/>
  <c r="A29" i="3"/>
  <c r="M29" i="3" s="1"/>
  <c r="N29" i="3" s="1"/>
  <c r="N37" i="3" s="1"/>
  <c r="A28" i="3"/>
  <c r="M28" i="3" s="1"/>
  <c r="N28" i="3" s="1"/>
  <c r="N36" i="3" s="1"/>
  <c r="N27" i="3"/>
  <c r="N35" i="3" s="1"/>
  <c r="M27" i="3"/>
  <c r="E26" i="3"/>
  <c r="P14" i="3"/>
  <c r="M14" i="3"/>
  <c r="N14" i="3" s="1"/>
  <c r="N20" i="3" s="1"/>
  <c r="A14" i="3"/>
  <c r="A15" i="3" s="1"/>
  <c r="P13" i="3"/>
  <c r="M13" i="3"/>
  <c r="N13" i="3" s="1"/>
  <c r="N19" i="3" s="1"/>
  <c r="E12" i="3"/>
  <c r="I124" i="2"/>
  <c r="A124" i="2"/>
  <c r="I121" i="2"/>
  <c r="A121" i="2"/>
  <c r="L119" i="2"/>
  <c r="J119" i="2"/>
  <c r="B119" i="2"/>
  <c r="A119" i="2"/>
  <c r="L118" i="2"/>
  <c r="J118" i="2"/>
  <c r="B118" i="2"/>
  <c r="A118" i="2"/>
  <c r="L117" i="2"/>
  <c r="J117" i="2"/>
  <c r="B117" i="2"/>
  <c r="A117" i="2"/>
  <c r="L116" i="2"/>
  <c r="J116" i="2"/>
  <c r="B116" i="2"/>
  <c r="A116" i="2"/>
  <c r="L115" i="2"/>
  <c r="J115" i="2"/>
  <c r="B115" i="2"/>
  <c r="A115" i="2"/>
  <c r="L114" i="2"/>
  <c r="J114" i="2"/>
  <c r="B114" i="2"/>
  <c r="A114" i="2"/>
  <c r="L113" i="2"/>
  <c r="J113" i="2"/>
  <c r="B113" i="2"/>
  <c r="A113" i="2"/>
  <c r="L112" i="2"/>
  <c r="J112" i="2"/>
  <c r="B112" i="2"/>
  <c r="A112" i="2"/>
  <c r="L111" i="2"/>
  <c r="J111" i="2"/>
  <c r="B111" i="2"/>
  <c r="A111" i="2"/>
  <c r="L110" i="2"/>
  <c r="J110" i="2"/>
  <c r="B110" i="2"/>
  <c r="A110" i="2"/>
  <c r="L109" i="2"/>
  <c r="J109" i="2"/>
  <c r="B109" i="2"/>
  <c r="A109" i="2"/>
  <c r="L108" i="2"/>
  <c r="J108" i="2"/>
  <c r="B108" i="2"/>
  <c r="A108" i="2"/>
  <c r="L107" i="2"/>
  <c r="J107" i="2"/>
  <c r="B107" i="2"/>
  <c r="A107" i="2"/>
  <c r="L106" i="2"/>
  <c r="J106" i="2"/>
  <c r="B106" i="2"/>
  <c r="A106" i="2"/>
  <c r="L105" i="2"/>
  <c r="J105" i="2"/>
  <c r="B105" i="2"/>
  <c r="A105" i="2"/>
  <c r="L104" i="2"/>
  <c r="J104" i="2"/>
  <c r="B104" i="2"/>
  <c r="A104" i="2"/>
  <c r="L103" i="2"/>
  <c r="J103" i="2"/>
  <c r="B103" i="2"/>
  <c r="A103" i="2"/>
  <c r="L102" i="2"/>
  <c r="J102" i="2"/>
  <c r="B102" i="2"/>
  <c r="A102" i="2"/>
  <c r="L101" i="2"/>
  <c r="J101" i="2"/>
  <c r="B101" i="2"/>
  <c r="A101" i="2"/>
  <c r="L100" i="2"/>
  <c r="J100" i="2"/>
  <c r="B100" i="2"/>
  <c r="A100" i="2"/>
  <c r="L99" i="2"/>
  <c r="J99" i="2"/>
  <c r="B99" i="2"/>
  <c r="A99" i="2"/>
  <c r="L98" i="2"/>
  <c r="J98" i="2"/>
  <c r="B98" i="2"/>
  <c r="A98" i="2"/>
  <c r="L97" i="2"/>
  <c r="J97" i="2"/>
  <c r="B97" i="2"/>
  <c r="A97" i="2"/>
  <c r="L96" i="2"/>
  <c r="J96" i="2"/>
  <c r="B96" i="2"/>
  <c r="A96" i="2"/>
  <c r="L95" i="2"/>
  <c r="J95" i="2"/>
  <c r="B95" i="2"/>
  <c r="A95" i="2"/>
  <c r="L94" i="2"/>
  <c r="J94" i="2"/>
  <c r="B94" i="2"/>
  <c r="A94" i="2"/>
  <c r="L93" i="2"/>
  <c r="J93" i="2"/>
  <c r="B93" i="2"/>
  <c r="A93" i="2"/>
  <c r="L92" i="2"/>
  <c r="J92" i="2"/>
  <c r="B92" i="2"/>
  <c r="A92" i="2"/>
  <c r="L91" i="2"/>
  <c r="J91" i="2"/>
  <c r="B91" i="2"/>
  <c r="A91" i="2"/>
  <c r="L90" i="2"/>
  <c r="J90" i="2"/>
  <c r="B90" i="2"/>
  <c r="A90" i="2"/>
  <c r="L89" i="2"/>
  <c r="J89" i="2"/>
  <c r="B89" i="2"/>
  <c r="A89" i="2"/>
  <c r="L88" i="2"/>
  <c r="J88" i="2"/>
  <c r="B88" i="2"/>
  <c r="A88" i="2"/>
  <c r="L87" i="2"/>
  <c r="J87" i="2"/>
  <c r="B87" i="2"/>
  <c r="A87" i="2"/>
  <c r="L86" i="2"/>
  <c r="J86" i="2"/>
  <c r="B86" i="2"/>
  <c r="A86" i="2"/>
  <c r="L85" i="2"/>
  <c r="J85" i="2"/>
  <c r="B85" i="2"/>
  <c r="A85" i="2"/>
  <c r="L84" i="2"/>
  <c r="J84" i="2"/>
  <c r="B84" i="2"/>
  <c r="A84" i="2"/>
  <c r="L83" i="2"/>
  <c r="J83" i="2"/>
  <c r="B83" i="2"/>
  <c r="A83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Q44" i="2"/>
  <c r="Q45" i="2" s="1"/>
  <c r="O44" i="2"/>
  <c r="M44" i="2"/>
  <c r="K44" i="2"/>
  <c r="I44" i="2"/>
  <c r="G44" i="2"/>
  <c r="E44" i="2"/>
  <c r="D44" i="2"/>
  <c r="Q43" i="2"/>
  <c r="O43" i="2"/>
  <c r="O45" i="2" s="1"/>
  <c r="M43" i="2"/>
  <c r="M45" i="2" s="1"/>
  <c r="K43" i="2"/>
  <c r="K45" i="2" s="1"/>
  <c r="I43" i="2"/>
  <c r="I45" i="2" s="1"/>
  <c r="G43" i="2"/>
  <c r="G45" i="2" s="1"/>
  <c r="E43" i="2"/>
  <c r="E45" i="2" s="1"/>
  <c r="D43" i="2"/>
  <c r="D45" i="2" s="1"/>
  <c r="E39" i="2"/>
  <c r="K39" i="2" s="1"/>
  <c r="K38" i="2"/>
  <c r="E38" i="2"/>
  <c r="E37" i="2"/>
  <c r="K37" i="2" s="1"/>
  <c r="K36" i="2"/>
  <c r="E36" i="2"/>
  <c r="E35" i="2"/>
  <c r="K35" i="2" s="1"/>
  <c r="K34" i="2"/>
  <c r="E34" i="2"/>
  <c r="E33" i="2"/>
  <c r="K33" i="2" s="1"/>
  <c r="K32" i="2"/>
  <c r="E32" i="2"/>
  <c r="E31" i="2"/>
  <c r="K31" i="2" s="1"/>
  <c r="K30" i="2"/>
  <c r="E30" i="2"/>
  <c r="E29" i="2"/>
  <c r="K29" i="2" s="1"/>
  <c r="K28" i="2"/>
  <c r="E28" i="2"/>
  <c r="E27" i="2"/>
  <c r="K27" i="2" s="1"/>
  <c r="K26" i="2"/>
  <c r="E26" i="2"/>
  <c r="E25" i="2"/>
  <c r="K25" i="2" s="1"/>
  <c r="K24" i="2"/>
  <c r="E24" i="2"/>
  <c r="E23" i="2"/>
  <c r="K23" i="2" s="1"/>
  <c r="K22" i="2"/>
  <c r="E22" i="2"/>
  <c r="E21" i="2"/>
  <c r="K21" i="2" s="1"/>
  <c r="K20" i="2"/>
  <c r="E20" i="2"/>
  <c r="H19" i="2"/>
  <c r="E19" i="2"/>
  <c r="E16" i="2"/>
  <c r="E14" i="2"/>
  <c r="A12" i="2"/>
  <c r="A10" i="2"/>
  <c r="J412" i="1"/>
  <c r="J411" i="1"/>
  <c r="J410" i="1"/>
  <c r="J409" i="1"/>
  <c r="J408" i="1"/>
  <c r="J407" i="1"/>
  <c r="J403" i="1"/>
  <c r="J402" i="1"/>
  <c r="J401" i="1"/>
  <c r="J397" i="1"/>
  <c r="J392" i="1"/>
  <c r="J391" i="1"/>
  <c r="J390" i="1"/>
  <c r="J389" i="1"/>
  <c r="J388" i="1"/>
  <c r="J384" i="1"/>
  <c r="J383" i="1"/>
  <c r="J382" i="1"/>
  <c r="J378" i="1"/>
  <c r="J377" i="1"/>
  <c r="J376" i="1"/>
  <c r="J375" i="1"/>
  <c r="J374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6" i="1"/>
  <c r="J305" i="1"/>
  <c r="J304" i="1"/>
  <c r="J303" i="1"/>
  <c r="J302" i="1"/>
  <c r="J301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3" i="1"/>
  <c r="J262" i="1"/>
  <c r="J261" i="1"/>
  <c r="J257" i="1"/>
  <c r="J256" i="1"/>
  <c r="J252" i="1"/>
  <c r="J248" i="1"/>
  <c r="J247" i="1"/>
  <c r="J246" i="1"/>
  <c r="J245" i="1"/>
  <c r="J244" i="1"/>
  <c r="J243" i="1"/>
  <c r="J239" i="1"/>
  <c r="J238" i="1"/>
  <c r="J237" i="1"/>
  <c r="J233" i="1"/>
  <c r="J232" i="1"/>
  <c r="J231" i="1"/>
  <c r="J230" i="1"/>
  <c r="J229" i="1"/>
  <c r="J228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Y207" i="1"/>
  <c r="J207" i="1"/>
  <c r="J206" i="1"/>
  <c r="J205" i="1"/>
  <c r="J204" i="1"/>
  <c r="J203" i="1"/>
  <c r="J202" i="1"/>
  <c r="J201" i="1"/>
  <c r="J200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2" i="1"/>
  <c r="J151" i="1"/>
  <c r="J150" i="1"/>
  <c r="J149" i="1"/>
  <c r="J148" i="1"/>
  <c r="J147" i="1"/>
  <c r="J146" i="1"/>
  <c r="J145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G102" i="1"/>
  <c r="A102" i="1"/>
  <c r="A101" i="1"/>
  <c r="A100" i="1"/>
  <c r="C98" i="1"/>
  <c r="F57" i="1"/>
  <c r="A57" i="1"/>
  <c r="A56" i="1"/>
  <c r="A55" i="1"/>
  <c r="C53" i="1"/>
  <c r="M15" i="3" l="1"/>
  <c r="N15" i="3" s="1"/>
  <c r="N21" i="3" s="1"/>
  <c r="A16" i="3"/>
  <c r="P15" i="3"/>
  <c r="N9" i="5"/>
  <c r="M9" i="5"/>
  <c r="N12" i="5"/>
  <c r="N35" i="5"/>
  <c r="N55" i="5"/>
  <c r="M68" i="5"/>
  <c r="N78" i="5"/>
  <c r="M88" i="5"/>
  <c r="M100" i="5"/>
  <c r="M96" i="5"/>
  <c r="M98" i="5"/>
  <c r="N95" i="5"/>
  <c r="N98" i="5"/>
  <c r="N112" i="5"/>
  <c r="M112" i="5"/>
  <c r="P14" i="4"/>
  <c r="N22" i="5"/>
  <c r="M35" i="5"/>
  <c r="N42" i="5"/>
  <c r="N45" i="5"/>
  <c r="M55" i="5"/>
  <c r="M65" i="5"/>
  <c r="N62" i="5"/>
  <c r="M67" i="5"/>
  <c r="M63" i="5"/>
  <c r="N65" i="5"/>
  <c r="M75" i="5"/>
  <c r="N90" i="5"/>
  <c r="M95" i="5"/>
  <c r="M109" i="5"/>
  <c r="A15" i="4"/>
  <c r="N11" i="5"/>
  <c r="M11" i="5"/>
  <c r="M22" i="5"/>
  <c r="M34" i="5"/>
  <c r="M30" i="5"/>
  <c r="M32" i="5"/>
  <c r="N29" i="5"/>
  <c r="N32" i="5"/>
  <c r="M42" i="5"/>
  <c r="N52" i="5"/>
  <c r="N57" i="5"/>
  <c r="M62" i="5"/>
  <c r="N77" i="5"/>
  <c r="M90" i="5"/>
  <c r="N97" i="5"/>
  <c r="N100" i="5"/>
  <c r="N106" i="5"/>
  <c r="M106" i="5"/>
  <c r="N109" i="5"/>
  <c r="N67" i="5"/>
  <c r="M77" i="5"/>
  <c r="M87" i="5"/>
  <c r="N84" i="5"/>
  <c r="M89" i="5"/>
  <c r="M85" i="5"/>
  <c r="N87" i="5"/>
  <c r="M97" i="5"/>
  <c r="N142" i="5"/>
  <c r="M142" i="5"/>
  <c r="N13" i="5"/>
  <c r="M13" i="5"/>
  <c r="N34" i="5"/>
  <c r="M56" i="5"/>
  <c r="M52" i="5"/>
  <c r="M54" i="5"/>
  <c r="N51" i="5"/>
  <c r="N54" i="5"/>
  <c r="N108" i="5"/>
  <c r="M108" i="5"/>
  <c r="N111" i="5"/>
  <c r="A30" i="3"/>
  <c r="A57" i="4"/>
  <c r="M10" i="5"/>
  <c r="M21" i="5"/>
  <c r="N18" i="5"/>
  <c r="M23" i="5"/>
  <c r="M19" i="5"/>
  <c r="N21" i="5"/>
  <c r="M31" i="5"/>
  <c r="N46" i="5"/>
  <c r="M51" i="5"/>
  <c r="N66" i="5"/>
  <c r="M79" i="5"/>
  <c r="N86" i="5"/>
  <c r="N89" i="5"/>
  <c r="M99" i="5"/>
  <c r="M145" i="5"/>
  <c r="U48" i="3"/>
  <c r="N7" i="5"/>
  <c r="M7" i="5"/>
  <c r="N10" i="5"/>
  <c r="M18" i="5"/>
  <c r="N33" i="5"/>
  <c r="M46" i="5"/>
  <c r="N53" i="5"/>
  <c r="N56" i="5"/>
  <c r="M66" i="5"/>
  <c r="M78" i="5"/>
  <c r="M74" i="5"/>
  <c r="M76" i="5"/>
  <c r="N73" i="5"/>
  <c r="N76" i="5"/>
  <c r="M86" i="5"/>
  <c r="N96" i="5"/>
  <c r="N101" i="5"/>
  <c r="N110" i="5"/>
  <c r="M110" i="5"/>
  <c r="M12" i="5"/>
  <c r="N23" i="5"/>
  <c r="M33" i="5"/>
  <c r="M43" i="5"/>
  <c r="N40" i="5"/>
  <c r="M45" i="5"/>
  <c r="M41" i="5"/>
  <c r="N43" i="5"/>
  <c r="M53" i="5"/>
  <c r="N68" i="5"/>
  <c r="N88" i="5"/>
  <c r="M101" i="5"/>
  <c r="M119" i="5"/>
  <c r="M123" i="5"/>
  <c r="M128" i="5"/>
  <c r="M132" i="5"/>
  <c r="N140" i="5"/>
  <c r="N144" i="5"/>
  <c r="N153" i="5"/>
  <c r="N162" i="5"/>
  <c r="N166" i="5"/>
  <c r="N175" i="5"/>
  <c r="M186" i="5"/>
  <c r="M195" i="5"/>
  <c r="M199" i="5"/>
  <c r="M208" i="5"/>
  <c r="M214" i="5"/>
  <c r="M223" i="5"/>
  <c r="M227" i="5"/>
  <c r="M236" i="5"/>
  <c r="M263" i="5"/>
  <c r="M268" i="5"/>
  <c r="M293" i="5"/>
  <c r="N128" i="5"/>
  <c r="M143" i="5"/>
  <c r="M152" i="5"/>
  <c r="M156" i="5"/>
  <c r="M165" i="5"/>
  <c r="M174" i="5"/>
  <c r="M178" i="5"/>
  <c r="N195" i="5"/>
  <c r="N214" i="5"/>
  <c r="N223" i="5"/>
  <c r="N268" i="5"/>
  <c r="N293" i="5"/>
  <c r="M301" i="5"/>
  <c r="M367" i="5"/>
  <c r="M375" i="5"/>
  <c r="M399" i="5"/>
  <c r="N152" i="5"/>
  <c r="N156" i="5"/>
  <c r="N165" i="5"/>
  <c r="N174" i="5"/>
  <c r="N178" i="5"/>
  <c r="N367" i="5"/>
  <c r="N399" i="5"/>
  <c r="N118" i="5"/>
  <c r="N122" i="5"/>
  <c r="N131" i="5"/>
  <c r="M151" i="5"/>
  <c r="M155" i="5"/>
  <c r="M164" i="5"/>
  <c r="M173" i="5"/>
  <c r="M177" i="5"/>
  <c r="N185" i="5"/>
  <c r="N189" i="5"/>
  <c r="N198" i="5"/>
  <c r="N207" i="5"/>
  <c r="N217" i="5"/>
  <c r="N226" i="5"/>
  <c r="N235" i="5"/>
  <c r="N239" i="5"/>
  <c r="N262" i="5"/>
  <c r="N271" i="5"/>
  <c r="M366" i="5"/>
  <c r="M117" i="5"/>
  <c r="M121" i="5"/>
  <c r="M130" i="5"/>
  <c r="M134" i="5"/>
  <c r="N151" i="5"/>
  <c r="N173" i="5"/>
  <c r="M184" i="5"/>
  <c r="M188" i="5"/>
  <c r="M197" i="5"/>
  <c r="M206" i="5"/>
  <c r="M216" i="5"/>
  <c r="M225" i="5"/>
  <c r="M234" i="5"/>
  <c r="M238" i="5"/>
  <c r="M261" i="5"/>
  <c r="M270" i="5"/>
  <c r="M295" i="5"/>
  <c r="M300" i="5"/>
  <c r="M358" i="5"/>
  <c r="N374" i="5"/>
  <c r="N382" i="5"/>
  <c r="M390" i="5"/>
  <c r="N117" i="5"/>
  <c r="M141" i="5"/>
  <c r="N184" i="5"/>
  <c r="N234" i="5"/>
  <c r="M303" i="5"/>
  <c r="N358" i="5"/>
  <c r="M365" i="5"/>
  <c r="M382" i="5"/>
  <c r="N390" i="5"/>
  <c r="M397" i="5"/>
  <c r="N141" i="5"/>
  <c r="N145" i="5"/>
  <c r="N163" i="5"/>
  <c r="N167" i="5"/>
  <c r="M187" i="5"/>
  <c r="M196" i="5"/>
  <c r="M200" i="5"/>
  <c r="M215" i="5"/>
  <c r="M224" i="5"/>
  <c r="M228" i="5"/>
  <c r="M237" i="5"/>
  <c r="M269" i="5"/>
  <c r="M294" i="5"/>
  <c r="N303" i="5"/>
  <c r="I12" i="10"/>
  <c r="H25" i="9"/>
  <c r="N129" i="5"/>
  <c r="N196" i="5"/>
  <c r="N224" i="5"/>
  <c r="M302" i="5"/>
  <c r="AW21" i="9"/>
  <c r="AW71" i="9" s="1"/>
  <c r="AX22" i="9"/>
  <c r="AW29" i="9"/>
  <c r="AX30" i="9"/>
  <c r="AW37" i="9"/>
  <c r="AX38" i="9"/>
  <c r="AW45" i="9"/>
  <c r="AW46" i="9"/>
  <c r="AW47" i="9"/>
  <c r="AW48" i="9"/>
  <c r="AW49" i="9"/>
  <c r="AW50" i="9"/>
  <c r="AW51" i="9"/>
  <c r="AW52" i="9"/>
  <c r="AW53" i="9"/>
  <c r="AW54" i="9"/>
  <c r="AW55" i="9"/>
  <c r="AW56" i="9"/>
  <c r="AW57" i="9"/>
  <c r="AW58" i="9"/>
  <c r="AW59" i="9"/>
  <c r="AW60" i="9"/>
  <c r="AW61" i="9"/>
  <c r="AW62" i="9"/>
  <c r="AW63" i="9"/>
  <c r="AW64" i="9"/>
  <c r="AW65" i="9"/>
  <c r="AW66" i="9"/>
  <c r="AW67" i="9"/>
  <c r="AW68" i="9"/>
  <c r="AW69" i="9"/>
  <c r="AW70" i="9"/>
  <c r="I11" i="10"/>
  <c r="J73" i="11"/>
  <c r="G43" i="14"/>
  <c r="G43" i="12"/>
  <c r="G38" i="12"/>
  <c r="G54" i="12"/>
  <c r="J71" i="13"/>
  <c r="AX21" i="9"/>
  <c r="AX71" i="9" s="1"/>
  <c r="AV27" i="9"/>
  <c r="AX29" i="9"/>
  <c r="AV35" i="9"/>
  <c r="AX37" i="9"/>
  <c r="AX45" i="9"/>
  <c r="AX46" i="9"/>
  <c r="AX47" i="9"/>
  <c r="AX48" i="9"/>
  <c r="AX49" i="9"/>
  <c r="AX50" i="9"/>
  <c r="AX51" i="9"/>
  <c r="AX52" i="9"/>
  <c r="AX53" i="9"/>
  <c r="AX54" i="9"/>
  <c r="AX55" i="9"/>
  <c r="AX56" i="9"/>
  <c r="AX57" i="9"/>
  <c r="AX58" i="9"/>
  <c r="AX59" i="9"/>
  <c r="AX60" i="9"/>
  <c r="AX61" i="9"/>
  <c r="AX62" i="9"/>
  <c r="AX63" i="9"/>
  <c r="AX64" i="9"/>
  <c r="AX65" i="9"/>
  <c r="AX66" i="9"/>
  <c r="AX67" i="9"/>
  <c r="AX68" i="9"/>
  <c r="AX69" i="9"/>
  <c r="AX70" i="9"/>
  <c r="I73" i="9"/>
  <c r="I9" i="12"/>
  <c r="G13" i="12"/>
  <c r="G20" i="12"/>
  <c r="G33" i="12"/>
  <c r="G49" i="12"/>
  <c r="J69" i="13"/>
  <c r="G23" i="14"/>
  <c r="G55" i="14"/>
  <c r="P22" i="15"/>
  <c r="R22" i="15"/>
  <c r="Q22" i="15"/>
  <c r="P31" i="15"/>
  <c r="Q31" i="15"/>
  <c r="R31" i="15"/>
  <c r="I71" i="9"/>
  <c r="G35" i="14"/>
  <c r="G35" i="12"/>
  <c r="P38" i="15"/>
  <c r="R38" i="15"/>
  <c r="Q38" i="15"/>
  <c r="G25" i="12"/>
  <c r="G31" i="12"/>
  <c r="G47" i="12"/>
  <c r="G16" i="14"/>
  <c r="AW41" i="9"/>
  <c r="I22" i="11"/>
  <c r="G11" i="12"/>
  <c r="G24" i="12"/>
  <c r="G30" i="12"/>
  <c r="G36" i="12"/>
  <c r="G46" i="12"/>
  <c r="G52" i="12"/>
  <c r="P21" i="15"/>
  <c r="P71" i="15" s="1"/>
  <c r="R21" i="15"/>
  <c r="R71" i="15" s="1"/>
  <c r="Q21" i="15"/>
  <c r="Q71" i="15" s="1"/>
  <c r="J72" i="15"/>
  <c r="G17" i="12"/>
  <c r="G29" i="12"/>
  <c r="G41" i="12"/>
  <c r="G57" i="12"/>
  <c r="G15" i="14"/>
  <c r="P23" i="15"/>
  <c r="Q23" i="15"/>
  <c r="R23" i="15"/>
  <c r="R39" i="15"/>
  <c r="P39" i="15"/>
  <c r="Q39" i="15"/>
  <c r="R43" i="15"/>
  <c r="P43" i="15"/>
  <c r="Q43" i="15"/>
  <c r="R47" i="15"/>
  <c r="P47" i="15"/>
  <c r="Q47" i="15"/>
  <c r="R51" i="15"/>
  <c r="P51" i="15"/>
  <c r="Q51" i="15"/>
  <c r="R55" i="15"/>
  <c r="P55" i="15"/>
  <c r="Q55" i="15"/>
  <c r="R59" i="15"/>
  <c r="P59" i="15"/>
  <c r="Q59" i="15"/>
  <c r="R63" i="15"/>
  <c r="P63" i="15"/>
  <c r="Q63" i="15"/>
  <c r="R67" i="15"/>
  <c r="P67" i="15"/>
  <c r="Q67" i="15"/>
  <c r="AV22" i="9"/>
  <c r="AV30" i="9"/>
  <c r="AV38" i="9"/>
  <c r="G51" i="14"/>
  <c r="G51" i="12"/>
  <c r="G22" i="12"/>
  <c r="G40" i="12"/>
  <c r="G45" i="12"/>
  <c r="G56" i="12"/>
  <c r="I71" i="15"/>
  <c r="H23" i="15"/>
  <c r="P30" i="15"/>
  <c r="R30" i="15"/>
  <c r="Q30" i="15"/>
  <c r="G9" i="12"/>
  <c r="G21" i="12"/>
  <c r="G28" i="12"/>
  <c r="I74" i="15"/>
  <c r="DI33" i="17"/>
  <c r="DI83" i="17" s="1"/>
  <c r="J38" i="17"/>
  <c r="DJ40" i="17"/>
  <c r="DI40" i="17"/>
  <c r="DH40" i="17"/>
  <c r="I48" i="17"/>
  <c r="DJ51" i="17"/>
  <c r="DI51" i="17"/>
  <c r="DH51" i="17"/>
  <c r="G10" i="12"/>
  <c r="G18" i="12"/>
  <c r="G26" i="12"/>
  <c r="G34" i="12"/>
  <c r="G42" i="12"/>
  <c r="G50" i="12"/>
  <c r="G58" i="12"/>
  <c r="Q29" i="15"/>
  <c r="Q37" i="15"/>
  <c r="R40" i="15"/>
  <c r="P40" i="15"/>
  <c r="R44" i="15"/>
  <c r="P44" i="15"/>
  <c r="R48" i="15"/>
  <c r="P48" i="15"/>
  <c r="R52" i="15"/>
  <c r="P52" i="15"/>
  <c r="R56" i="15"/>
  <c r="P56" i="15"/>
  <c r="R60" i="15"/>
  <c r="P60" i="15"/>
  <c r="R64" i="15"/>
  <c r="P64" i="15"/>
  <c r="R68" i="15"/>
  <c r="P68" i="15"/>
  <c r="I33" i="17"/>
  <c r="K38" i="17"/>
  <c r="DJ43" i="17"/>
  <c r="DI43" i="17"/>
  <c r="DH43" i="17"/>
  <c r="J48" i="17"/>
  <c r="I53" i="17"/>
  <c r="K59" i="17"/>
  <c r="I59" i="17"/>
  <c r="Q28" i="15"/>
  <c r="R29" i="15"/>
  <c r="Q36" i="15"/>
  <c r="R37" i="15"/>
  <c r="I40" i="17"/>
  <c r="DJ35" i="17"/>
  <c r="DI35" i="17"/>
  <c r="DH35" i="17"/>
  <c r="I43" i="17"/>
  <c r="K53" i="17"/>
  <c r="J53" i="17"/>
  <c r="DH58" i="17"/>
  <c r="J43" i="17"/>
  <c r="I45" i="17"/>
  <c r="I46" i="17"/>
  <c r="K51" i="17"/>
  <c r="DI58" i="17"/>
  <c r="I73" i="15"/>
  <c r="R42" i="15"/>
  <c r="P42" i="15"/>
  <c r="R46" i="15"/>
  <c r="P46" i="15"/>
  <c r="R50" i="15"/>
  <c r="P50" i="15"/>
  <c r="R54" i="15"/>
  <c r="P54" i="15"/>
  <c r="R58" i="15"/>
  <c r="P58" i="15"/>
  <c r="R62" i="15"/>
  <c r="P62" i="15"/>
  <c r="R66" i="15"/>
  <c r="P66" i="15"/>
  <c r="R70" i="15"/>
  <c r="P70" i="15"/>
  <c r="O86" i="17"/>
  <c r="O85" i="17"/>
  <c r="O83" i="17"/>
  <c r="K33" i="17"/>
  <c r="I35" i="17"/>
  <c r="I83" i="17"/>
  <c r="A59" i="17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J84" i="17"/>
  <c r="I84" i="17"/>
  <c r="J83" i="17"/>
  <c r="I62" i="17"/>
  <c r="I38" i="17"/>
  <c r="J46" i="17"/>
  <c r="DJ48" i="17"/>
  <c r="DI48" i="17"/>
  <c r="DH48" i="17"/>
  <c r="DJ55" i="17"/>
  <c r="DI55" i="17"/>
  <c r="R24" i="15"/>
  <c r="R32" i="15"/>
  <c r="R41" i="15"/>
  <c r="P41" i="15"/>
  <c r="R45" i="15"/>
  <c r="P45" i="15"/>
  <c r="I72" i="15"/>
  <c r="R49" i="15"/>
  <c r="P49" i="15"/>
  <c r="R53" i="15"/>
  <c r="P53" i="15"/>
  <c r="R57" i="15"/>
  <c r="P57" i="15"/>
  <c r="R61" i="15"/>
  <c r="P61" i="15"/>
  <c r="R65" i="15"/>
  <c r="P65" i="15"/>
  <c r="R69" i="15"/>
  <c r="P69" i="15"/>
  <c r="DH33" i="17"/>
  <c r="DH83" i="17" s="1"/>
  <c r="K46" i="17"/>
  <c r="DJ53" i="17"/>
  <c r="DI53" i="17"/>
  <c r="DH53" i="17"/>
  <c r="DJ71" i="17"/>
  <c r="DI71" i="17"/>
  <c r="DH71" i="17"/>
  <c r="K75" i="17"/>
  <c r="I75" i="17"/>
  <c r="O84" i="18"/>
  <c r="O86" i="18"/>
  <c r="L86" i="18"/>
  <c r="L36" i="17"/>
  <c r="DI38" i="17"/>
  <c r="L44" i="17"/>
  <c r="DI46" i="17"/>
  <c r="L52" i="17"/>
  <c r="DI61" i="17"/>
  <c r="DH61" i="17"/>
  <c r="DJ61" i="17"/>
  <c r="O84" i="17"/>
  <c r="O80" i="18"/>
  <c r="O82" i="18"/>
  <c r="L82" i="18"/>
  <c r="L33" i="17"/>
  <c r="I54" i="17"/>
  <c r="I57" i="17"/>
  <c r="DH59" i="17"/>
  <c r="DH62" i="17"/>
  <c r="J63" i="17"/>
  <c r="J71" i="17"/>
  <c r="DJ79" i="17"/>
  <c r="DI79" i="17"/>
  <c r="DH79" i="17"/>
  <c r="O78" i="18"/>
  <c r="L78" i="18"/>
  <c r="L91" i="18"/>
  <c r="M85" i="17"/>
  <c r="J57" i="17"/>
  <c r="DJ59" i="17"/>
  <c r="DI62" i="17"/>
  <c r="DJ67" i="17"/>
  <c r="DI67" i="17"/>
  <c r="DH67" i="17"/>
  <c r="K71" i="17"/>
  <c r="I71" i="17"/>
  <c r="O87" i="18"/>
  <c r="L99" i="18"/>
  <c r="DI65" i="17"/>
  <c r="DH65" i="17"/>
  <c r="DJ65" i="17"/>
  <c r="J79" i="17"/>
  <c r="J92" i="18"/>
  <c r="L92" i="18" s="1"/>
  <c r="K92" i="18"/>
  <c r="I61" i="17"/>
  <c r="J67" i="17"/>
  <c r="DJ75" i="17"/>
  <c r="DI75" i="17"/>
  <c r="DH75" i="17"/>
  <c r="K79" i="17"/>
  <c r="I79" i="17"/>
  <c r="O79" i="18"/>
  <c r="J100" i="18"/>
  <c r="K100" i="18"/>
  <c r="DI54" i="17"/>
  <c r="DI57" i="17"/>
  <c r="DH57" i="17"/>
  <c r="DJ57" i="17"/>
  <c r="P84" i="17"/>
  <c r="J61" i="17"/>
  <c r="DJ66" i="17"/>
  <c r="DI66" i="17"/>
  <c r="DH66" i="17"/>
  <c r="K67" i="17"/>
  <c r="I67" i="17"/>
  <c r="L90" i="18"/>
  <c r="L95" i="18"/>
  <c r="M69" i="18"/>
  <c r="J204" i="18"/>
  <c r="J206" i="18"/>
  <c r="J208" i="18"/>
  <c r="J210" i="18"/>
  <c r="J212" i="18"/>
  <c r="J214" i="18"/>
  <c r="J216" i="18"/>
  <c r="J218" i="18"/>
  <c r="J220" i="18"/>
  <c r="J222" i="18"/>
  <c r="J224" i="18"/>
  <c r="J226" i="18"/>
  <c r="J228" i="18"/>
  <c r="J230" i="18"/>
  <c r="DH70" i="17"/>
  <c r="DH74" i="17"/>
  <c r="DH78" i="17"/>
  <c r="DH82" i="17"/>
  <c r="DI70" i="17"/>
  <c r="DI74" i="17"/>
  <c r="DI78" i="17"/>
  <c r="DI82" i="17"/>
  <c r="J96" i="18"/>
  <c r="L96" i="18" s="1"/>
  <c r="DH69" i="17"/>
  <c r="DH73" i="17"/>
  <c r="DH77" i="17"/>
  <c r="DH81" i="17"/>
  <c r="L80" i="18"/>
  <c r="L84" i="18"/>
  <c r="L88" i="18"/>
  <c r="L58" i="17"/>
  <c r="J205" i="18"/>
  <c r="J207" i="18"/>
  <c r="J209" i="18"/>
  <c r="J211" i="18"/>
  <c r="J213" i="18"/>
  <c r="J215" i="18"/>
  <c r="J217" i="18"/>
  <c r="J219" i="18"/>
  <c r="J221" i="18"/>
  <c r="J223" i="18"/>
  <c r="J225" i="18"/>
  <c r="J227" i="18"/>
  <c r="J229" i="18"/>
  <c r="K86" i="17" l="1"/>
  <c r="K85" i="17"/>
  <c r="I11" i="16"/>
  <c r="H24" i="15"/>
  <c r="A58" i="4"/>
  <c r="H26" i="9"/>
  <c r="I13" i="10"/>
  <c r="A31" i="3"/>
  <c r="M30" i="3"/>
  <c r="N30" i="3" s="1"/>
  <c r="N38" i="3" s="1"/>
  <c r="A16" i="4"/>
  <c r="P15" i="4"/>
  <c r="L100" i="18"/>
  <c r="I10" i="12"/>
  <c r="I10" i="14"/>
  <c r="I23" i="11"/>
  <c r="I86" i="17"/>
  <c r="I85" i="17"/>
  <c r="A17" i="3"/>
  <c r="P16" i="3"/>
  <c r="M16" i="3"/>
  <c r="N16" i="3" s="1"/>
  <c r="N22" i="3" s="1"/>
  <c r="A32" i="3" l="1"/>
  <c r="M31" i="3"/>
  <c r="N31" i="3" s="1"/>
  <c r="N39" i="3" s="1"/>
  <c r="H27" i="9"/>
  <c r="I14" i="10"/>
  <c r="I11" i="14"/>
  <c r="I11" i="12"/>
  <c r="I24" i="11"/>
  <c r="A59" i="4"/>
  <c r="M17" i="3"/>
  <c r="N17" i="3" s="1"/>
  <c r="N23" i="3" s="1"/>
  <c r="A18" i="3"/>
  <c r="P17" i="3"/>
  <c r="A17" i="4"/>
  <c r="P16" i="4"/>
  <c r="H25" i="15"/>
  <c r="I12" i="16"/>
  <c r="A60" i="4" l="1"/>
  <c r="I12" i="14"/>
  <c r="I12" i="12"/>
  <c r="I25" i="11"/>
  <c r="P17" i="4"/>
  <c r="A18" i="4"/>
  <c r="A19" i="3"/>
  <c r="P18" i="3"/>
  <c r="M18" i="3"/>
  <c r="N18" i="3" s="1"/>
  <c r="N24" i="3" s="1"/>
  <c r="H28" i="9"/>
  <c r="I15" i="10"/>
  <c r="I13" i="16"/>
  <c r="H26" i="15"/>
  <c r="M32" i="3"/>
  <c r="N32" i="3" s="1"/>
  <c r="N40" i="3" s="1"/>
  <c r="A33" i="3"/>
  <c r="I14" i="16" l="1"/>
  <c r="H27" i="15"/>
  <c r="I16" i="10"/>
  <c r="H29" i="9"/>
  <c r="A61" i="4"/>
  <c r="A19" i="4"/>
  <c r="P18" i="4"/>
  <c r="I13" i="14"/>
  <c r="I26" i="11"/>
  <c r="I13" i="12"/>
  <c r="M33" i="3"/>
  <c r="N33" i="3" s="1"/>
  <c r="N41" i="3" s="1"/>
  <c r="A34" i="3"/>
  <c r="M19" i="3"/>
  <c r="A20" i="3"/>
  <c r="P19" i="3"/>
  <c r="A20" i="4" l="1"/>
  <c r="P19" i="4"/>
  <c r="A62" i="4"/>
  <c r="I17" i="10"/>
  <c r="H30" i="9"/>
  <c r="A35" i="3"/>
  <c r="M34" i="3"/>
  <c r="N34" i="3" s="1"/>
  <c r="N42" i="3" s="1"/>
  <c r="I14" i="14"/>
  <c r="I27" i="11"/>
  <c r="I14" i="12"/>
  <c r="H28" i="15"/>
  <c r="I15" i="16"/>
  <c r="A21" i="3"/>
  <c r="P20" i="3"/>
  <c r="M20" i="3"/>
  <c r="M21" i="3" l="1"/>
  <c r="A22" i="3"/>
  <c r="P21" i="3"/>
  <c r="I18" i="10"/>
  <c r="H31" i="9"/>
  <c r="A63" i="4"/>
  <c r="A36" i="3"/>
  <c r="M35" i="3"/>
  <c r="H29" i="15"/>
  <c r="I16" i="16"/>
  <c r="I15" i="14"/>
  <c r="I15" i="12"/>
  <c r="I28" i="11"/>
  <c r="A21" i="4"/>
  <c r="P20" i="4"/>
  <c r="P21" i="4" l="1"/>
  <c r="A22" i="4"/>
  <c r="H32" i="9"/>
  <c r="I19" i="10"/>
  <c r="I16" i="14"/>
  <c r="I29" i="11"/>
  <c r="I16" i="12"/>
  <c r="A64" i="4"/>
  <c r="A37" i="3"/>
  <c r="M36" i="3"/>
  <c r="H30" i="15"/>
  <c r="I17" i="16"/>
  <c r="A23" i="3"/>
  <c r="P22" i="3"/>
  <c r="M22" i="3"/>
  <c r="M23" i="3" l="1"/>
  <c r="A24" i="3"/>
  <c r="M24" i="3" s="1"/>
  <c r="P23" i="3"/>
  <c r="I17" i="12"/>
  <c r="I17" i="14"/>
  <c r="I30" i="11"/>
  <c r="I18" i="16"/>
  <c r="H31" i="15"/>
  <c r="I20" i="10"/>
  <c r="H33" i="9"/>
  <c r="A38" i="3"/>
  <c r="M37" i="3"/>
  <c r="A23" i="4"/>
  <c r="P22" i="4"/>
  <c r="A65" i="4"/>
  <c r="A24" i="4" l="1"/>
  <c r="P23" i="4"/>
  <c r="I19" i="16"/>
  <c r="H32" i="15"/>
  <c r="I31" i="11"/>
  <c r="I18" i="12"/>
  <c r="I18" i="14"/>
  <c r="A39" i="3"/>
  <c r="M38" i="3"/>
  <c r="H34" i="9"/>
  <c r="I21" i="10"/>
  <c r="A66" i="4"/>
  <c r="I19" i="14" l="1"/>
  <c r="I19" i="12"/>
  <c r="I32" i="11"/>
  <c r="A67" i="4"/>
  <c r="H35" i="9"/>
  <c r="I22" i="10"/>
  <c r="A25" i="4"/>
  <c r="P24" i="4"/>
  <c r="H33" i="15"/>
  <c r="I20" i="16"/>
  <c r="A40" i="3"/>
  <c r="M39" i="3"/>
  <c r="I20" i="14" l="1"/>
  <c r="I20" i="12"/>
  <c r="I33" i="11"/>
  <c r="H36" i="9"/>
  <c r="I23" i="10"/>
  <c r="M40" i="3"/>
  <c r="A41" i="3"/>
  <c r="A68" i="4"/>
  <c r="I21" i="16"/>
  <c r="H34" i="15"/>
  <c r="P25" i="4"/>
  <c r="A26" i="4"/>
  <c r="M41" i="3" l="1"/>
  <c r="A42" i="3"/>
  <c r="M42" i="3" s="1"/>
  <c r="A27" i="4"/>
  <c r="P26" i="4"/>
  <c r="I22" i="16"/>
  <c r="H35" i="15"/>
  <c r="I21" i="14"/>
  <c r="I34" i="11"/>
  <c r="I21" i="12"/>
  <c r="I24" i="10"/>
  <c r="H37" i="9"/>
  <c r="A69" i="4"/>
  <c r="I25" i="10" l="1"/>
  <c r="H38" i="9"/>
  <c r="A28" i="4"/>
  <c r="P27" i="4"/>
  <c r="H36" i="15"/>
  <c r="I23" i="16"/>
  <c r="A70" i="4"/>
  <c r="I22" i="14"/>
  <c r="I35" i="11"/>
  <c r="I22" i="12"/>
  <c r="H37" i="15" l="1"/>
  <c r="I24" i="16"/>
  <c r="A29" i="4"/>
  <c r="P28" i="4"/>
  <c r="I23" i="14"/>
  <c r="I23" i="12"/>
  <c r="I36" i="11"/>
  <c r="A71" i="4"/>
  <c r="I26" i="10"/>
  <c r="H39" i="9"/>
  <c r="P29" i="4" l="1"/>
  <c r="A30" i="4"/>
  <c r="I24" i="14"/>
  <c r="I24" i="12"/>
  <c r="I37" i="11"/>
  <c r="H40" i="9"/>
  <c r="I27" i="10"/>
  <c r="A72" i="4"/>
  <c r="H38" i="15"/>
  <c r="I25" i="16"/>
  <c r="I28" i="10" l="1"/>
  <c r="H41" i="9"/>
  <c r="I25" i="14"/>
  <c r="I25" i="12"/>
  <c r="I38" i="11"/>
  <c r="I26" i="16"/>
  <c r="H39" i="15"/>
  <c r="A31" i="4"/>
  <c r="P30" i="4"/>
  <c r="A73" i="4"/>
  <c r="I39" i="11" l="1"/>
  <c r="I26" i="14"/>
  <c r="I26" i="12"/>
  <c r="H42" i="9"/>
  <c r="I29" i="10"/>
  <c r="I27" i="16"/>
  <c r="H40" i="15"/>
  <c r="A74" i="4"/>
  <c r="A32" i="4"/>
  <c r="P31" i="4"/>
  <c r="A75" i="4" l="1"/>
  <c r="H43" i="9"/>
  <c r="I30" i="10"/>
  <c r="A33" i="4"/>
  <c r="P32" i="4"/>
  <c r="H41" i="15"/>
  <c r="I28" i="16"/>
  <c r="I27" i="14"/>
  <c r="I27" i="12"/>
  <c r="I40" i="11"/>
  <c r="H42" i="15" l="1"/>
  <c r="I29" i="16"/>
  <c r="I28" i="14"/>
  <c r="I28" i="12"/>
  <c r="I41" i="11"/>
  <c r="P33" i="4"/>
  <c r="A34" i="4"/>
  <c r="H44" i="9"/>
  <c r="I31" i="10"/>
  <c r="A76" i="4"/>
  <c r="A35" i="4" l="1"/>
  <c r="P34" i="4"/>
  <c r="I29" i="14"/>
  <c r="I29" i="12"/>
  <c r="I42" i="11"/>
  <c r="A77" i="4"/>
  <c r="I32" i="10"/>
  <c r="H45" i="9"/>
  <c r="I30" i="16"/>
  <c r="H43" i="15"/>
  <c r="A78" i="4" l="1"/>
  <c r="I30" i="14"/>
  <c r="I43" i="11"/>
  <c r="I30" i="12"/>
  <c r="I31" i="16"/>
  <c r="H44" i="15"/>
  <c r="I33" i="10"/>
  <c r="H46" i="9"/>
  <c r="A36" i="4"/>
  <c r="P35" i="4"/>
  <c r="H45" i="15" l="1"/>
  <c r="I32" i="16"/>
  <c r="A37" i="4"/>
  <c r="P36" i="4"/>
  <c r="I31" i="14"/>
  <c r="I31" i="12"/>
  <c r="I44" i="11"/>
  <c r="H47" i="9"/>
  <c r="I34" i="10"/>
  <c r="A79" i="4"/>
  <c r="I32" i="14" l="1"/>
  <c r="I32" i="12"/>
  <c r="I45" i="11"/>
  <c r="P37" i="4"/>
  <c r="A38" i="4"/>
  <c r="A80" i="4"/>
  <c r="H48" i="9"/>
  <c r="I35" i="10"/>
  <c r="H46" i="15"/>
  <c r="I33" i="16"/>
  <c r="A81" i="4" l="1"/>
  <c r="A39" i="4"/>
  <c r="P38" i="4"/>
  <c r="I34" i="16"/>
  <c r="H47" i="15"/>
  <c r="I46" i="11"/>
  <c r="I33" i="12"/>
  <c r="I33" i="14"/>
  <c r="I36" i="10"/>
  <c r="H49" i="9"/>
  <c r="I47" i="11" l="1"/>
  <c r="I34" i="12"/>
  <c r="I34" i="14"/>
  <c r="I35" i="16"/>
  <c r="H48" i="15"/>
  <c r="I37" i="10"/>
  <c r="H50" i="9"/>
  <c r="A82" i="4"/>
  <c r="A40" i="4"/>
  <c r="P39" i="4"/>
  <c r="H49" i="15" l="1"/>
  <c r="I36" i="16"/>
  <c r="A41" i="4"/>
  <c r="P40" i="4"/>
  <c r="H51" i="9"/>
  <c r="I38" i="10"/>
  <c r="A83" i="4"/>
  <c r="I35" i="14"/>
  <c r="I35" i="12"/>
  <c r="I48" i="11"/>
  <c r="A84" i="4" l="1"/>
  <c r="I36" i="14"/>
  <c r="I36" i="12"/>
  <c r="I49" i="11"/>
  <c r="P41" i="4"/>
  <c r="A42" i="4"/>
  <c r="I39" i="10"/>
  <c r="H52" i="9"/>
  <c r="H50" i="15"/>
  <c r="I37" i="16"/>
  <c r="I37" i="14" l="1"/>
  <c r="I37" i="12"/>
  <c r="I50" i="11"/>
  <c r="I38" i="16"/>
  <c r="H51" i="15"/>
  <c r="I40" i="10"/>
  <c r="H53" i="9"/>
  <c r="A85" i="4"/>
  <c r="A43" i="4"/>
  <c r="P42" i="4"/>
  <c r="I38" i="14" l="1"/>
  <c r="I51" i="11"/>
  <c r="I38" i="12"/>
  <c r="H54" i="9"/>
  <c r="I41" i="10"/>
  <c r="I39" i="16"/>
  <c r="H52" i="15"/>
  <c r="A44" i="4"/>
  <c r="P43" i="4"/>
  <c r="A86" i="4"/>
  <c r="H53" i="15" l="1"/>
  <c r="I40" i="16"/>
  <c r="H55" i="9"/>
  <c r="I42" i="10"/>
  <c r="I39" i="14"/>
  <c r="I52" i="11"/>
  <c r="I39" i="12"/>
  <c r="A87" i="4"/>
  <c r="A45" i="4"/>
  <c r="P44" i="4"/>
  <c r="A88" i="4" l="1"/>
  <c r="I43" i="10"/>
  <c r="H56" i="9"/>
  <c r="I40" i="14"/>
  <c r="I53" i="11"/>
  <c r="I40" i="12"/>
  <c r="P45" i="4"/>
  <c r="A46" i="4"/>
  <c r="H54" i="15"/>
  <c r="I41" i="16"/>
  <c r="I41" i="12" l="1"/>
  <c r="I41" i="14"/>
  <c r="I54" i="11"/>
  <c r="I42" i="16"/>
  <c r="H55" i="15"/>
  <c r="I44" i="10"/>
  <c r="H57" i="9"/>
  <c r="A47" i="4"/>
  <c r="P46" i="4"/>
  <c r="A89" i="4"/>
  <c r="A90" i="4" l="1"/>
  <c r="I42" i="12"/>
  <c r="I42" i="14"/>
  <c r="I55" i="11"/>
  <c r="H58" i="9"/>
  <c r="I45" i="10"/>
  <c r="I43" i="16"/>
  <c r="H56" i="15"/>
  <c r="A48" i="4"/>
  <c r="P47" i="4"/>
  <c r="I43" i="14" l="1"/>
  <c r="I56" i="11"/>
  <c r="I43" i="12"/>
  <c r="P48" i="4"/>
  <c r="M7" i="4"/>
  <c r="H59" i="9"/>
  <c r="I46" i="10"/>
  <c r="H57" i="15"/>
  <c r="I44" i="16"/>
  <c r="A91" i="4"/>
  <c r="I47" i="10" l="1"/>
  <c r="H60" i="9"/>
  <c r="M91" i="4"/>
  <c r="N91" i="4" s="1"/>
  <c r="I44" i="14"/>
  <c r="I44" i="12"/>
  <c r="I57" i="11"/>
  <c r="M52" i="4"/>
  <c r="N52" i="4" s="1"/>
  <c r="M13" i="4"/>
  <c r="N13" i="4" s="1"/>
  <c r="M53" i="4"/>
  <c r="N53" i="4" s="1"/>
  <c r="M56" i="4"/>
  <c r="N56" i="4" s="1"/>
  <c r="M55" i="4"/>
  <c r="N55" i="4" s="1"/>
  <c r="M14" i="4"/>
  <c r="N14" i="4" s="1"/>
  <c r="M54" i="4"/>
  <c r="N54" i="4" s="1"/>
  <c r="M15" i="4"/>
  <c r="N15" i="4" s="1"/>
  <c r="M57" i="4"/>
  <c r="N57" i="4" s="1"/>
  <c r="M58" i="4"/>
  <c r="N58" i="4" s="1"/>
  <c r="M16" i="4"/>
  <c r="N16" i="4" s="1"/>
  <c r="M59" i="4"/>
  <c r="N59" i="4" s="1"/>
  <c r="M17" i="4"/>
  <c r="N17" i="4" s="1"/>
  <c r="M60" i="4"/>
  <c r="N60" i="4" s="1"/>
  <c r="M18" i="4"/>
  <c r="N18" i="4" s="1"/>
  <c r="M19" i="4"/>
  <c r="N19" i="4" s="1"/>
  <c r="M61" i="4"/>
  <c r="N61" i="4" s="1"/>
  <c r="M62" i="4"/>
  <c r="N62" i="4" s="1"/>
  <c r="M20" i="4"/>
  <c r="N20" i="4" s="1"/>
  <c r="M21" i="4"/>
  <c r="N21" i="4" s="1"/>
  <c r="M63" i="4"/>
  <c r="N63" i="4" s="1"/>
  <c r="M22" i="4"/>
  <c r="N22" i="4" s="1"/>
  <c r="M64" i="4"/>
  <c r="N64" i="4" s="1"/>
  <c r="M23" i="4"/>
  <c r="N23" i="4" s="1"/>
  <c r="M65" i="4"/>
  <c r="N65" i="4" s="1"/>
  <c r="M66" i="4"/>
  <c r="N66" i="4" s="1"/>
  <c r="M24" i="4"/>
  <c r="N24" i="4" s="1"/>
  <c r="M67" i="4"/>
  <c r="N67" i="4" s="1"/>
  <c r="M25" i="4"/>
  <c r="N25" i="4" s="1"/>
  <c r="M26" i="4"/>
  <c r="N26" i="4" s="1"/>
  <c r="M68" i="4"/>
  <c r="N68" i="4" s="1"/>
  <c r="M69" i="4"/>
  <c r="N69" i="4" s="1"/>
  <c r="M27" i="4"/>
  <c r="N27" i="4" s="1"/>
  <c r="M70" i="4"/>
  <c r="N70" i="4" s="1"/>
  <c r="M28" i="4"/>
  <c r="N28" i="4" s="1"/>
  <c r="M29" i="4"/>
  <c r="N29" i="4" s="1"/>
  <c r="M71" i="4"/>
  <c r="N71" i="4" s="1"/>
  <c r="M72" i="4"/>
  <c r="N72" i="4" s="1"/>
  <c r="M30" i="4"/>
  <c r="N30" i="4" s="1"/>
  <c r="M73" i="4"/>
  <c r="N73" i="4" s="1"/>
  <c r="M31" i="4"/>
  <c r="N31" i="4" s="1"/>
  <c r="M74" i="4"/>
  <c r="N74" i="4" s="1"/>
  <c r="M32" i="4"/>
  <c r="N32" i="4" s="1"/>
  <c r="M75" i="4"/>
  <c r="N75" i="4" s="1"/>
  <c r="M33" i="4"/>
  <c r="N33" i="4" s="1"/>
  <c r="M34" i="4"/>
  <c r="N34" i="4" s="1"/>
  <c r="M76" i="4"/>
  <c r="N76" i="4" s="1"/>
  <c r="M77" i="4"/>
  <c r="N77" i="4" s="1"/>
  <c r="M35" i="4"/>
  <c r="N35" i="4" s="1"/>
  <c r="M78" i="4"/>
  <c r="N78" i="4" s="1"/>
  <c r="M36" i="4"/>
  <c r="N36" i="4" s="1"/>
  <c r="M37" i="4"/>
  <c r="N37" i="4" s="1"/>
  <c r="M79" i="4"/>
  <c r="N79" i="4" s="1"/>
  <c r="M80" i="4"/>
  <c r="N80" i="4" s="1"/>
  <c r="M38" i="4"/>
  <c r="N38" i="4" s="1"/>
  <c r="M81" i="4"/>
  <c r="N81" i="4" s="1"/>
  <c r="M39" i="4"/>
  <c r="N39" i="4" s="1"/>
  <c r="M82" i="4"/>
  <c r="N82" i="4" s="1"/>
  <c r="M40" i="4"/>
  <c r="N40" i="4" s="1"/>
  <c r="M83" i="4"/>
  <c r="N83" i="4" s="1"/>
  <c r="M41" i="4"/>
  <c r="N41" i="4" s="1"/>
  <c r="M84" i="4"/>
  <c r="N84" i="4" s="1"/>
  <c r="M42" i="4"/>
  <c r="N42" i="4" s="1"/>
  <c r="M85" i="4"/>
  <c r="N85" i="4" s="1"/>
  <c r="M43" i="4"/>
  <c r="N43" i="4" s="1"/>
  <c r="M86" i="4"/>
  <c r="N86" i="4" s="1"/>
  <c r="M44" i="4"/>
  <c r="N44" i="4" s="1"/>
  <c r="M87" i="4"/>
  <c r="N87" i="4" s="1"/>
  <c r="M45" i="4"/>
  <c r="N45" i="4" s="1"/>
  <c r="M88" i="4"/>
  <c r="N88" i="4" s="1"/>
  <c r="M46" i="4"/>
  <c r="N46" i="4" s="1"/>
  <c r="M89" i="4"/>
  <c r="N89" i="4" s="1"/>
  <c r="M47" i="4"/>
  <c r="N47" i="4" s="1"/>
  <c r="M90" i="4"/>
  <c r="N90" i="4" s="1"/>
  <c r="M48" i="4"/>
  <c r="N48" i="4" s="1"/>
  <c r="H58" i="15"/>
  <c r="I45" i="16"/>
  <c r="I45" i="14" l="1"/>
  <c r="I45" i="12"/>
  <c r="I58" i="11"/>
  <c r="I46" i="16"/>
  <c r="H59" i="15"/>
  <c r="H61" i="9"/>
  <c r="I48" i="10"/>
  <c r="I47" i="16" l="1"/>
  <c r="H60" i="15"/>
  <c r="H62" i="9"/>
  <c r="I49" i="10"/>
  <c r="I46" i="14"/>
  <c r="I46" i="12"/>
  <c r="I59" i="11"/>
  <c r="I47" i="14" l="1"/>
  <c r="I47" i="12"/>
  <c r="I60" i="11"/>
  <c r="I50" i="10"/>
  <c r="H63" i="9"/>
  <c r="H61" i="15"/>
  <c r="I48" i="16"/>
  <c r="H62" i="15" l="1"/>
  <c r="I49" i="16"/>
  <c r="I51" i="10"/>
  <c r="H64" i="9"/>
  <c r="I48" i="14"/>
  <c r="I61" i="11"/>
  <c r="I48" i="12"/>
  <c r="H65" i="9" l="1"/>
  <c r="I52" i="10"/>
  <c r="I49" i="12"/>
  <c r="I49" i="14"/>
  <c r="I62" i="11"/>
  <c r="I50" i="16"/>
  <c r="H63" i="15"/>
  <c r="I63" i="11" l="1"/>
  <c r="I50" i="12"/>
  <c r="I50" i="14"/>
  <c r="I51" i="16"/>
  <c r="H64" i="15"/>
  <c r="H66" i="9"/>
  <c r="I53" i="10"/>
  <c r="I54" i="10" l="1"/>
  <c r="H67" i="9"/>
  <c r="H65" i="15"/>
  <c r="I52" i="16"/>
  <c r="I51" i="14"/>
  <c r="I51" i="12"/>
  <c r="I64" i="11"/>
  <c r="I55" i="10" l="1"/>
  <c r="H68" i="9"/>
  <c r="I52" i="14"/>
  <c r="I52" i="12"/>
  <c r="I65" i="11"/>
  <c r="H66" i="15"/>
  <c r="I53" i="16"/>
  <c r="H69" i="9" l="1"/>
  <c r="I56" i="10"/>
  <c r="I54" i="16"/>
  <c r="H67" i="15"/>
  <c r="I53" i="14"/>
  <c r="I53" i="12"/>
  <c r="I66" i="11"/>
  <c r="I54" i="14" l="1"/>
  <c r="I54" i="12"/>
  <c r="I67" i="11"/>
  <c r="I55" i="16"/>
  <c r="H68" i="15"/>
  <c r="I57" i="10"/>
  <c r="H70" i="9"/>
  <c r="I58" i="10" s="1"/>
  <c r="I55" i="14" l="1"/>
  <c r="I68" i="11"/>
  <c r="I55" i="12"/>
  <c r="I56" i="16"/>
  <c r="H69" i="15"/>
  <c r="I56" i="14" l="1"/>
  <c r="I69" i="11"/>
  <c r="I56" i="12"/>
  <c r="H70" i="15"/>
  <c r="I58" i="16" s="1"/>
  <c r="I57" i="16"/>
  <c r="I57" i="12" l="1"/>
  <c r="I57" i="14"/>
  <c r="I70" i="11"/>
  <c r="I58" i="12" l="1"/>
  <c r="I58" i="14"/>
</calcChain>
</file>

<file path=xl/sharedStrings.xml><?xml version="1.0" encoding="utf-8"?>
<sst xmlns="http://schemas.openxmlformats.org/spreadsheetml/2006/main" count="6674" uniqueCount="1646">
  <si>
    <t>МАУДО "СШОР"Спутник"</t>
  </si>
  <si>
    <t xml:space="preserve">Первенство МАУДО "СШОР "Спутник" </t>
  </si>
  <si>
    <t>по подводному спорту (плавание в ластах)</t>
  </si>
  <si>
    <t>г. Красноярск, бассейн "Здоровый мир" 25 м.</t>
  </si>
  <si>
    <t xml:space="preserve">07 ноября 2025 г. </t>
  </si>
  <si>
    <t>СПИСОК СУДЕЙ</t>
  </si>
  <si>
    <t>№ п/п</t>
  </si>
  <si>
    <t>Должность</t>
  </si>
  <si>
    <t>Фамилия, Имя, Отчество</t>
  </si>
  <si>
    <t>Кате- гория</t>
  </si>
  <si>
    <t>Город, клуб</t>
  </si>
  <si>
    <t>Главный судья</t>
  </si>
  <si>
    <t>Бабаев Федор Игоревич</t>
  </si>
  <si>
    <t>СС1К</t>
  </si>
  <si>
    <t>Красноярск</t>
  </si>
  <si>
    <t>Главный секретарь</t>
  </si>
  <si>
    <t>Реди Елена Владимировна</t>
  </si>
  <si>
    <t>ССВК</t>
  </si>
  <si>
    <t>Зам гл. судьи-врач</t>
  </si>
  <si>
    <t>Андриянова Ирина Васильевна</t>
  </si>
  <si>
    <t>Судья информатор</t>
  </si>
  <si>
    <t>Лукьянова Валерия Алексеевна</t>
  </si>
  <si>
    <t>СС</t>
  </si>
  <si>
    <t>Старший секундометрист</t>
  </si>
  <si>
    <t>Блейдор Миляна Александровна</t>
  </si>
  <si>
    <t>СС3К</t>
  </si>
  <si>
    <t>Стартер</t>
  </si>
  <si>
    <t>Сбродов Иван Геннадьевич</t>
  </si>
  <si>
    <t>Старший судья на дистанции</t>
  </si>
  <si>
    <t>Аверин Степан Васильевич</t>
  </si>
  <si>
    <t>Судья на дистанции</t>
  </si>
  <si>
    <t>Мальков Михаил Максимович</t>
  </si>
  <si>
    <t>Седайкин Семен Игоревич</t>
  </si>
  <si>
    <t>Секретарь</t>
  </si>
  <si>
    <t>Горохова Мария Павловна</t>
  </si>
  <si>
    <t>Старший судья на повороте</t>
  </si>
  <si>
    <t>Шлыкова Злата Андреевна</t>
  </si>
  <si>
    <t>Судья на повороте</t>
  </si>
  <si>
    <t>Банникова Мария Дмитриевна</t>
  </si>
  <si>
    <t>Ковалевич Варвара Андреевна</t>
  </si>
  <si>
    <t>Старший судья на финише</t>
  </si>
  <si>
    <t>Сухарев Максим Сергеевич</t>
  </si>
  <si>
    <t>Судья на финише</t>
  </si>
  <si>
    <t>Терсков Богдан Иванович</t>
  </si>
  <si>
    <t>Вычужанин Роман Эдуардович</t>
  </si>
  <si>
    <t>Старший судья при участниках</t>
  </si>
  <si>
    <t>Солодкая Полина Вадимовна</t>
  </si>
  <si>
    <t>Судья при участниках</t>
  </si>
  <si>
    <t>Петровская Ольга Ивановна</t>
  </si>
  <si>
    <t xml:space="preserve">Першина Полина Дмитриевна </t>
  </si>
  <si>
    <t>Старший судья по награждению</t>
  </si>
  <si>
    <t>Ратенко Софья Егоровна</t>
  </si>
  <si>
    <t>Пом.ст. секундометриста</t>
  </si>
  <si>
    <t>Чеботарева Анастасия Денисовна</t>
  </si>
  <si>
    <t>Секундометрист</t>
  </si>
  <si>
    <t>Давлячин Илья Александрович</t>
  </si>
  <si>
    <t>Сарин Алексей Николаевич</t>
  </si>
  <si>
    <t>Гончаров Тимофей Александрович</t>
  </si>
  <si>
    <t xml:space="preserve">Тарасов Владимир Алексеевич </t>
  </si>
  <si>
    <t>Марковин Мирослав Алексеевич</t>
  </si>
  <si>
    <t xml:space="preserve">Фуражкин Максим Владимирович </t>
  </si>
  <si>
    <t>Данилов Захар Андреевич</t>
  </si>
  <si>
    <t xml:space="preserve">Байкова Эвелина </t>
  </si>
  <si>
    <t>Курчевский Антон Максимович</t>
  </si>
  <si>
    <t>П Р О Т О К О Л</t>
  </si>
  <si>
    <t>технических результатов</t>
  </si>
  <si>
    <t>Место</t>
  </si>
  <si>
    <t>Разряд,
звание</t>
  </si>
  <si>
    <t>Фамилия, Имя</t>
  </si>
  <si>
    <t>Год 
рожд.</t>
  </si>
  <si>
    <t>Команда</t>
  </si>
  <si>
    <t>Результат</t>
  </si>
  <si>
    <t>Норматив</t>
  </si>
  <si>
    <t>Предв.</t>
  </si>
  <si>
    <t>Финал</t>
  </si>
  <si>
    <t>Плавание в классических ластах - 50 м,  девушки 2011 г.р.</t>
  </si>
  <si>
    <t>I</t>
  </si>
  <si>
    <t>Высоцкая Рада Алексеевна</t>
  </si>
  <si>
    <t>Дианема</t>
  </si>
  <si>
    <t>КМС</t>
  </si>
  <si>
    <t>Першина Полина Дмитриевна</t>
  </si>
  <si>
    <t>ДВС СибГУ г. Красноярск</t>
  </si>
  <si>
    <t>б/р</t>
  </si>
  <si>
    <t>Половникова Софья Дмитриевна</t>
  </si>
  <si>
    <t>II</t>
  </si>
  <si>
    <t>Тимофеева Диана Ильинична</t>
  </si>
  <si>
    <t>Леонтьева Виктория Максимовна</t>
  </si>
  <si>
    <t>ПК "Авангард"</t>
  </si>
  <si>
    <t>Iюн</t>
  </si>
  <si>
    <t>Машукова Дарина Дмитриевна</t>
  </si>
  <si>
    <t>ДВС СибГУ</t>
  </si>
  <si>
    <t>Евдокимова Валерия Артемовна</t>
  </si>
  <si>
    <t>Катран</t>
  </si>
  <si>
    <t>Пчелинцева Анна Алексеевна</t>
  </si>
  <si>
    <t>III</t>
  </si>
  <si>
    <t>Носачева Евангелина Ивановна</t>
  </si>
  <si>
    <t>Кузьмина Елена Дмитриевна</t>
  </si>
  <si>
    <t>Кумохина Варвара Павловна</t>
  </si>
  <si>
    <t>ДВС</t>
  </si>
  <si>
    <t>Фабриченко Мария Ильинична</t>
  </si>
  <si>
    <t>I юн</t>
  </si>
  <si>
    <t>Мартынова Веста Владиславовна</t>
  </si>
  <si>
    <t>Мишина Анастасия Юрьевна</t>
  </si>
  <si>
    <t>Куранда Мария Андреевна</t>
  </si>
  <si>
    <t>Филиппова Алина Бахтияровна</t>
  </si>
  <si>
    <t>Плавание в классических ластах - 50 м,  девушки 2012 г.р.</t>
  </si>
  <si>
    <t>Рогачева Евгения Игоревна</t>
  </si>
  <si>
    <t>Артюшина Варвара Станиславовна</t>
  </si>
  <si>
    <t>Храпова Маргарита Александровна</t>
  </si>
  <si>
    <t>Стрижнева Анастасия Руслановна</t>
  </si>
  <si>
    <t>МАУ ДО "СШ" г. Сосновоборска</t>
  </si>
  <si>
    <t>Платонова Арина Олеговна</t>
  </si>
  <si>
    <t>"Спутник-Авангард"</t>
  </si>
  <si>
    <t>Журавель Софья Вячеславовна</t>
  </si>
  <si>
    <t>Ильюхина Виктория Вячеславовна</t>
  </si>
  <si>
    <t>Курчатова Полина Евгеньевна</t>
  </si>
  <si>
    <t>Сафарян Алина Артёмовна</t>
  </si>
  <si>
    <t>II юн</t>
  </si>
  <si>
    <t>Пивнёва Полина Руслановна</t>
  </si>
  <si>
    <t>Аршинская София Дмитриевна</t>
  </si>
  <si>
    <t>Пивнева София Руслановна</t>
  </si>
  <si>
    <t>Гурьева Ольга Николаевна</t>
  </si>
  <si>
    <t>Плавание в классических ластах - 50 м,  девушки 2013 г.р.</t>
  </si>
  <si>
    <t>Шихова Елизавета Юрьевна</t>
  </si>
  <si>
    <t>Вычужанина Яна Эдуардовна</t>
  </si>
  <si>
    <t>Цыбуля Аделина Дмитриевна</t>
  </si>
  <si>
    <t>Сысоева Юлия Ивановна</t>
  </si>
  <si>
    <t>Сидорова Алина Сергеевна</t>
  </si>
  <si>
    <t>Катеренюк Анастасия Андреевна</t>
  </si>
  <si>
    <t>Малафеева Мария Михайловна</t>
  </si>
  <si>
    <t>Катеренюк Виктория Андреевна</t>
  </si>
  <si>
    <t>Плавание в классических ластах - 50 м,  юноши 2011 г.р.</t>
  </si>
  <si>
    <t>Андрущак Андрей Владимирович</t>
  </si>
  <si>
    <t>Беляев Захар Иванович</t>
  </si>
  <si>
    <t>Петрушков Матвей Александрович</t>
  </si>
  <si>
    <t>Беляев Иван Алексеевич</t>
  </si>
  <si>
    <t>Скачков Артем Олегович</t>
  </si>
  <si>
    <t>Огурцов Роман Олегович</t>
  </si>
  <si>
    <t>Татленко Вадим Сергеевич</t>
  </si>
  <si>
    <t>Головко Семен Юрьевич</t>
  </si>
  <si>
    <t xml:space="preserve">Замятин Эрик Олегович </t>
  </si>
  <si>
    <t>Сухой Марк Александрович</t>
  </si>
  <si>
    <t>Гущин Иван Дмитриевич</t>
  </si>
  <si>
    <t>Бензик Семен Викторович</t>
  </si>
  <si>
    <t>Виль Даниил Владимирович</t>
  </si>
  <si>
    <t>Столярчук Илья Сергеевич</t>
  </si>
  <si>
    <t>Тарасов Всеволод Егорович</t>
  </si>
  <si>
    <t>Павлович Дмитрий Павлович</t>
  </si>
  <si>
    <t>Сакович Макар Дмитриевич</t>
  </si>
  <si>
    <t>Трапезников Олег Артемович</t>
  </si>
  <si>
    <t>Хасанов Самир Синобоевич</t>
  </si>
  <si>
    <t>Костенко Иван Егорович</t>
  </si>
  <si>
    <t>Анфимов Артем Вадимович</t>
  </si>
  <si>
    <t>Кондауров Артем Юрьевич</t>
  </si>
  <si>
    <t>Плавание в классических ластах - 50 м,  юноши 2012 г.р.</t>
  </si>
  <si>
    <t>Ковригин Иван Вячеславович</t>
  </si>
  <si>
    <t>Спирягин Всеволод Георгиевич</t>
  </si>
  <si>
    <t>Санько Леонид Игоревич</t>
  </si>
  <si>
    <t>III юн</t>
  </si>
  <si>
    <t>Поплыкин Роман Евгеньевич</t>
  </si>
  <si>
    <t>Лялин Богдан Романович</t>
  </si>
  <si>
    <t>Хлопаев Глеб Денисович</t>
  </si>
  <si>
    <t>Потылицын Егор Александрович</t>
  </si>
  <si>
    <t>Король Артем Иванович</t>
  </si>
  <si>
    <t xml:space="preserve">Поплыкин Иван Сергеевич </t>
  </si>
  <si>
    <t>Фёдоров Владислав Алексеевич</t>
  </si>
  <si>
    <t>Самсонов Семен Игоревич</t>
  </si>
  <si>
    <t>Мылко Александр Александрович</t>
  </si>
  <si>
    <t>Вохмин Константин Сергеевич</t>
  </si>
  <si>
    <t>Карпов Семен Вячеславович</t>
  </si>
  <si>
    <t>Колегов Дмитрий Евгеньевич</t>
  </si>
  <si>
    <t>Плавание в классических ластах - 50 м,  юноши 2013 г.р.</t>
  </si>
  <si>
    <t>Сизых Платон Андреевич</t>
  </si>
  <si>
    <t>Жижов Матвей Андреевич</t>
  </si>
  <si>
    <t>Гостев Матвей Антонович</t>
  </si>
  <si>
    <t>Пряников Даниил Максимович</t>
  </si>
  <si>
    <t>Таскин Евгений Владимирович</t>
  </si>
  <si>
    <t>Карл Денис Сергеевич</t>
  </si>
  <si>
    <t>Загайнов Михаил александрович</t>
  </si>
  <si>
    <t>Коваленко Кирилл Вадимович</t>
  </si>
  <si>
    <t>Клесов Сергей Алексеевич</t>
  </si>
  <si>
    <t>Шалыгин Степан Иванович</t>
  </si>
  <si>
    <t>Фёдоров Вячеслав Романович</t>
  </si>
  <si>
    <t>Василевич Андрей Евгеньевич</t>
  </si>
  <si>
    <t>Воробьев Юрий Дмитриевич</t>
  </si>
  <si>
    <t>Тарасов Владимир Егорович</t>
  </si>
  <si>
    <t>Рукосуев Егор Евгеньевич</t>
  </si>
  <si>
    <t>Бессмольный Константин Михайлович</t>
  </si>
  <si>
    <t>Ефанов Артем Александрович</t>
  </si>
  <si>
    <t>Петров Юрий Николаевич</t>
  </si>
  <si>
    <t>Баздникин Михаил Евгеньевич</t>
  </si>
  <si>
    <t>Суханов Марк Валерьевич</t>
  </si>
  <si>
    <t>Чуданов Семен Сергеевич</t>
  </si>
  <si>
    <t>Шрейдер Иван Александрович</t>
  </si>
  <si>
    <t>Гетто Степан Вадимович</t>
  </si>
  <si>
    <t>Печатнов Мирон Юрьевич</t>
  </si>
  <si>
    <t>снят</t>
  </si>
  <si>
    <t xml:space="preserve">Жук Павел Станиславович </t>
  </si>
  <si>
    <t>Плавание в  ластах - 50 м,  девушки 2011 г.р.</t>
  </si>
  <si>
    <t>Сечкина Ксения Николаевна</t>
  </si>
  <si>
    <t>Бобкова Елизавета Николаевна</t>
  </si>
  <si>
    <t>Цвинтарная София Сергеевна</t>
  </si>
  <si>
    <t>Плавание в  ластах - 50 м,  девушки 2012 г.р.</t>
  </si>
  <si>
    <t>Евсеева Джулия</t>
  </si>
  <si>
    <t>Маракова Амелия Евгеньевна</t>
  </si>
  <si>
    <t>Плавание в  ластах - 50 м,  девушки 2013 г.р.</t>
  </si>
  <si>
    <t>Пересыпкина Анна Андреевна</t>
  </si>
  <si>
    <t>Ступнева София Максимовна</t>
  </si>
  <si>
    <t>Лобова Софья Олеговна</t>
  </si>
  <si>
    <t>Киселева Дарья Вадимовна</t>
  </si>
  <si>
    <t>Плавание в  ластах - 50 м,  юноши 2011 г.р</t>
  </si>
  <si>
    <t>Демин Кирилл Александрович</t>
  </si>
  <si>
    <t>Плавание в  ластах - 50 м,  юноши 2012 г.р.</t>
  </si>
  <si>
    <t>Трегубович Денис Сергеевич</t>
  </si>
  <si>
    <t>Капитонов Игнат Артемович</t>
  </si>
  <si>
    <t>Плавание в  ластах - 50 м,  юноши 2013 г.р.</t>
  </si>
  <si>
    <t>Свистун Яков Романович</t>
  </si>
  <si>
    <t>Раводин Иван антонович</t>
  </si>
  <si>
    <t>Плавание в классических ластах - 100 м,  девушки 2011 г.р.</t>
  </si>
  <si>
    <t>Зиборова Ева Александровна</t>
  </si>
  <si>
    <t>Плавание в классических ластах - 100 м,  девушки 2012 г.р.</t>
  </si>
  <si>
    <t>Завгородняя Ирина Романовна</t>
  </si>
  <si>
    <t>Плавание в классических ластах - 100 м,  девушки 2013 г.р.</t>
  </si>
  <si>
    <t>Лактисова Екатерина Евгеньевна</t>
  </si>
  <si>
    <t>Титкова Елизавета Александровна</t>
  </si>
  <si>
    <t>Плавание в классических ластах - 100 м,  юноши 2011 г.р.</t>
  </si>
  <si>
    <t>Плавание в классических ластах - 100 м,  юноши 2012 г.р.</t>
  </si>
  <si>
    <t>Севрюков Юрий Юрьевич</t>
  </si>
  <si>
    <t>Казанцев Семён Дмитриевич</t>
  </si>
  <si>
    <t>Плавание в классических ластах - 100 м,  юноши 2013 г.р.</t>
  </si>
  <si>
    <t>Новохатько Роман Евгеньевич</t>
  </si>
  <si>
    <t>Пауткин Матвей Андреевич</t>
  </si>
  <si>
    <t>Плавание в  ластах - 100 м,  девушки 2011 г.р.</t>
  </si>
  <si>
    <t>Плавание в  ластах - 100 м,  девушки 2012 г.р.</t>
  </si>
  <si>
    <t>Плавание в  ластах - 100 м,  девушки 2013 г.р.</t>
  </si>
  <si>
    <t>Плавание в  ластах - 100 м,  юноши 2011 г.р.</t>
  </si>
  <si>
    <t>Плавание в  ластах - 100 м,  юноши 2012 г.р.</t>
  </si>
  <si>
    <t>Плавание в  ластах - 100 м,  юноши 2013 г.р.</t>
  </si>
  <si>
    <t>УТВЕРЖДАЮ</t>
  </si>
  <si>
    <t>Заместитель директора</t>
  </si>
  <si>
    <t>по работе со сборными командами</t>
  </si>
  <si>
    <t>и проведению мероприятий</t>
  </si>
  <si>
    <t>КГАУ "ЦСП"</t>
  </si>
  <si>
    <t>__________________ В.И. Мусиенко</t>
  </si>
  <si>
    <t>Отчет главного судьи</t>
  </si>
  <si>
    <t>(наименование согласно положению/регламенту о соревновании)</t>
  </si>
  <si>
    <t>Место проведения:</t>
  </si>
  <si>
    <t>(город/район края, поселок/село, наименование спортивного сооружения)</t>
  </si>
  <si>
    <t>Сроки проведения:</t>
  </si>
  <si>
    <t>(число, месяц, количество соревновательных/игровых дней)</t>
  </si>
  <si>
    <t>I.</t>
  </si>
  <si>
    <t>УЧАСТНИКИ:</t>
  </si>
  <si>
    <t>региона (гг. Красноярск, Ачинск, Зеленогорск)</t>
  </si>
  <si>
    <t xml:space="preserve">команд, </t>
  </si>
  <si>
    <t>участник(ов)</t>
  </si>
  <si>
    <t>-</t>
  </si>
  <si>
    <t>чел.</t>
  </si>
  <si>
    <t>Участники</t>
  </si>
  <si>
    <t>Всего</t>
  </si>
  <si>
    <t>в том числе имеющие спортивние звания и разряды</t>
  </si>
  <si>
    <t>ЗМС</t>
  </si>
  <si>
    <t>МСМК</t>
  </si>
  <si>
    <t>МС</t>
  </si>
  <si>
    <t>Массовые разряды</t>
  </si>
  <si>
    <t>Девушки</t>
  </si>
  <si>
    <t>Юноши</t>
  </si>
  <si>
    <t>ИТОГО:</t>
  </si>
  <si>
    <t>Количество зрителей, посетивших спортивное соревнование:</t>
  </si>
  <si>
    <t>человек</t>
  </si>
  <si>
    <t>II.</t>
  </si>
  <si>
    <t>СПОРТИВНАЯ БАЗА:</t>
  </si>
  <si>
    <t>Место проведения соревнований соответствовали правилам ТБ и СанПиНам. Акт готовности спортивного объекта имеется.</t>
  </si>
  <si>
    <t>III.</t>
  </si>
  <si>
    <t>РЕЗУЛЬТАТЫ СОРЕВНОВАНИЙ:</t>
  </si>
  <si>
    <t>Командные</t>
  </si>
  <si>
    <t>Личные</t>
  </si>
  <si>
    <t>Протоколы прилагаются</t>
  </si>
  <si>
    <t>IV.</t>
  </si>
  <si>
    <t>ЗАКЛЮЧЕНИЕ ВРАЧА:</t>
  </si>
  <si>
    <t>За время проведения соревнований травм и жалоб на здоровье участников не было</t>
  </si>
  <si>
    <t>(указать ФИО спортсменов, получивших травму, характер травмы)</t>
  </si>
  <si>
    <t>V.</t>
  </si>
  <si>
    <t>СПИСОК СУДЕЙСКОЙ КОЛЛЕГИИ</t>
  </si>
  <si>
    <t>Ф.И.О. 
(полностью)</t>
  </si>
  <si>
    <t>Судейская категория</t>
  </si>
  <si>
    <t>Судейская должность</t>
  </si>
  <si>
    <t>Оценка</t>
  </si>
  <si>
    <t>отлично</t>
  </si>
  <si>
    <t>(расшифровка подписи)</t>
  </si>
  <si>
    <t xml:space="preserve">(подпись) </t>
  </si>
  <si>
    <t>Ответственный за проведение</t>
  </si>
  <si>
    <t>Букина Галина</t>
  </si>
  <si>
    <r>
      <rPr>
        <b/>
        <sz val="18"/>
        <color rgb="FF000000"/>
        <rFont val="Times New Roman"/>
      </rPr>
      <t xml:space="preserve">СОРЕВНОВАНИЯ
</t>
    </r>
    <r>
      <rPr>
        <b/>
        <sz val="13"/>
        <color rgb="FF000000"/>
        <rFont val="Times New Roman"/>
      </rPr>
      <t>по плаванию в ластах</t>
    </r>
  </si>
  <si>
    <t>СТАРТОВЫЙ ПРОТОКОЛ</t>
  </si>
  <si>
    <t>Дорожка</t>
  </si>
  <si>
    <t>Фамилия, имя</t>
  </si>
  <si>
    <t>Предварительный
результат</t>
  </si>
  <si>
    <t>Зачет</t>
  </si>
  <si>
    <t>Плавание в ластах - 50 м (1460081811Я),  женщины</t>
  </si>
  <si>
    <t>Шаг 4</t>
  </si>
  <si>
    <t>для 6 дорожек</t>
  </si>
  <si>
    <t>шаг 1</t>
  </si>
  <si>
    <t>шаг 2</t>
  </si>
  <si>
    <t>оставить единицы</t>
  </si>
  <si>
    <t>Заплыв №</t>
  </si>
  <si>
    <t>Фамилия Имя 6</t>
  </si>
  <si>
    <t>ЗамКлуб</t>
  </si>
  <si>
    <t>Фамилия Имя 11</t>
  </si>
  <si>
    <t>Фамилия Имя 30</t>
  </si>
  <si>
    <t>Фамилия Имя 20</t>
  </si>
  <si>
    <t>лично</t>
  </si>
  <si>
    <t>Фамилия Имя 29</t>
  </si>
  <si>
    <t>шаг3</t>
  </si>
  <si>
    <t>Фамилия Имя 3</t>
  </si>
  <si>
    <t>Фамилия Имя 17</t>
  </si>
  <si>
    <t>Фамилия Имя 33</t>
  </si>
  <si>
    <t>Фамилия Имя 10</t>
  </si>
  <si>
    <t>Фамилия Имя 24</t>
  </si>
  <si>
    <t>для 8 дорожек</t>
  </si>
  <si>
    <t>Фамилия Имя 12</t>
  </si>
  <si>
    <t>Фамилия Имя 16</t>
  </si>
  <si>
    <t>Фамилия Имя 22</t>
  </si>
  <si>
    <t>Фамилия Имя 26</t>
  </si>
  <si>
    <t>Фамилия Имя 31</t>
  </si>
  <si>
    <t>Фамилия Имя 2</t>
  </si>
  <si>
    <t>Фамилия Имя 34</t>
  </si>
  <si>
    <t>Фамилия Имя 9</t>
  </si>
  <si>
    <t>Эстафета 4х100м</t>
  </si>
  <si>
    <t>Шаг 1</t>
  </si>
  <si>
    <t>Шаг 2</t>
  </si>
  <si>
    <t>8 дорожек</t>
  </si>
  <si>
    <t>4 дорожки</t>
  </si>
  <si>
    <t>6 дорожек</t>
  </si>
  <si>
    <t>Фамилия Имя 53</t>
  </si>
  <si>
    <t>Клуб 12</t>
  </si>
  <si>
    <t>Фамилия Имя 54</t>
  </si>
  <si>
    <t>Фамилия Имя 55</t>
  </si>
  <si>
    <t>Фамилия Имя 56</t>
  </si>
  <si>
    <t>Фамилия Имя 41</t>
  </si>
  <si>
    <t>Клуб 9</t>
  </si>
  <si>
    <t>Фамилия Имя 42</t>
  </si>
  <si>
    <t>Фамилия Имя 43</t>
  </si>
  <si>
    <t>Фамилия Имя 44</t>
  </si>
  <si>
    <t>Фамилия Имя 45</t>
  </si>
  <si>
    <t>Клуб 10</t>
  </si>
  <si>
    <t>Шаг 3</t>
  </si>
  <si>
    <t>Фамилия Имя 46</t>
  </si>
  <si>
    <t>Фамилия Имя 47</t>
  </si>
  <si>
    <t>Фамилия Имя 48</t>
  </si>
  <si>
    <t>Фамилия Имя 49</t>
  </si>
  <si>
    <t>Клуб 11</t>
  </si>
  <si>
    <t>Фамилия Имя 50</t>
  </si>
  <si>
    <t>Фамилия Имя 51</t>
  </si>
  <si>
    <t>Фамилия Имя 52</t>
  </si>
  <si>
    <t>СОРЕВНОВАНИЯ</t>
  </si>
  <si>
    <t>Кол-во заплывов</t>
  </si>
  <si>
    <t>Кол-во дорожек</t>
  </si>
  <si>
    <t>шаг 3</t>
  </si>
  <si>
    <t>Фамилия Имя 5</t>
  </si>
  <si>
    <t>Фамилия Имя 14</t>
  </si>
  <si>
    <t>Фамилия Имя 15</t>
  </si>
  <si>
    <t>Фамилия Имя 21</t>
  </si>
  <si>
    <t>Фамилия Имя 25</t>
  </si>
  <si>
    <t>Фамилия Имя 13</t>
  </si>
  <si>
    <t>Фамилия Имя 19</t>
  </si>
  <si>
    <t>Фамилия Имя 28</t>
  </si>
  <si>
    <t>Фамилия Имя 18</t>
  </si>
  <si>
    <t>Фамилия Имя 1</t>
  </si>
  <si>
    <t>Фамилия Имя 32</t>
  </si>
  <si>
    <t>Фамилия Имя 27</t>
  </si>
  <si>
    <t>Фамилия Имя 8</t>
  </si>
  <si>
    <t>Фамилия Имя 7</t>
  </si>
  <si>
    <t>Фамилия Имя 4</t>
  </si>
  <si>
    <t>Фамилия Имя 23</t>
  </si>
  <si>
    <t>Автохронометраж</t>
  </si>
  <si>
    <t>Ручной хронометраж</t>
  </si>
  <si>
    <t>финал</t>
  </si>
  <si>
    <t>предв.</t>
  </si>
  <si>
    <t>Плавание в ластах - 50 м (1460081811Я),  мужчины</t>
  </si>
  <si>
    <t>Плавание в классических ластах- 50 м (1460241811Я),  женщины</t>
  </si>
  <si>
    <t>Плавание в классических ластах- 50 м (1460241811Я),  мужчины</t>
  </si>
  <si>
    <t>Плавание в ластах - 100 м (1460091811Я),  женщины</t>
  </si>
  <si>
    <t>Плавание в ластах - 100 м (1460091811Я),  мужчины</t>
  </si>
  <si>
    <t>Плавание в классических ластах- 100 м (1460251811Я),  женщины</t>
  </si>
  <si>
    <t>Плавание в классических ластах- 100 м (1460251811Я),  мужчины</t>
  </si>
  <si>
    <t>Плавание в ластах - 200 м (1460101811Я),  женщины</t>
  </si>
  <si>
    <t>Плавание в ластах - 200 м (1460101811Я),  мужчины</t>
  </si>
  <si>
    <t>Плавание в классических ластах- 200 м (1460261811Я),  женщины</t>
  </si>
  <si>
    <t>Плавание в классических ластах- 200 м (1460261811Я),  мужчины</t>
  </si>
  <si>
    <t>Плавание в ластах - 400 м (1460111811Я),  женщины</t>
  </si>
  <si>
    <t>Плавание в ластах - 400 м (1460111811Я),  мужчины</t>
  </si>
  <si>
    <t>Плавание в классических ластах- 400 м (1460411811Я),  женщины</t>
  </si>
  <si>
    <t>Плавание в классических ластах- 400 м (1460411811Я),  мужчины</t>
  </si>
  <si>
    <t>Плавание в ластах - 800 м (1460121811Я),  женщины</t>
  </si>
  <si>
    <t>Плавание в ластах - 800 м (1460121811Я),  мужчины</t>
  </si>
  <si>
    <t>Плавание в ластах - 1500 м (1460131811Я),  женщины</t>
  </si>
  <si>
    <t>Плавание в ластах - 1500 м (1460131811Я),  мужчины</t>
  </si>
  <si>
    <t>Подводное плавание - 100 м (1460141811Я),  женщины</t>
  </si>
  <si>
    <t>Подводное плавание - 100 м (1460141811Я),  мужчины</t>
  </si>
  <si>
    <t>Подводное плавание - 200 м (),  женщины</t>
  </si>
  <si>
    <t>Подводное плавание - 200 м (),  мужчины</t>
  </si>
  <si>
    <t>Подводное плавание - 400 м (1460151811Я),  женщины</t>
  </si>
  <si>
    <t>Подводное плавание - 400 м (1460151811Я),  мужчины</t>
  </si>
  <si>
    <t>Подводное плавание - 800 м (1460161811Я),  женщины</t>
  </si>
  <si>
    <t>Подводное плавание - 800 м (1460161811Я),  мужчины</t>
  </si>
  <si>
    <t>Ныряние в ластах в длину - 50 м (1460171811Я),  женщины</t>
  </si>
  <si>
    <t>Ныряние в ластах в длину - 50 м (1460171811Я),  мужчины</t>
  </si>
  <si>
    <t>Апноэ – динамическое  (1460311811Л), женщины</t>
  </si>
  <si>
    <t>метры</t>
  </si>
  <si>
    <r>
      <t>Апноэ – динамическое  (</t>
    </r>
    <r>
      <rPr>
        <b/>
        <u/>
        <sz val="10"/>
        <color theme="1"/>
        <rFont val="Times New Roman"/>
      </rPr>
      <t>1460311811Л), мужчины</t>
    </r>
  </si>
  <si>
    <t>Апноэ - динамическое в ластах (1460321811Л), женщины</t>
  </si>
  <si>
    <r>
      <t>Апноэ - динамическое в ластах (</t>
    </r>
    <r>
      <rPr>
        <b/>
        <u/>
        <sz val="10"/>
        <color theme="1"/>
        <rFont val="Times New Roman"/>
      </rPr>
      <t>1460321811Л), мужчины</t>
    </r>
  </si>
  <si>
    <r>
      <t>Апноэ - динамическое в классических ластах (</t>
    </r>
    <r>
      <rPr>
        <b/>
        <u/>
        <sz val="10"/>
        <color theme="1"/>
        <rFont val="Times New Roman"/>
      </rPr>
      <t>1460161811Л), женщины</t>
    </r>
  </si>
  <si>
    <r>
      <t>Апноэ - динамическое в классических ластах (</t>
    </r>
    <r>
      <rPr>
        <b/>
        <u/>
        <sz val="10"/>
        <color theme="1"/>
        <rFont val="Times New Roman"/>
      </rPr>
      <t>1460161811Л), мужчины</t>
    </r>
  </si>
  <si>
    <t>Апноэ - скоростное 100 м (1460211811Л), женщины</t>
  </si>
  <si>
    <r>
      <t>Апноэ - скоростное 100 м (</t>
    </r>
    <r>
      <rPr>
        <b/>
        <u/>
        <sz val="10"/>
        <color theme="1"/>
        <rFont val="Times New Roman"/>
      </rPr>
      <t>1460211811Л), мужчины</t>
    </r>
  </si>
  <si>
    <r>
      <t>Апноэ - 16 раз х 50м (</t>
    </r>
    <r>
      <rPr>
        <b/>
        <u/>
        <sz val="10"/>
        <color theme="1"/>
        <rFont val="Times New Roman"/>
      </rPr>
      <t>1460371811Л), женщины</t>
    </r>
  </si>
  <si>
    <r>
      <t>Апноэ - 16 раз х 50м (</t>
    </r>
    <r>
      <rPr>
        <b/>
        <u/>
        <sz val="10"/>
        <color theme="1"/>
        <rFont val="Times New Roman"/>
      </rPr>
      <t>1460371811Л), мужчины</t>
    </r>
  </si>
  <si>
    <r>
      <t>Апноэ - 8 раз х 50м (</t>
    </r>
    <r>
      <rPr>
        <b/>
        <u/>
        <sz val="10"/>
        <color theme="1"/>
        <rFont val="Times New Roman"/>
      </rPr>
      <t>1460371811Л), женщины</t>
    </r>
  </si>
  <si>
    <r>
      <t>Апноэ - 8 раз х 50м (</t>
    </r>
    <r>
      <rPr>
        <b/>
        <u/>
        <sz val="10"/>
        <color theme="1"/>
        <rFont val="Times New Roman"/>
      </rPr>
      <t>1460371811Л), мужчины</t>
    </r>
  </si>
  <si>
    <t>Апноэ - ныряние в глубину</t>
  </si>
  <si>
    <t>Апноэ - ныряние в глубину в классических ластах</t>
  </si>
  <si>
    <t>Апноэ - ныряние в глубину в ластах</t>
  </si>
  <si>
    <t>Марафонский заплыв в ластах-эстафета 4х2 км - смешанная (1460221811Я)</t>
  </si>
  <si>
    <t>В зависимости от ранга соревнований и занятого места</t>
  </si>
  <si>
    <t>Чемпионат, Кубок мира</t>
  </si>
  <si>
    <t>Чемпионат, Кубок Европы</t>
  </si>
  <si>
    <t>Первентво мира марафон</t>
  </si>
  <si>
    <t>Первентво Европы марафон</t>
  </si>
  <si>
    <t>Марафонский заплыв в ластах 6 км (1460201811Я), женщины, мужчины</t>
  </si>
  <si>
    <r>
      <t>Акватлон (</t>
    </r>
    <r>
      <rPr>
        <b/>
        <u/>
        <sz val="10"/>
        <color theme="1"/>
        <rFont val="Times New Roman"/>
      </rPr>
      <t>1460281811Л), женщины, мужчины</t>
    </r>
  </si>
  <si>
    <r>
      <t>Апноэ - квадрат (</t>
    </r>
    <r>
      <rPr>
        <b/>
        <u/>
        <sz val="10"/>
        <color theme="1"/>
        <rFont val="Times New Roman"/>
      </rPr>
      <t>1460331811Л), женщины, мужчины</t>
    </r>
  </si>
  <si>
    <r>
      <t>Апноэ - статическое (</t>
    </r>
    <r>
      <rPr>
        <b/>
        <u/>
        <sz val="10"/>
        <color theme="1"/>
        <rFont val="Times New Roman"/>
      </rPr>
      <t>1460341811Л), женщины, мужчины</t>
    </r>
  </si>
  <si>
    <r>
      <t>Апноэ - 16 раз х 50м (</t>
    </r>
    <r>
      <rPr>
        <b/>
        <u/>
        <sz val="10"/>
        <color theme="1"/>
        <rFont val="Times New Roman"/>
      </rPr>
      <t>1460371811Л), женщины, мужчины</t>
    </r>
  </si>
  <si>
    <r>
      <t>Апноэ - динамическое в классических ластах (</t>
    </r>
    <r>
      <rPr>
        <b/>
        <u/>
        <sz val="10"/>
        <color theme="1"/>
        <rFont val="Times New Roman"/>
      </rPr>
      <t>1460161811Л), женщины, мужчины</t>
    </r>
  </si>
  <si>
    <r>
      <t>Дайвинг ночной (</t>
    </r>
    <r>
      <rPr>
        <b/>
        <u/>
        <sz val="10"/>
        <color theme="1"/>
        <rFont val="Times New Roman"/>
      </rPr>
      <t>1460351811Л), женщины, мужчины</t>
    </r>
  </si>
  <si>
    <t>Ориентирование</t>
  </si>
  <si>
    <t>Подводная охота</t>
  </si>
  <si>
    <t>Др. межд-ные</t>
  </si>
  <si>
    <r>
      <t xml:space="preserve">Первентво мира </t>
    </r>
    <r>
      <rPr>
        <b/>
        <sz val="10"/>
        <color rgb="FF0070C0"/>
        <rFont val="Times New Roman"/>
      </rPr>
      <t>марафон</t>
    </r>
  </si>
  <si>
    <r>
      <t xml:space="preserve">Первенство Европы </t>
    </r>
    <r>
      <rPr>
        <b/>
        <sz val="10"/>
        <color rgb="FF0070C0"/>
        <rFont val="Times New Roman"/>
      </rPr>
      <t>марафон</t>
    </r>
  </si>
  <si>
    <r>
      <t xml:space="preserve">Др. юниорские межд-ные </t>
    </r>
    <r>
      <rPr>
        <b/>
        <sz val="10"/>
        <color rgb="FF0070C0"/>
        <rFont val="Times New Roman"/>
      </rPr>
      <t>марафон</t>
    </r>
  </si>
  <si>
    <t>Чемпионат России</t>
  </si>
  <si>
    <t>Финал Кубка России</t>
  </si>
  <si>
    <t>Первенство России</t>
  </si>
  <si>
    <t>Сор-ния ЕКП</t>
  </si>
  <si>
    <t>Чемпионат фед-го округа,гг. Москва, С-Петербург</t>
  </si>
  <si>
    <t>Первенство фед-го округа,гг. Москва, С-Петербург</t>
  </si>
  <si>
    <t>Чемпионат Субъекта</t>
  </si>
  <si>
    <t>Кубок Субъекта</t>
  </si>
  <si>
    <t>Официальные сор-ния субъекта 18 и ст.</t>
  </si>
  <si>
    <t>Официальные сор-ния субъекта (14-17 лет)</t>
  </si>
  <si>
    <t>Первенство Муниципального образования</t>
  </si>
  <si>
    <t>Официальные сор-ния Муниципального образования</t>
  </si>
  <si>
    <t xml:space="preserve"> </t>
  </si>
  <si>
    <t>Марафонский заплыв в ластах 12-20 км, женщины</t>
  </si>
  <si>
    <t>Марафонский заплыв в ластах 12-20 км, мужчины</t>
  </si>
  <si>
    <t>Ориентирование- упражнение  "звезда" (1460021811Я), женщины</t>
  </si>
  <si>
    <t>Ориентирование- упражнение  "звезда" (1460021811Я), мужчины</t>
  </si>
  <si>
    <t>Ориентирование- упражнение  "зоны" (1460011811Я), женщины</t>
  </si>
  <si>
    <t>Ориентирование- упражнение  "зоны" (1460011811Я), мужчины</t>
  </si>
  <si>
    <t>Ориентирование- упражнение "карта" (1460031811Л), женщины</t>
  </si>
  <si>
    <t>Ориентирование- упражнение "карта" (1460031811Л), мужчины</t>
  </si>
  <si>
    <t>Ориентирование- упражнение "ориентиры" (1460041811Я), женщины</t>
  </si>
  <si>
    <t>Ориентирование- упражнение "ориентиры" (1460041811Я), мужчины</t>
  </si>
  <si>
    <t>Ориентирование-групповое упражнение "карта" (1460061811Л), женщины</t>
  </si>
  <si>
    <t>Ориентирование-групповое упражнение "карта" (1460061811Л), мужчины</t>
  </si>
  <si>
    <t>Ориентирование-групповое упражнение (1460051811Я), женщины</t>
  </si>
  <si>
    <t>Ориентирование-групповое упражнение (1460051811Я), мужчины</t>
  </si>
  <si>
    <t>Ориентирование-параллель (1460071811Я), женщины</t>
  </si>
  <si>
    <t>Ориентирование-параллель (1460071811Я), мужчины</t>
  </si>
  <si>
    <t>Акватлон (борьба в ластах)  (1460281811Я), женщины</t>
  </si>
  <si>
    <t>Акватлон (борьба в ластах)  (1460281811Я), мужчины</t>
  </si>
  <si>
    <t>Апноэ – квадрат (1460331811Л), женщины</t>
  </si>
  <si>
    <t>Апноэ – квадрат (1460331811Л), мужчины</t>
  </si>
  <si>
    <t>Апноэ – статическое (1460341811Л), женщины</t>
  </si>
  <si>
    <t>Апноэ – статическое (1460341811Л), мужчины</t>
  </si>
  <si>
    <t>Дайвинг - комбинированное плавание (1460271811Я), женщины</t>
  </si>
  <si>
    <t>Дайвинг - комбинированное плавание (1460271811Я), мужчины</t>
  </si>
  <si>
    <t>Дайвинг – ночной (1460351811Я), женщины</t>
  </si>
  <si>
    <t>Дайвинг – ночной (1460351811Я), мужчины</t>
  </si>
  <si>
    <t>Дайвинг - подъем груза (1460361811Я), женщины</t>
  </si>
  <si>
    <t>Дайвинг - подъем груза (1460361811Я), мужчины</t>
  </si>
  <si>
    <t>Дайвинг - полоса препятствий (1460301811Я), женщины</t>
  </si>
  <si>
    <t>Дайвинг - полоса препятствий (1460301811Я), мужчины</t>
  </si>
  <si>
    <t>Подводная охота (1460231811Л), женщины</t>
  </si>
  <si>
    <t>Подводная охота (1460231811Л), мужчины</t>
  </si>
  <si>
    <t>Подводное регби (1460292811Я), женщины</t>
  </si>
  <si>
    <t>Подводное регби (1460292811Я), мужчины</t>
  </si>
  <si>
    <t>Заплыв 1</t>
  </si>
  <si>
    <t>Заплыв 2</t>
  </si>
  <si>
    <t>Заплыв 3</t>
  </si>
  <si>
    <t xml:space="preserve">Жукова Татьяна Константиновна </t>
  </si>
  <si>
    <t>Заплыв 4</t>
  </si>
  <si>
    <t>Сотникова Евлалия Андреевна</t>
  </si>
  <si>
    <t>Заплыв 5</t>
  </si>
  <si>
    <t>Заплыв 6</t>
  </si>
  <si>
    <t>Малафеева Дарья Михайловна</t>
  </si>
  <si>
    <t>Голованова Алена Владимировна</t>
  </si>
  <si>
    <t>Заплыв 7</t>
  </si>
  <si>
    <t>Заплыв 8</t>
  </si>
  <si>
    <t>Заплыв 9</t>
  </si>
  <si>
    <t>Терских Максим Сергеевич</t>
  </si>
  <si>
    <t>Заплыв 10</t>
  </si>
  <si>
    <t>Заплыв 11</t>
  </si>
  <si>
    <t>Заплыв 12</t>
  </si>
  <si>
    <t>Ивашкин Илья Алексеевич</t>
  </si>
  <si>
    <t>Чиркова Мария Степановна</t>
  </si>
  <si>
    <t>Заплыв 13</t>
  </si>
  <si>
    <t>Заплыв 14</t>
  </si>
  <si>
    <t>Заплыв 15</t>
  </si>
  <si>
    <t>Муртазин Альмир Равильевич</t>
  </si>
  <si>
    <t>Пуздрановский Дниил Максимович</t>
  </si>
  <si>
    <t>Заплыв 16</t>
  </si>
  <si>
    <t>Солодников Матвей Сергеевич</t>
  </si>
  <si>
    <t>Заплыв 17</t>
  </si>
  <si>
    <t>Латнюк Святослав Алексеевич</t>
  </si>
  <si>
    <t>Заплыв 18</t>
  </si>
  <si>
    <t>Боровкоа Андрей Дмитриевич</t>
  </si>
  <si>
    <t>Заплыв 19</t>
  </si>
  <si>
    <t>Володинский Степан Александрович</t>
  </si>
  <si>
    <t>Заплыв 20</t>
  </si>
  <si>
    <t>Заплыв 21</t>
  </si>
  <si>
    <t>Заплыв 22</t>
  </si>
  <si>
    <t>Плавание в  ластах - 50 м,  юноши 2011, 2012 г.р.</t>
  </si>
  <si>
    <t>Заплыв 23</t>
  </si>
  <si>
    <t>Подольский Даниил Кириллович</t>
  </si>
  <si>
    <t>Заплыв 24</t>
  </si>
  <si>
    <t>Заплыв 25</t>
  </si>
  <si>
    <t>Заплыв 26</t>
  </si>
  <si>
    <t>Заплыв 27</t>
  </si>
  <si>
    <t>Заплыв 28</t>
  </si>
  <si>
    <t>Заплыв 29</t>
  </si>
  <si>
    <t>Заплыв 30</t>
  </si>
  <si>
    <t>Заплыв 31</t>
  </si>
  <si>
    <t>Заплыв 32</t>
  </si>
  <si>
    <t>Заплыв 33</t>
  </si>
  <si>
    <t>Заплыв 34</t>
  </si>
  <si>
    <t>Тимофеев Федор Дмитриевич</t>
  </si>
  <si>
    <t>Заплыв 35</t>
  </si>
  <si>
    <t>Заплыв 36</t>
  </si>
  <si>
    <t>Заплыв 37</t>
  </si>
  <si>
    <t>Заплыв 38</t>
  </si>
  <si>
    <t>Заплыв 39</t>
  </si>
  <si>
    <t>Заплыв 40</t>
  </si>
  <si>
    <t>Заплыв 41</t>
  </si>
  <si>
    <t>Заплыв 42</t>
  </si>
  <si>
    <t>Заплыв 43</t>
  </si>
  <si>
    <t>Заплыв 44</t>
  </si>
  <si>
    <t>Плавание в  ластах - 100 м,  юноши 2011, 2012 г.р.</t>
  </si>
  <si>
    <t>Заплыв 45</t>
  </si>
  <si>
    <t>Заплыв 46</t>
  </si>
  <si>
    <t>Приложение №___ к Договору №____</t>
  </si>
  <si>
    <t>от "___"_________20___г.</t>
  </si>
  <si>
    <t xml:space="preserve">  ВЕДОМОСТЬ № 5 НА ВЫДАЧУ ПРИЗОВ ПОБЕДИТЕЛЯМ ПЕРВЕНСТВА РОССИИ ПО ПОДВОДНОМУ СПОРТУ (МАРАФОНСКИЙ ЗАПЛЫВ В ЛАСТАХ) СРЕДИ ЮНОШЕЙ И ДЕВУШЕК ДО 18 ЛЕТ, ПРОХОДИВШЕГО С «16» ПО «19» МАЯ 2016 Г. В ГОРОДЕ КРОПОТКИН (КРАСНОДАРСКИЙ КРАЙ), СМ ПО ЕКП № 7502</t>
  </si>
  <si>
    <t>№ П/П</t>
  </si>
  <si>
    <t>ФАМИЛИЯ, ИМЯ, ОТЧЕСТВО НАГРАЖДАЕМОГО</t>
  </si>
  <si>
    <t>Из какого города и членом какой организации является награжденный</t>
  </si>
  <si>
    <t>За что награжден</t>
  </si>
  <si>
    <t>ОПИСАНИЕ ПРИЗА</t>
  </si>
  <si>
    <t>Стоимость</t>
  </si>
  <si>
    <t>Подпись получателя</t>
  </si>
  <si>
    <t>Дистанция</t>
  </si>
  <si>
    <t>6 км</t>
  </si>
  <si>
    <t>медаль золото</t>
  </si>
  <si>
    <t>диплом 1 степени</t>
  </si>
  <si>
    <t>медаль серебро</t>
  </si>
  <si>
    <t>диплом 2 степени</t>
  </si>
  <si>
    <t>медаль бронза</t>
  </si>
  <si>
    <t>диплом 3 степени</t>
  </si>
  <si>
    <t>4х2км</t>
  </si>
  <si>
    <t>Всего на сумму:</t>
  </si>
  <si>
    <t>Настройки:</t>
  </si>
  <si>
    <t>Следует иметь ввиду, что расчет возраста ведется от текущей даты, установленной на компьютере. Это необходимо учитывать, если соревнования будут проходить в следующем году.</t>
  </si>
  <si>
    <t>1. Ввести название соревнований и дату проведения.</t>
  </si>
  <si>
    <t xml:space="preserve">2. Ввести возраст  от и до количества лет (не годов рождения!!!)  участников соревнований. У участников, возраст которых не попадает в этот диапазон, года рождения будут высвечиваться на красном фоне. </t>
  </si>
  <si>
    <t>3. Ограничения по разрядам (недопускаемые разряды просто удаляются)</t>
  </si>
  <si>
    <t>4. Выделяются строки (именно строки!!!) с 1 по 13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</si>
  <si>
    <t>Сведения о соревнованиях:</t>
  </si>
  <si>
    <t xml:space="preserve">Ограничения по разрядам </t>
  </si>
  <si>
    <t>г. Город, бассейн "ААА", 50 м</t>
  </si>
  <si>
    <t>НЕ ИЗМЕНЯТЬ!!! Служебные поля, заполняются организаторами соревнований</t>
  </si>
  <si>
    <t>Состав команды:</t>
  </si>
  <si>
    <t>женщин</t>
  </si>
  <si>
    <t>в  зачет</t>
  </si>
  <si>
    <t>мужчин</t>
  </si>
  <si>
    <t>02-06 февраля 2015 г.</t>
  </si>
  <si>
    <t>Возраст, лет</t>
  </si>
  <si>
    <t>от</t>
  </si>
  <si>
    <t>до</t>
  </si>
  <si>
    <t>ТЕХНИЧЕСКАЯ ЗАЯВКА</t>
  </si>
  <si>
    <t>Сборной команды</t>
  </si>
  <si>
    <t>Полное Название команды, город (край, область и пр.)</t>
  </si>
  <si>
    <t>Краткое название</t>
  </si>
  <si>
    <t>Сокращенное название</t>
  </si>
  <si>
    <t>на участие в соревнованиях</t>
  </si>
  <si>
    <t>Название Соревнований по подводному спорту (1460008511Я) (плавание в ластах)</t>
  </si>
  <si>
    <t>Разряд, звание</t>
  </si>
  <si>
    <t>Фамилия Имя</t>
  </si>
  <si>
    <t>Год рожд.</t>
  </si>
  <si>
    <t>Пол</t>
  </si>
  <si>
    <t>Тренер</t>
  </si>
  <si>
    <t>Зачетов</t>
  </si>
  <si>
    <t>Лично</t>
  </si>
  <si>
    <t>Ныряние</t>
  </si>
  <si>
    <t>Плавание в ластах</t>
  </si>
  <si>
    <t>Подводное плавание</t>
  </si>
  <si>
    <t>Классические ласты</t>
  </si>
  <si>
    <t>Эстафета</t>
  </si>
  <si>
    <t>25м</t>
  </si>
  <si>
    <t>зачет</t>
  </si>
  <si>
    <t>50м</t>
  </si>
  <si>
    <t>100м</t>
  </si>
  <si>
    <t>200м</t>
  </si>
  <si>
    <t>400м</t>
  </si>
  <si>
    <t>800м</t>
  </si>
  <si>
    <t>1500м</t>
  </si>
  <si>
    <t>4х50м смеш</t>
  </si>
  <si>
    <t>Этап</t>
  </si>
  <si>
    <t>4х100м</t>
  </si>
  <si>
    <t>4х100м к/л смеш</t>
  </si>
  <si>
    <t>4х200м</t>
  </si>
  <si>
    <t>Очки</t>
  </si>
  <si>
    <t>Зачеты</t>
  </si>
  <si>
    <t>Ж</t>
  </si>
  <si>
    <t>М</t>
  </si>
  <si>
    <t>Итого дистанций:</t>
  </si>
  <si>
    <t>женщины</t>
  </si>
  <si>
    <t>мужчины</t>
  </si>
  <si>
    <t>выступают за команду женщины</t>
  </si>
  <si>
    <t>выступают за команду мужчины</t>
  </si>
  <si>
    <t>Тренер-представитель</t>
  </si>
  <si>
    <t>Фамилия_1 Имя Отчество</t>
  </si>
  <si>
    <t>Фамилия_2 Имя Отчество</t>
  </si>
  <si>
    <t>Фамилия_3 Имя Отчество</t>
  </si>
  <si>
    <t>ПОРЯДОК ЗАПОЛНЕНИЯ</t>
  </si>
  <si>
    <t>Заполни полное и краткое название клуба. Краткое название автоматически проставляется у каждого участника</t>
  </si>
  <si>
    <t>При сохранении заявки в названии файла указать Название команды и(или) Фамилию тренера</t>
  </si>
  <si>
    <t>При заполнении технической заявки автоматически будет заполняться Именная заявка. Будьте внимательны!</t>
  </si>
  <si>
    <t>Перед началом работы очистите шаблон от ненужных результатов. Не очищать столбцы Команда, Пол, Тренер, Зачетов, Лично</t>
  </si>
  <si>
    <t>1. Верхние строки до жирной разделительной линии предназначены для женского пола, нижние для мужского</t>
  </si>
  <si>
    <t>2. Если не хватает строк у девушек или у юношей - выделить одну или несколько строк, в середине списка девушек или юношей, полностью, правая кнопка мыши- Вставить. После этого выделить ячейку со значением № п/п больше 1, установить курсор мыши на маленький черный квадратик в правом нижнем углу, выделенной ячейки, нажать левую кнопку мыши и потянуть вниз через пустые строки - нумерация должна продолжиться</t>
  </si>
  <si>
    <t>3. Аналогичные действия произвести для стобцов Команда и Пол</t>
  </si>
  <si>
    <t>4. Лишнее (например данный текст) удаляется тоже  путем выделения строк, правая кнопка мыши - Удалить</t>
  </si>
  <si>
    <t>5. Если  участник плывет дистанцию лично - столбце Зачет для этой дистанции  - ставится буква Л, если вне конкурса - буква В. Ячейки окрасятся в желтый и синий цвет соответственно.</t>
  </si>
  <si>
    <t>6. В случае если участник моложе или старше годов рождения, указанных в Положении о соревнованиях, имеет подготовку ниже разряда указанного в Положении о соревнованиях - соответствующая ячейка выделяется красным цветом</t>
  </si>
  <si>
    <t>7. В случае превышения суммарного количества дистанций на одного участника, количества дистанций  в командном зачете - ячейки с количеством зачетов (или дистанций лично) выделяется красным цветом.</t>
  </si>
  <si>
    <t>8. В случае превышения суммарного количества участников, выступающих за команду  - ячейки с количеством выступающих за команду участников выделяются красным цветом.</t>
  </si>
  <si>
    <r>
      <rPr>
        <b/>
        <u/>
        <sz val="14"/>
        <color rgb="FF000000"/>
        <rFont val="Times New Roman"/>
      </rPr>
      <t xml:space="preserve">ВНИМАНИЕ!! </t>
    </r>
    <r>
      <rPr>
        <b/>
        <sz val="14"/>
        <color rgb="FF000000"/>
        <rFont val="Times New Roman"/>
      </rPr>
      <t xml:space="preserve">Предварительное время проставляется в формате </t>
    </r>
    <r>
      <rPr>
        <b/>
        <sz val="14"/>
        <color rgb="FFFF0000"/>
        <rFont val="Times New Roman"/>
      </rPr>
      <t>ччммсс,дс</t>
    </r>
    <r>
      <rPr>
        <b/>
        <sz val="14"/>
        <color rgb="FF000000"/>
        <rFont val="Times New Roman"/>
      </rPr>
      <t xml:space="preserve">. Т.е. вводится только запятая перед десятыми. </t>
    </r>
  </si>
  <si>
    <r>
      <t xml:space="preserve">Незначащие нули вначале игнорируются. </t>
    </r>
    <r>
      <rPr>
        <b/>
        <sz val="14"/>
        <color rgb="FFFF0000"/>
        <rFont val="Times New Roman"/>
      </rPr>
      <t>В случае неправильного ввода (ввод точек, лишних запятых, некорректных значений) ячейка выделяется красным цветом.</t>
    </r>
  </si>
  <si>
    <t>Например, для ввода 16,56 - нужно набрать 16,56, для ввода 1.34,60 - нужно набрать 134,6, для ввода 15.28,00 - достаточно 1528, для ввода 1:23.15,56 - 12315,56</t>
  </si>
  <si>
    <t>Спортсменам, выступающим в эстафете, проставляется предварительное время команды и номер этапа</t>
  </si>
  <si>
    <t>Разряды  и звания   проставляются в соответствии с  ЕВСК</t>
  </si>
  <si>
    <t>Для распечатки, можно скрыть столбцы Звание, Название клуба, Пол, Тренер, выделить необходимые ячейки. В диалоге Печать  выбрать Вывод  на печать  - Выделенный диапазон</t>
  </si>
  <si>
    <t>Приложение № 2 
к Положению о межрегиональных и всероссийских официальных спортивных соревнованиях по подводному спорту</t>
  </si>
  <si>
    <t>ЗАЯВКА</t>
  </si>
  <si>
    <t>От команды</t>
  </si>
  <si>
    <t>проводимых в</t>
  </si>
  <si>
    <t>в период</t>
  </si>
  <si>
    <t>Фамилия, имя, отчество участника</t>
  </si>
  <si>
    <t>Дата рождения</t>
  </si>
  <si>
    <t>Статус</t>
  </si>
  <si>
    <t>Возраст-ная группа</t>
  </si>
  <si>
    <t>Спортивный разряд, звание</t>
  </si>
  <si>
    <t>Допуск врача</t>
  </si>
  <si>
    <t>Тренеры:</t>
  </si>
  <si>
    <t>Судьи:</t>
  </si>
  <si>
    <t>Представитель команды</t>
  </si>
  <si>
    <t>подпись</t>
  </si>
  <si>
    <t>расшифровка подписи</t>
  </si>
  <si>
    <t>К соревнованиям допущено</t>
  </si>
  <si>
    <t xml:space="preserve">спортсменов. </t>
  </si>
  <si>
    <t>Врач</t>
  </si>
  <si>
    <t>Министр спорта Региона (председатель спорткомитета, директор ДЮСТШ)</t>
  </si>
  <si>
    <t>Председатель Федерации Подводного Спорта Региона</t>
  </si>
  <si>
    <t>Кол. дист.</t>
  </si>
  <si>
    <t>Группа 1, лет</t>
  </si>
  <si>
    <t>ЛИЧНЫЕ</t>
  </si>
  <si>
    <t>Группа 2, лет</t>
  </si>
  <si>
    <t>Группа 3, лет</t>
  </si>
  <si>
    <t>02-06 декабря 2018 г.</t>
  </si>
  <si>
    <t>лет</t>
  </si>
  <si>
    <t>Группа 4, лет</t>
  </si>
  <si>
    <t>1. Ввести название соревнований и сроки и место проведения.</t>
  </si>
  <si>
    <t xml:space="preserve">2. Ввести возраст  от и до количества лет (не годов рождения!!!) для каждой возрастной  группы (от 1 до 4-х групп) .  Если старшая возрастная группа содержит  ограничение типа ГОД РОЖДЕНИЯ И СТАРШЕ - ячейка N3 должна быть пустой, если содержит -  ГОД РОЖДЕНИЯ И МЛАДШЕ - пустой должна быть  ячейка столбца L  младшей возрастной группы. Диапазоны не должны перекрываться или иметь пропущенные года. В ячейках E6 и G6 будет отображаться рассчитаный возраст участников. Ячейки содержат формулы - ничего не изменять. У участников, возраст которых не попадает в этот диапазон, года рождения будут высвечиваться на красном фоне. </t>
  </si>
  <si>
    <r>
      <t xml:space="preserve">4. </t>
    </r>
    <r>
      <rPr>
        <b/>
        <i/>
        <u/>
        <sz val="14"/>
        <color rgb="FF002060"/>
        <rFont val="Times New Roman"/>
      </rPr>
      <t>Перед отправкой представителям.</t>
    </r>
    <r>
      <rPr>
        <b/>
        <i/>
        <sz val="11"/>
        <color rgb="FF002060"/>
        <rFont val="Times New Roman"/>
      </rPr>
      <t xml:space="preserve"> Выделяются строки (именно строки!!!) с 1 по 13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  </r>
  </si>
  <si>
    <t>Полное Название команды, город(край, область и пр.)</t>
  </si>
  <si>
    <t>Сокращенное Название</t>
  </si>
  <si>
    <t>Группа</t>
  </si>
  <si>
    <t>Дистанций</t>
  </si>
  <si>
    <t>4х100м к/с</t>
  </si>
  <si>
    <r>
      <t xml:space="preserve">ПОРЯДОК ЗАПОЛНЕНИЯ </t>
    </r>
    <r>
      <rPr>
        <b/>
        <u/>
        <sz val="14"/>
        <color rgb="FFC00000"/>
        <rFont val="Times New Roman"/>
      </rPr>
      <t>(ВНИМАНИЕ!!! При заполнении технической заявки автоматически будет заполняться Именная заявка. Будьте внимательны!)</t>
    </r>
  </si>
  <si>
    <r>
      <t xml:space="preserve">1. Заполни полное и краткое название клуба. Краткое название </t>
    </r>
    <r>
      <rPr>
        <b/>
        <i/>
        <sz val="14"/>
        <color rgb="FF000000"/>
        <rFont val="Times New Roman"/>
      </rPr>
      <t xml:space="preserve">автоматически </t>
    </r>
    <r>
      <rPr>
        <sz val="14"/>
        <color rgb="FF000000"/>
        <rFont val="Times New Roman"/>
      </rPr>
      <t>проставится у каждого участника</t>
    </r>
  </si>
  <si>
    <t>2. Введи фамилию, имя участника.  Верхние строки до жирной разделительной линии предназначены для женского пола, нижние для мужского</t>
  </si>
  <si>
    <r>
      <t xml:space="preserve">3. Ввведи год рождения - при вводе года рождения </t>
    </r>
    <r>
      <rPr>
        <b/>
        <i/>
        <sz val="14"/>
        <color rgb="FF000000"/>
        <rFont val="Times New Roman"/>
      </rPr>
      <t>автоматически</t>
    </r>
    <r>
      <rPr>
        <sz val="14"/>
        <color rgb="FF000000"/>
        <rFont val="Times New Roman"/>
      </rPr>
      <t xml:space="preserve"> проставится пол участника и возрастная группа.</t>
    </r>
  </si>
  <si>
    <r>
      <t xml:space="preserve">4. </t>
    </r>
    <r>
      <rPr>
        <b/>
        <u/>
        <sz val="14"/>
        <color rgb="FF000000"/>
        <rFont val="Times New Roman"/>
      </rPr>
      <t xml:space="preserve">ВНИМАНИЕ!! </t>
    </r>
    <r>
      <rPr>
        <b/>
        <sz val="14"/>
        <color rgb="FF000000"/>
        <rFont val="Times New Roman"/>
      </rPr>
      <t xml:space="preserve">Предварительное время проставляется в формате </t>
    </r>
    <r>
      <rPr>
        <b/>
        <sz val="14"/>
        <color rgb="FFFF0000"/>
        <rFont val="Times New Roman"/>
      </rPr>
      <t>ччммсс,дс</t>
    </r>
    <r>
      <rPr>
        <b/>
        <sz val="14"/>
        <color rgb="FF000000"/>
        <rFont val="Times New Roman"/>
      </rPr>
      <t xml:space="preserve">. Т.е. вводится только запятая перед десятыми. </t>
    </r>
  </si>
  <si>
    <r>
      <t xml:space="preserve">Незначащие нули вначале игнорируются. </t>
    </r>
    <r>
      <rPr>
        <b/>
        <sz val="14"/>
        <color rgb="FFFF0000"/>
        <rFont val="Times New Roman"/>
      </rPr>
      <t>В случае неправильного ввода (ввод точек, лишних запятых, некорректных значений) ячейка выделяется красным цветом.</t>
    </r>
  </si>
  <si>
    <t>5. Спортсменам, выступающим в эстафете, проставляется предварительное время команды и номер этапа</t>
  </si>
  <si>
    <t>6. Разряды и звания проставляются в соответствии с ЕВСК-</t>
  </si>
  <si>
    <t>7. Если не хватает строк у девушек или у юношей - выделить одну или несколько строк, в середине списка девушек или юношей, полностью, правая кнопка мыши- Вставить. После этого выделить ячейку со значением № п/п больше 1, установить курсор мыши на маленький черный квадратик в правом нижнем углу, выделенной ячейки, нажать левую кнопку мыши и потянуть вниз через пустые строки - нумерация должна продолжиться</t>
  </si>
  <si>
    <t>8. Аналогичные действия произвести для стобцов Команда и Пол</t>
  </si>
  <si>
    <t>9. Лишнее (например данный текст) удаляется тоже  путем выделения строк, правая кнопка мыши - Удалить</t>
  </si>
  <si>
    <t>10. В случае превышения суммарного количества дистанций на одного участника (ячейка G7), количества дистанций  в командном зачете - ячейки с количеством зачетов (или дистанций лично) выделяется красным цветом.</t>
  </si>
  <si>
    <t>11. Для распечатки, можно скрыть столбцы Звание, Название клуба, Пол, Тренер, выделить необходимые ячейки. В диалоге Печать  выбрать Вывод  на печать  - Выделенный диапазон</t>
  </si>
  <si>
    <t>На участие в соревнованиях</t>
  </si>
  <si>
    <t>Проводимых в</t>
  </si>
  <si>
    <t>спортсменов Врач</t>
  </si>
  <si>
    <r>
      <t xml:space="preserve">4. </t>
    </r>
    <r>
      <rPr>
        <b/>
        <i/>
        <u/>
        <sz val="14"/>
        <color rgb="FF002060"/>
        <rFont val="Times New Roman"/>
      </rPr>
      <t>Перед отправкой представителям.</t>
    </r>
    <r>
      <rPr>
        <b/>
        <i/>
        <sz val="11"/>
        <color rgb="FF002060"/>
        <rFont val="Times New Roman"/>
      </rPr>
      <t xml:space="preserve"> Выделяются строки (именно строки!!!) с 1 по 11 (окрашены синим цветом), нажимается правая кнопка мыши и выбирается "Скрыть". Сохранить файл  под нужным Вам названием. Для отображения настроек соревнований выделить строки (именно строки!!!) с 14 и вверх , нажать правую кнопку мыши  и выбрать " Отобразить" (или "Показать")</t>
    </r>
  </si>
  <si>
    <r>
      <t xml:space="preserve">ПОРЯДОК ЗАПОЛНЕНИЯ </t>
    </r>
    <r>
      <rPr>
        <b/>
        <u/>
        <sz val="14"/>
        <color rgb="FFC00000"/>
        <rFont val="Times New Roman"/>
      </rPr>
      <t>(ВНИМАНИЕ!!! При заполнении технической заявки автоматически будет заполняться Именная заявка. Будьте внимательны!)</t>
    </r>
  </si>
  <si>
    <r>
      <t xml:space="preserve">1. Заполни полное и краткое название клуба. Краткое название </t>
    </r>
    <r>
      <rPr>
        <b/>
        <i/>
        <sz val="14"/>
        <color rgb="FF000000"/>
        <rFont val="Times New Roman"/>
      </rPr>
      <t xml:space="preserve">автоматически </t>
    </r>
    <r>
      <rPr>
        <sz val="14"/>
        <color rgb="FF000000"/>
        <rFont val="Times New Roman"/>
      </rPr>
      <t>проставится у каждого участника</t>
    </r>
  </si>
  <si>
    <r>
      <t xml:space="preserve">3. Ввведи год рождения - при вводе года рождения </t>
    </r>
    <r>
      <rPr>
        <b/>
        <i/>
        <sz val="14"/>
        <color rgb="FF000000"/>
        <rFont val="Times New Roman"/>
      </rPr>
      <t>автоматически</t>
    </r>
    <r>
      <rPr>
        <sz val="14"/>
        <color rgb="FF000000"/>
        <rFont val="Times New Roman"/>
      </rPr>
      <t xml:space="preserve"> проставится пол участника и возрастная группа.</t>
    </r>
  </si>
  <si>
    <r>
      <t xml:space="preserve">4. </t>
    </r>
    <r>
      <rPr>
        <b/>
        <u/>
        <sz val="14"/>
        <color rgb="FF000000"/>
        <rFont val="Times New Roman"/>
      </rPr>
      <t xml:space="preserve">ВНИМАНИЕ!! </t>
    </r>
    <r>
      <rPr>
        <b/>
        <sz val="14"/>
        <color rgb="FF000000"/>
        <rFont val="Times New Roman"/>
      </rPr>
      <t xml:space="preserve">Предварительное время проставляется в формате </t>
    </r>
    <r>
      <rPr>
        <b/>
        <sz val="14"/>
        <color rgb="FFFF0000"/>
        <rFont val="Times New Roman"/>
      </rPr>
      <t>ччммсс,дс</t>
    </r>
    <r>
      <rPr>
        <b/>
        <sz val="14"/>
        <color rgb="FF000000"/>
        <rFont val="Times New Roman"/>
      </rPr>
      <t xml:space="preserve">. Т.е. вводится только запятая перед десятыми. </t>
    </r>
  </si>
  <si>
    <r>
      <t xml:space="preserve">Незначащие нули вначале игнорируются. </t>
    </r>
    <r>
      <rPr>
        <b/>
        <sz val="14"/>
        <color rgb="FFFF0000"/>
        <rFont val="Times New Roman"/>
      </rPr>
      <t>В случае неправильного ввода (ввод точек, лишних запятых, некорректных значений) ячейка выделяется красным цветом.</t>
    </r>
  </si>
  <si>
    <t>Марафонский заплыв</t>
  </si>
  <si>
    <t>4 х 2 км</t>
  </si>
  <si>
    <r>
      <rPr>
        <b/>
        <u/>
        <sz val="14"/>
        <color rgb="FF000000"/>
        <rFont val="Times New Roman"/>
      </rPr>
      <t xml:space="preserve">ВНИМАНИЕ!! </t>
    </r>
    <r>
      <rPr>
        <b/>
        <sz val="14"/>
        <color rgb="FF000000"/>
        <rFont val="Times New Roman"/>
      </rPr>
      <t xml:space="preserve">Предварительное время проставляется в формате </t>
    </r>
    <r>
      <rPr>
        <b/>
        <sz val="14"/>
        <color rgb="FFFF0000"/>
        <rFont val="Times New Roman"/>
      </rPr>
      <t>ччммсс,дс</t>
    </r>
    <r>
      <rPr>
        <b/>
        <sz val="14"/>
        <color rgb="FF000000"/>
        <rFont val="Times New Roman"/>
      </rPr>
      <t xml:space="preserve">. Т.е. вводится только запятая перед десятыми. </t>
    </r>
  </si>
  <si>
    <r>
      <t xml:space="preserve">Незначащие нули вначале игнорируются. </t>
    </r>
    <r>
      <rPr>
        <b/>
        <sz val="14"/>
        <color rgb="FFFF0000"/>
        <rFont val="Times New Roman"/>
      </rPr>
      <t>В случае неправильного ввода (ввод точек, лишних запятых, некорректных значений) ячейка выделяется красным цветом.</t>
    </r>
  </si>
  <si>
    <t>Сведения о соревнованиях 1:</t>
  </si>
  <si>
    <t>Сведения о соревнованиях 2:</t>
  </si>
  <si>
    <t>Сведения о соревнованиях 3:</t>
  </si>
  <si>
    <t>Сведения о соревнованиях 4:</t>
  </si>
  <si>
    <t>Сор 1</t>
  </si>
  <si>
    <t>Сор 2</t>
  </si>
  <si>
    <t>Сор 3</t>
  </si>
  <si>
    <t>Сор 4</t>
  </si>
  <si>
    <t>сор 1</t>
  </si>
  <si>
    <t>сор 2</t>
  </si>
  <si>
    <t>сор 3</t>
  </si>
  <si>
    <t>сор 4</t>
  </si>
  <si>
    <t>л</t>
  </si>
  <si>
    <r>
      <rPr>
        <b/>
        <u/>
        <sz val="14"/>
        <color rgb="FF000000"/>
        <rFont val="Times New Roman"/>
      </rPr>
      <t xml:space="preserve">ВНИМАНИЕ!! </t>
    </r>
    <r>
      <rPr>
        <b/>
        <sz val="14"/>
        <color rgb="FF000000"/>
        <rFont val="Times New Roman"/>
      </rPr>
      <t xml:space="preserve">Предварительное время проставляется в формате </t>
    </r>
    <r>
      <rPr>
        <b/>
        <sz val="14"/>
        <color rgb="FFFF0000"/>
        <rFont val="Times New Roman"/>
      </rPr>
      <t>ччммсс,дс</t>
    </r>
    <r>
      <rPr>
        <b/>
        <sz val="14"/>
        <color rgb="FF000000"/>
        <rFont val="Times New Roman"/>
      </rPr>
      <t xml:space="preserve">. Т.е. вводится только запятая перед десятыми. </t>
    </r>
  </si>
  <si>
    <r>
      <t xml:space="preserve">Незначащие нули вначале игнорируются. </t>
    </r>
    <r>
      <rPr>
        <b/>
        <sz val="14"/>
        <color rgb="FFFF0000"/>
        <rFont val="Times New Roman"/>
      </rPr>
      <t>В случае неправильного ввода (ввод точек, лишних запятых, некорректных значений) ячейка выделяется красным цветом.</t>
    </r>
  </si>
  <si>
    <t>ОТЧЕТ</t>
  </si>
  <si>
    <t>главной судейской коллегии</t>
  </si>
  <si>
    <r>
      <rPr>
        <sz val="14"/>
        <color theme="1"/>
        <rFont val="Times New Roman"/>
      </rPr>
      <t>О проведении  первенства России по</t>
    </r>
  </si>
  <si>
    <t xml:space="preserve">          </t>
  </si>
  <si>
    <t xml:space="preserve">1. </t>
  </si>
  <si>
    <t>Сроки проведения</t>
  </si>
  <si>
    <t xml:space="preserve">  </t>
  </si>
  <si>
    <t xml:space="preserve">2. </t>
  </si>
  <si>
    <t>Место проведения (субъект РФ, город)</t>
  </si>
  <si>
    <t xml:space="preserve">3. </t>
  </si>
  <si>
    <t>Наименование спортивного сооружения</t>
  </si>
  <si>
    <t xml:space="preserve">4.   __________ , из  __________ </t>
  </si>
  <si>
    <t>Всего участников соревнований</t>
  </si>
  <si>
    <t>, из</t>
  </si>
  <si>
    <t>городов Красноярского края</t>
  </si>
  <si>
    <t>Спортсменов</t>
  </si>
  <si>
    <t>чел. , в том числе</t>
  </si>
  <si>
    <t>мужчин,</t>
  </si>
  <si>
    <t xml:space="preserve">Представителей, тренеров </t>
  </si>
  <si>
    <t xml:space="preserve">чел.  </t>
  </si>
  <si>
    <t>5.</t>
  </si>
  <si>
    <t>Количество судей (всего)</t>
  </si>
  <si>
    <t>чел., в том числе иногородних</t>
  </si>
  <si>
    <t xml:space="preserve">Уровень подготовки судей по судейским категориям: </t>
  </si>
  <si>
    <t>МК</t>
  </si>
  <si>
    <t>, ВК</t>
  </si>
  <si>
    <t>, I кат.</t>
  </si>
  <si>
    <t>других категорий.</t>
  </si>
  <si>
    <t>6.</t>
  </si>
  <si>
    <t>Состав участвующих команд (регионов), в том числе количество спортсменов, тренеров и другого обслуживающего персонала:</t>
  </si>
  <si>
    <t>Команда (субъект РФ)</t>
  </si>
  <si>
    <t>Спортсмены</t>
  </si>
  <si>
    <t>Тренеры и др. обсл. персонал</t>
  </si>
  <si>
    <t>Мужчины</t>
  </si>
  <si>
    <t>Женщины</t>
  </si>
  <si>
    <t>7.</t>
  </si>
  <si>
    <t>Уровень подготовки спортсменов:</t>
  </si>
  <si>
    <t xml:space="preserve"> Возрастные группы в соответствии  с ЕВСК</t>
  </si>
  <si>
    <t xml:space="preserve">Всего  </t>
  </si>
  <si>
    <t>Юниоры</t>
  </si>
  <si>
    <t>Юниорки</t>
  </si>
  <si>
    <t xml:space="preserve">Юноши </t>
  </si>
  <si>
    <t>Мальчики</t>
  </si>
  <si>
    <t>Девочки</t>
  </si>
  <si>
    <t xml:space="preserve">ЗМС, МСМК </t>
  </si>
  <si>
    <t>8.</t>
  </si>
  <si>
    <t>Представительство спортивных организаций:</t>
  </si>
  <si>
    <t>Вооруженные силы</t>
  </si>
  <si>
    <t>,  Минобрнауки России</t>
  </si>
  <si>
    <t>, «Динамо»</t>
  </si>
  <si>
    <t>,</t>
  </si>
  <si>
    <t>ФСО профсоюзов «Россия»</t>
  </si>
  <si>
    <t>, «Юность России»</t>
  </si>
  <si>
    <t>, РС СО «Спартак»</t>
  </si>
  <si>
    <t xml:space="preserve">, </t>
  </si>
  <si>
    <t xml:space="preserve">РФСО «Локомотив» </t>
  </si>
  <si>
    <t>, спортивные клубы (СК)</t>
  </si>
  <si>
    <t>,  РССС</t>
  </si>
  <si>
    <t>другие организации</t>
  </si>
  <si>
    <t>9.</t>
  </si>
  <si>
    <t>Принадлежность к спортивной школе:</t>
  </si>
  <si>
    <t>ДЮСШ</t>
  </si>
  <si>
    <t>, СДЮШОР</t>
  </si>
  <si>
    <t>, УОР</t>
  </si>
  <si>
    <t>, другие организации</t>
  </si>
  <si>
    <t xml:space="preserve">                              </t>
  </si>
  <si>
    <t>10.</t>
  </si>
  <si>
    <t>Выполнение (подтверждение) нормативов (количество показанных результатов):</t>
  </si>
  <si>
    <t>1 разряд</t>
  </si>
  <si>
    <t>2 разряд</t>
  </si>
  <si>
    <t>3 разряд</t>
  </si>
  <si>
    <t xml:space="preserve">1 юношеский разряд </t>
  </si>
  <si>
    <t>11.</t>
  </si>
  <si>
    <t>Результаты  соревнований:</t>
  </si>
  <si>
    <t>Занятые места</t>
  </si>
  <si>
    <t>2005-2006 гг рождения</t>
  </si>
  <si>
    <t>Спортсмен</t>
  </si>
  <si>
    <t>Плавание в ластах - 100 м (1460091811Я),  девушки, 2005-2006 гг. рождения</t>
  </si>
  <si>
    <t>Плавание в ластах - 50 м (1460081811Я),  юноши 2005-2006 гг. рождения</t>
  </si>
  <si>
    <t xml:space="preserve">Бушкова Мария </t>
  </si>
  <si>
    <t xml:space="preserve">"Спутник"-"Авангард" </t>
  </si>
  <si>
    <t>Трофимчик Никита</t>
  </si>
  <si>
    <t>Смирнова Арина</t>
  </si>
  <si>
    <t>"КСШ" г. Ачинск</t>
  </si>
  <si>
    <t>Королёв Арсений</t>
  </si>
  <si>
    <t>Малько Ксения</t>
  </si>
  <si>
    <t>Кривошеев Артем</t>
  </si>
  <si>
    <t>Плавание в ластах - 100 м (1460091811Я),  юноши 2005-2006 гг. рождения</t>
  </si>
  <si>
    <t>Плавание в классических ластах- 50 м (1460241811Я),  девушки 2005-2006 гг. рождения</t>
  </si>
  <si>
    <t>Савосин Родион</t>
  </si>
  <si>
    <t>Магомедалиева Эльмира</t>
  </si>
  <si>
    <t>ПК "Сибирь"</t>
  </si>
  <si>
    <t>Селезнева Анна</t>
  </si>
  <si>
    <t>Максакова Ксения</t>
  </si>
  <si>
    <t>Плавание в классических ластах- 100 м (1460251811Я),  девушки 2005-2006 гг. рождения</t>
  </si>
  <si>
    <t>Плавание в классических ластах- 50 м (1460241811Я),  юноши 2005-2006 гг. рождения</t>
  </si>
  <si>
    <t>Лосев Матвей</t>
  </si>
  <si>
    <t>СШОР-ДВС СибГУ</t>
  </si>
  <si>
    <t>Федоров Никита</t>
  </si>
  <si>
    <t>Лазовский Семен</t>
  </si>
  <si>
    <t>Плавание в классических ластах- 100 м (1460251811Я),  юноши 2005-2006 гг. рождения</t>
  </si>
  <si>
    <t>Плавание в ластах - 200 м (1460101811Я),  девушки 2005-2006 гг. рождения</t>
  </si>
  <si>
    <t>Сухарев Максим</t>
  </si>
  <si>
    <t>Карпова Екатерина</t>
  </si>
  <si>
    <t>Плавание в ластах - 800 м (1460121811Я),  девушки 2005-2006 гг. рождения</t>
  </si>
  <si>
    <t>Плавание в ластах - 200 м (1460101811Я),  юноши 2005-2006 гг. рождения</t>
  </si>
  <si>
    <t>Веккессер Полина</t>
  </si>
  <si>
    <t>Плавание в ластах - 800 м (1460121811Я),  юноши 2005-2006 гг. рождения</t>
  </si>
  <si>
    <t>Плавание в классических ластах- 200 м (1460261811Я),  девушки 2005-2006 гг. рождения</t>
  </si>
  <si>
    <t>Плавание в ластах - 50 м (1460081811Я),  девушки 2005-2006 гг. рождения</t>
  </si>
  <si>
    <t>Плавание в классических ластах- 200 м (1460261811Я),  юноши 2005-2006 гг. рождения</t>
  </si>
  <si>
    <t>Стародубцева Арина</t>
  </si>
  <si>
    <t>Корявина Анастасия</t>
  </si>
  <si>
    <t>Подводное плавание - 100 м (1460141811Я),  девушки 2005-2006 гг. рождения</t>
  </si>
  <si>
    <t>Плавание в ластах - 400 м (1460111811Я),  девушки 2005-2006 гг. рождения</t>
  </si>
  <si>
    <t>Зырянова Алена</t>
  </si>
  <si>
    <t>Подводное плавание - 100 м (1460141811Я),  юноши 2005-2006 гг. рождения</t>
  </si>
  <si>
    <t>Плавание в ластах - 400 м (1460111811Я),  юноши 2005-2006 гг. рождения</t>
  </si>
  <si>
    <t>Карпов Владислав</t>
  </si>
  <si>
    <t>Плавание в ластах - эстафета 4х200 м (1460191811Я), девушки 2005-2006 гг. рождения</t>
  </si>
  <si>
    <t>Плавание в ластах - эстафета 4х200 м (1460191811Я), юноши 2005-2006 гг. рождения</t>
  </si>
  <si>
    <t>Иванов Олег</t>
  </si>
  <si>
    <t>Маркова Арина</t>
  </si>
  <si>
    <t>Черкасов Александр</t>
  </si>
  <si>
    <t xml:space="preserve">Шугалей Полина </t>
  </si>
  <si>
    <t>Артемьева Анастасия</t>
  </si>
  <si>
    <t>Плавание в ластах - эстафета 4х100 м (1460181811Я), девушки 2005-2006 гг. рождения</t>
  </si>
  <si>
    <t>Плавание в ластах - эстафета 4х100 м (1460181811Я), юноши 2005-2006 гг. рождения</t>
  </si>
  <si>
    <t>Замяткин Никита</t>
  </si>
  <si>
    <t>Торощина Юля</t>
  </si>
  <si>
    <t xml:space="preserve">Цыпенко Мария </t>
  </si>
  <si>
    <t>"Витязь"</t>
  </si>
  <si>
    <t>Жаров Лев</t>
  </si>
  <si>
    <t>Сердобинцева Ангелина</t>
  </si>
  <si>
    <t xml:space="preserve">Панкратьев Вячеслав </t>
  </si>
  <si>
    <t>Бабурина Света</t>
  </si>
  <si>
    <t>Мураев Александр</t>
  </si>
  <si>
    <t>Солуянова Марина</t>
  </si>
  <si>
    <t>12.</t>
  </si>
  <si>
    <t>Количество субъектов Российской Федерации команд (перечислить территории согласно занятым местам):</t>
  </si>
  <si>
    <t>Количество медалей</t>
  </si>
  <si>
    <t>золото</t>
  </si>
  <si>
    <t>серебро</t>
  </si>
  <si>
    <t>бронза</t>
  </si>
  <si>
    <t>13.</t>
  </si>
  <si>
    <t xml:space="preserve">Общая оценка состояния спортивной базы, наличие и состояние спортивного оборудования и инвентаря, возможности для разминки и тренировок: </t>
  </si>
  <si>
    <t>соответствует рангу соревнований</t>
  </si>
  <si>
    <t>14.</t>
  </si>
  <si>
    <t>Общая оценка состояния и оснащения служебных помещений - раздевалок для спортсменов, помещений для судей и других служб:</t>
  </si>
  <si>
    <t>15.</t>
  </si>
  <si>
    <t>Информационное обеспечение соревнований - табло, радиоинформация, своевременность и доступность стартовых протоколов и результатов соревнований, обеспечение судейской коллегии средствами вычислительной техники и множительной аппаратурой:</t>
  </si>
  <si>
    <t xml:space="preserve">16. </t>
  </si>
  <si>
    <t xml:space="preserve">Обеспечение работы средств массовой информации - места на трибунах, помещение для пресс-центра и т.д., в том числе освещение соревнования в местных СМИ (копии публикаций в СМИ прилагаются): </t>
  </si>
  <si>
    <t>17.</t>
  </si>
  <si>
    <t>Количество зрителей_________________чел.</t>
  </si>
  <si>
    <t>18.</t>
  </si>
  <si>
    <t>Общая оценка качества проведения соревнований - точность соблюдения расписания, объективность судейства (с указанием нарушений правил соревнований и т.д.):</t>
  </si>
  <si>
    <t>19.</t>
  </si>
  <si>
    <t xml:space="preserve">Медицинское обеспечение соревнований, в том числе сведения о травмах и других несчастных случаях: </t>
  </si>
  <si>
    <t>20.</t>
  </si>
  <si>
    <t xml:space="preserve">Общая оценка качества размещения, питания, транспортного обслуживания, организации встреч и проводов спортивных делегаций, шефская работа и т.п.: </t>
  </si>
  <si>
    <t>21.</t>
  </si>
  <si>
    <t>Общая оценка соблюдения мер по обеспечению безопасности при проведении соревнования:</t>
  </si>
  <si>
    <t>22.</t>
  </si>
  <si>
    <t>Выводы и предложения (замечания) по подготовке и проведению соревнования:</t>
  </si>
  <si>
    <t>Приложения.</t>
  </si>
  <si>
    <t xml:space="preserve"> 1.</t>
  </si>
  <si>
    <t>Полный состав судейской коллегии с указанием выполняемых на соревновании функций (судейская категория, субъект РФ, город).</t>
  </si>
  <si>
    <t xml:space="preserve">3.  </t>
  </si>
  <si>
    <t xml:space="preserve">Итоги командного первенства. </t>
  </si>
  <si>
    <t>4.</t>
  </si>
  <si>
    <t>Протоколы (результаты) соревнований, подписанные главным судьей и главным секретарем.</t>
  </si>
  <si>
    <t>Заместитель директора по работе со сборными командами и проведению мероприятий КГАУ "Центр спортивно подготовки"</t>
  </si>
  <si>
    <t>В.И Мусиенко</t>
  </si>
  <si>
    <t>(расшифровка подписи)              печать</t>
  </si>
  <si>
    <r>
      <t>Главный секретарь</t>
    </r>
    <r>
      <rPr>
        <i/>
        <sz val="12"/>
        <color theme="1"/>
        <rFont val="Times New Roman"/>
      </rPr>
      <t xml:space="preserve"> </t>
    </r>
  </si>
  <si>
    <t xml:space="preserve"> «____» _____________ 2014  г.</t>
  </si>
  <si>
    <t>ЭСТАФЕТНАЯ КАРТОЧКА</t>
  </si>
  <si>
    <t>Вид дистанции</t>
  </si>
  <si>
    <t>Планируемый результат</t>
  </si>
  <si>
    <t>Разряд</t>
  </si>
  <si>
    <t>Время</t>
  </si>
  <si>
    <t>результат</t>
  </si>
  <si>
    <t>Ст. секундометрист</t>
  </si>
  <si>
    <t>Заплыв</t>
  </si>
  <si>
    <t>Дистанции женщины, мужчины (18 лет и старше)</t>
  </si>
  <si>
    <t>г. рождения и старше</t>
  </si>
  <si>
    <t>Рекорд края</t>
  </si>
  <si>
    <t xml:space="preserve">Выделить и скопировать нужные строки дистанций вместе с рекордами. </t>
  </si>
  <si>
    <t>Рекорд края 16-17 лет</t>
  </si>
  <si>
    <t>На странице Стартовый протокол - правая кнопка мыши -Вставить</t>
  </si>
  <si>
    <t>Рекорд края 14-15 лет</t>
  </si>
  <si>
    <t>Рекорд края 13 лет и младше</t>
  </si>
  <si>
    <t>Ныряние в ластах в длину - 25 м,  женщины</t>
  </si>
  <si>
    <t>Ныряние в ластах в длину - 25 м,  мужчины</t>
  </si>
  <si>
    <t>Плавание в ластах - эстафета 4х50 м (1460171811Я), женщины</t>
  </si>
  <si>
    <t>Плавание в ластах - эстафета 4х50 м (1460171811Я), мужчины</t>
  </si>
  <si>
    <t>Плавание в ластах - эстафета 4х100 м (1460181811Я), женщины</t>
  </si>
  <si>
    <t>Плавание в ластах - эстафета 4х100 м (1460181811Я), мужчины</t>
  </si>
  <si>
    <t>Плавание в ластах - эстафета 4х200 м (1460191811Я), женщины</t>
  </si>
  <si>
    <t>Плавание в ластах - эстафета 4х200 м (1460191811Я), мужчины</t>
  </si>
  <si>
    <t>Марафонский заплыв в ластах 6 км (1460201811Я), женщины</t>
  </si>
  <si>
    <t>Марафонский заплыв в ластах 6 км (1460201811Я), мужчины</t>
  </si>
  <si>
    <r>
      <t>Апноэ – динамическое  (</t>
    </r>
    <r>
      <rPr>
        <b/>
        <u/>
        <sz val="11"/>
        <color theme="1"/>
        <rFont val="Times New Roman"/>
      </rPr>
      <t>1460311811Л), мужчины</t>
    </r>
  </si>
  <si>
    <r>
      <t>Апноэ - динамическое в ластах (</t>
    </r>
    <r>
      <rPr>
        <b/>
        <u/>
        <sz val="11"/>
        <color theme="1"/>
        <rFont val="Times New Roman"/>
      </rPr>
      <t>1460321811Л), мужчины</t>
    </r>
  </si>
  <si>
    <r>
      <t>Апноэ - скоростное 100 м (</t>
    </r>
    <r>
      <rPr>
        <b/>
        <u/>
        <sz val="11"/>
        <color theme="1"/>
        <rFont val="Times New Roman"/>
      </rPr>
      <t>1460211811Л), мужчины</t>
    </r>
  </si>
  <si>
    <r>
      <t>Рекорды Красноярского края по плаванию в ластах на 01.11.2016</t>
    </r>
    <r>
      <rPr>
        <b/>
        <i/>
        <sz val="9"/>
        <color theme="1"/>
        <rFont val="Times New Roman"/>
      </rPr>
      <t xml:space="preserve"> (желтым - электроника)</t>
    </r>
  </si>
  <si>
    <t>Юниоры (16-17 лет )</t>
  </si>
  <si>
    <t>Взрослые (18 лет и старше )</t>
  </si>
  <si>
    <t>50 м</t>
  </si>
  <si>
    <t>Марковцова Алина</t>
  </si>
  <si>
    <t>Коваль Никита</t>
  </si>
  <si>
    <t>17.12.10 Красноярск</t>
  </si>
  <si>
    <t>09.05.12 Ярославль</t>
  </si>
  <si>
    <t>01.05.16   Санкт-Петербург</t>
  </si>
  <si>
    <r>
      <t>09.05.12 Ярославль</t>
    </r>
    <r>
      <rPr>
        <b/>
        <i/>
        <sz val="7"/>
        <color theme="1"/>
        <rFont val="Times New Roman"/>
      </rPr>
      <t xml:space="preserve"> </t>
    </r>
  </si>
  <si>
    <t>100 м</t>
  </si>
  <si>
    <t>Жаткина Анастасия</t>
  </si>
  <si>
    <t>Попов Вячеслав</t>
  </si>
  <si>
    <t>Тимофеева Маргарита</t>
  </si>
  <si>
    <t>Дроздов Михаил</t>
  </si>
  <si>
    <r>
      <t>10.05.12 Ярославль</t>
    </r>
    <r>
      <rPr>
        <b/>
        <i/>
        <sz val="7"/>
        <color theme="1"/>
        <rFont val="Times New Roman"/>
      </rPr>
      <t xml:space="preserve"> </t>
    </r>
  </si>
  <si>
    <t>22.11.15 Новосибирск</t>
  </si>
  <si>
    <t>30.04.16   Санкт-Петербург</t>
  </si>
  <si>
    <t>200 м</t>
  </si>
  <si>
    <t>Чудинова Елена</t>
  </si>
  <si>
    <t xml:space="preserve">Попов Вячеслав </t>
  </si>
  <si>
    <t>04.05.14 С-Петербург</t>
  </si>
  <si>
    <t>400 м</t>
  </si>
  <si>
    <t xml:space="preserve">Кононова Елена </t>
  </si>
  <si>
    <t>28.06.14 Ханья</t>
  </si>
  <si>
    <t>03.07.15 Белград</t>
  </si>
  <si>
    <t>21.06.13 Челябинск</t>
  </si>
  <si>
    <t>03.05.16   Санкт-Петербург</t>
  </si>
  <si>
    <t>800 м</t>
  </si>
  <si>
    <t>Бабкина Марина</t>
  </si>
  <si>
    <t>Прус Сергей</t>
  </si>
  <si>
    <t>Айтов Максим</t>
  </si>
  <si>
    <t>21.07.04 Егер</t>
  </si>
  <si>
    <t>10.05.07 Пермь</t>
  </si>
  <si>
    <t>13.06.12 С-Петербург</t>
  </si>
  <si>
    <t xml:space="preserve">04.06.10 Пикалево </t>
  </si>
  <si>
    <t>1500 м</t>
  </si>
  <si>
    <t xml:space="preserve">Бабкина Марина </t>
  </si>
  <si>
    <t>Бойченко Егор</t>
  </si>
  <si>
    <t>23.07.04 Егер</t>
  </si>
  <si>
    <t>23.01.16 Красноярск</t>
  </si>
  <si>
    <t>25.06.13 Челябинск</t>
  </si>
  <si>
    <t>30.07.10 Казань</t>
  </si>
  <si>
    <t>Бабаев Федор</t>
  </si>
  <si>
    <t>Пиляев Никита</t>
  </si>
  <si>
    <t xml:space="preserve"> 16.12.10 Красноярск</t>
  </si>
  <si>
    <t>26.02.05 Кемерово</t>
  </si>
  <si>
    <t>Аршанов Денис</t>
  </si>
  <si>
    <t xml:space="preserve">16.07.12 Грац </t>
  </si>
  <si>
    <t>22.05.14 Челябинск</t>
  </si>
  <si>
    <t xml:space="preserve">22.05.14 Челябинск </t>
  </si>
  <si>
    <t>02.05.16   Санкт-Петербург</t>
  </si>
  <si>
    <t>Яровицкая Вера</t>
  </si>
  <si>
    <t xml:space="preserve">23.02.13 Бийск </t>
  </si>
  <si>
    <t>16.06.05 Москва</t>
  </si>
  <si>
    <t>09.08.13 Казань</t>
  </si>
  <si>
    <t xml:space="preserve">06.08.13 Казань </t>
  </si>
  <si>
    <t>25 м</t>
  </si>
  <si>
    <t>Варламова Надежда</t>
  </si>
  <si>
    <t>Марченко Леонид</t>
  </si>
  <si>
    <t>25.11.15 Красноярск</t>
  </si>
  <si>
    <t>24.11.12 Красноярск</t>
  </si>
  <si>
    <t>25.11.15   Красноярск</t>
  </si>
  <si>
    <t>Горохова Кристина</t>
  </si>
  <si>
    <t>12.05.16 Челябинск</t>
  </si>
  <si>
    <t>18.07.12 Грац</t>
  </si>
  <si>
    <t>15.04.11 Красноярск</t>
  </si>
  <si>
    <t>Плавание в классических ластах</t>
  </si>
  <si>
    <t>Бодня Валерия</t>
  </si>
  <si>
    <t>Мельникова Елизавета</t>
  </si>
  <si>
    <t xml:space="preserve">Кондратьев Виктор </t>
  </si>
  <si>
    <t>10.05.16 Челябинск</t>
  </si>
  <si>
    <t>04.02.12 Тосмск</t>
  </si>
  <si>
    <t xml:space="preserve">22.06.13 Челябинск </t>
  </si>
  <si>
    <t>Минаев Семён</t>
  </si>
  <si>
    <t>Зотов Константин</t>
  </si>
  <si>
    <t>09.05.16 Челябинск</t>
  </si>
  <si>
    <t xml:space="preserve">10.07.13 Шецин </t>
  </si>
  <si>
    <t xml:space="preserve">16.12.09 С.Петербург </t>
  </si>
  <si>
    <t>Нуриев Ринат</t>
  </si>
  <si>
    <t>Харина Анна</t>
  </si>
  <si>
    <t>Степанов Алексей</t>
  </si>
  <si>
    <t>11.05.16 Челябинск</t>
  </si>
  <si>
    <t xml:space="preserve"> 26.10.14 Ольштен </t>
  </si>
  <si>
    <t xml:space="preserve">15.06.12 С-Петербург </t>
  </si>
  <si>
    <t>Эстафетное плавание</t>
  </si>
  <si>
    <t>4х50 м</t>
  </si>
  <si>
    <t>Кузнецова Анна</t>
  </si>
  <si>
    <t>Калинина Даяна</t>
  </si>
  <si>
    <t>Соколов Владимир</t>
  </si>
  <si>
    <t>Плотникова Полина</t>
  </si>
  <si>
    <t>Кочнева Валерия</t>
  </si>
  <si>
    <t>Волков Сергей</t>
  </si>
  <si>
    <t>11.12.14 Красноярск</t>
  </si>
  <si>
    <t>13.12.12 Красноярск</t>
  </si>
  <si>
    <t>25.11.2015 Красноярск</t>
  </si>
  <si>
    <t>22.11.14  Красноярск</t>
  </si>
  <si>
    <t>4х100 м</t>
  </si>
  <si>
    <t>Чернецких И.</t>
  </si>
  <si>
    <t>Кононова Елена</t>
  </si>
  <si>
    <t>Логунов С.</t>
  </si>
  <si>
    <t>Дроздов михаил</t>
  </si>
  <si>
    <t xml:space="preserve">04.05.15 С-Петербург </t>
  </si>
  <si>
    <t>4х200 м</t>
  </si>
  <si>
    <t>Одинокин Павел</t>
  </si>
  <si>
    <t>Логунов Семен</t>
  </si>
  <si>
    <t>03.05.15   Санкт-Петербург</t>
  </si>
  <si>
    <t>02.05.14 С-Петербург</t>
  </si>
  <si>
    <r>
      <t xml:space="preserve">Рекорды Красноярского края по плаванию в ластах на 01.11.2014 </t>
    </r>
    <r>
      <rPr>
        <b/>
        <i/>
        <sz val="9"/>
        <color theme="1"/>
        <rFont val="Times New Roman"/>
      </rPr>
      <t>(желтым - электроника)</t>
    </r>
  </si>
  <si>
    <t>Младшие юноши (13 лет и младше)</t>
  </si>
  <si>
    <t>Старшие юноши (14-15 лет)</t>
  </si>
  <si>
    <t>Логунов Семён</t>
  </si>
  <si>
    <t>03.05.13 С-Петербург</t>
  </si>
  <si>
    <t>17.05.13 Ачинск</t>
  </si>
  <si>
    <t>02.05.15   Санкт-Петербург</t>
  </si>
  <si>
    <t>03.05.14 С-Петербург</t>
  </si>
  <si>
    <t>02.05.13 С-Петербург</t>
  </si>
  <si>
    <t>18.05.13 Ачинск</t>
  </si>
  <si>
    <t>01.05.15   Санкт-Петербург</t>
  </si>
  <si>
    <t xml:space="preserve">12.12.13 Красноярск </t>
  </si>
  <si>
    <t>17.06.09 С-Петербург</t>
  </si>
  <si>
    <t>18.12.11 Новосибирск</t>
  </si>
  <si>
    <t>18.03.11 Красноярск</t>
  </si>
  <si>
    <t>12.07.13 Шецин</t>
  </si>
  <si>
    <t>19.06.09 С-Петербург</t>
  </si>
  <si>
    <t>17.12.11 Новосибирск</t>
  </si>
  <si>
    <t>10.05.03 Красноярск</t>
  </si>
  <si>
    <t>02.09.03 Чеджудо</t>
  </si>
  <si>
    <t>03.03.04 Красноярск</t>
  </si>
  <si>
    <t>01.05.01 Красноярск</t>
  </si>
  <si>
    <t>02.08.05 Островец</t>
  </si>
  <si>
    <t>07.05.03 Красноярск</t>
  </si>
  <si>
    <t>Евтушенко Евгений</t>
  </si>
  <si>
    <t>05.03.04 Красноярск</t>
  </si>
  <si>
    <t>24.01.02 Красноярск</t>
  </si>
  <si>
    <t>04.08.05 Островец</t>
  </si>
  <si>
    <t>06.04.00 Красноярск</t>
  </si>
  <si>
    <t>Ямковая Дарья</t>
  </si>
  <si>
    <t>Одиновик Павел</t>
  </si>
  <si>
    <t>27.03.14 Челябинск</t>
  </si>
  <si>
    <t>04.04.13 Красноярск</t>
  </si>
  <si>
    <t xml:space="preserve">Ямковая Дарья </t>
  </si>
  <si>
    <t>05.04.11 Бийск</t>
  </si>
  <si>
    <t xml:space="preserve">02.05.13 С-Петербург </t>
  </si>
  <si>
    <t>Пахомова Маргарита</t>
  </si>
  <si>
    <t>02.02.04 Красноярск</t>
  </si>
  <si>
    <t>23.01.02 Красноярск</t>
  </si>
  <si>
    <t>11.04.09 Красноярск</t>
  </si>
  <si>
    <t>27.04.13 Красноярск</t>
  </si>
  <si>
    <t>27.11.13 Красноярск</t>
  </si>
  <si>
    <t>Красносельцева Евгения</t>
  </si>
  <si>
    <t>28.02.15 Красноярск</t>
  </si>
  <si>
    <t xml:space="preserve">01.05.13 Красноярск </t>
  </si>
  <si>
    <t>Аникина Екатерина</t>
  </si>
  <si>
    <t>Зыков Анатолий</t>
  </si>
  <si>
    <t xml:space="preserve">Майстренко Дарья </t>
  </si>
  <si>
    <t xml:space="preserve">18.03.15 Красноярск </t>
  </si>
  <si>
    <t>06.03.12 Красноярск</t>
  </si>
  <si>
    <t>15.10.11 Красноярск</t>
  </si>
  <si>
    <t>05.10.10 Красноярск</t>
  </si>
  <si>
    <t xml:space="preserve">Кочнева Валерия </t>
  </si>
  <si>
    <t xml:space="preserve">Мельникова Елизавета </t>
  </si>
  <si>
    <t xml:space="preserve">14.03.13 Красноярск </t>
  </si>
  <si>
    <t xml:space="preserve">08.12.12 Ачинск </t>
  </si>
  <si>
    <t>11.12.10 Новосибирск</t>
  </si>
  <si>
    <t>Просалова Алина</t>
  </si>
  <si>
    <t>30.03.16 Ярославль</t>
  </si>
  <si>
    <t xml:space="preserve">07.12.12 Ачинск </t>
  </si>
  <si>
    <t>04.05.13 С-Петербург</t>
  </si>
  <si>
    <t>06.05.11 Балаково</t>
  </si>
  <si>
    <t xml:space="preserve">Марченко Леонид </t>
  </si>
  <si>
    <t>Эйсмонт Юлия</t>
  </si>
  <si>
    <t>Пономарев Сергей</t>
  </si>
  <si>
    <t>Константинов Иван</t>
  </si>
  <si>
    <t>Пель Е.вгений</t>
  </si>
  <si>
    <t>Михневич Анатолий</t>
  </si>
  <si>
    <t>Кузнецова Алёна</t>
  </si>
  <si>
    <t>02.05.99 Красноярск</t>
  </si>
  <si>
    <t xml:space="preserve">27.11.13 Красноярск </t>
  </si>
  <si>
    <t>16.12.10 Красноярск</t>
  </si>
  <si>
    <t>Кочан Никита</t>
  </si>
  <si>
    <t>Моложаева София</t>
  </si>
  <si>
    <t>Стопа Александр</t>
  </si>
  <si>
    <t>Кузнецова Аллена</t>
  </si>
  <si>
    <t>Ермолаева София</t>
  </si>
  <si>
    <t>Кондратенко Алексей</t>
  </si>
  <si>
    <t>Сухарева Алина</t>
  </si>
  <si>
    <t>Никифорова Ирина</t>
  </si>
  <si>
    <t>Логунов Егор</t>
  </si>
  <si>
    <t>31.03.16 Ярославль</t>
  </si>
  <si>
    <t>09.01.01 Томск</t>
  </si>
  <si>
    <t>28.03.14 Челябинск</t>
  </si>
  <si>
    <t>Пель Евгений</t>
  </si>
  <si>
    <t>Карагашева Стефания</t>
  </si>
  <si>
    <t>Брагин Константин</t>
  </si>
  <si>
    <t>Замятина Дарья</t>
  </si>
  <si>
    <t>Шилова кристина</t>
  </si>
  <si>
    <t>29.03.16 Ярославль</t>
  </si>
  <si>
    <t>23.04.99 Красноярск</t>
  </si>
  <si>
    <t>08.04.10 Пермь</t>
  </si>
  <si>
    <t>Протокол прохождения дистанции ______________</t>
  </si>
  <si>
    <t>1 круг</t>
  </si>
  <si>
    <t>2 круг</t>
  </si>
  <si>
    <t>3 круг</t>
  </si>
  <si>
    <t>4 круг</t>
  </si>
  <si>
    <t>5 круг</t>
  </si>
  <si>
    <t>6 круг</t>
  </si>
  <si>
    <t>время</t>
  </si>
  <si>
    <t>№</t>
  </si>
  <si>
    <t>Заплыв __________ дорожка_____</t>
  </si>
  <si>
    <t>за</t>
  </si>
  <si>
    <t>место</t>
  </si>
  <si>
    <t>на Первенстве России</t>
  </si>
  <si>
    <t>по подводному спорту (марафонские заплывы в ластах)</t>
  </si>
  <si>
    <t>на дистанции</t>
  </si>
  <si>
    <t>с результатом</t>
  </si>
  <si>
    <t>06-19 мая 2016 г.</t>
  </si>
  <si>
    <t>г. Кропоткин</t>
  </si>
  <si>
    <t>4. Нормы и условия их выполнения для присвоения спортивных званий и спортивных разрядов.</t>
  </si>
  <si>
    <t>МСМК выполняется в спортивных дисциплинах в наименованиях которых содержатся слова:</t>
  </si>
  <si>
    <t>«апноэ» с 18 лет; «дайвинг» с 16 лет; «ныряние», «плавание» с 14 лет;</t>
  </si>
  <si>
    <t>МС выполняется в спортивных дисциплинах в наименованиях которых содержатся слова:</t>
  </si>
  <si>
    <t>«апноэ» с 18 лет; «дайвинг», «ныряние» с 14 лет;  «плавание» с 12 лет; «ориентирование» с 15 лет;</t>
  </si>
  <si>
    <t>КМС выполняется в спортивных дисциплинах в наименованиях которых содержатся слова:</t>
  </si>
  <si>
    <t>«апноэ» с 18 лет; «дайвинг», «ныряние» с 14 лет; «плавание» с 9 лет (за исключением  «плавание в ластах - 1500 м», «подводное плавание»); «плавание в ластах - 1500 м», «подводное плавание» с  12 лет;  «ориентирование» с 15 лет;</t>
  </si>
  <si>
    <t>I, II, III спортивные разряды выполняются в спортивных дисциплинах в наименованиях которых содержатся слова:</t>
  </si>
  <si>
    <t>«апноэ» с 18 лет; «дайвинг» с 13 лет; «ныряние» с 14 лет; «плавание» с 9 лет (за исключением «плавание в ластах - 1500 м», «подводное плавание»); «плавание в ластах - 1500 м», «подводное плавание» - с 12 лет;  «ориентирование» с 15 лет;</t>
  </si>
  <si>
    <t>юношеские спортивные разряды выполняются в спортивных дисциплинах в наименованиях которых содержатся слова:</t>
  </si>
  <si>
    <r>
      <t xml:space="preserve">«дайвинг» с 13 лет; «плавание» с </t>
    </r>
    <r>
      <rPr>
        <sz val="19"/>
        <rFont val="Times New Roman"/>
      </rPr>
      <t xml:space="preserve">9 </t>
    </r>
    <r>
      <rPr>
        <sz val="19"/>
        <rFont val="Times New Roman"/>
      </rPr>
      <t>лет (за исключением «подводное плавание - 100 м»); «подводное плавание -   100 м» с 12 лет</t>
    </r>
  </si>
  <si>
    <t>Спортивная дисциплина, стартующий</t>
  </si>
  <si>
    <t>Хроно-метраж</t>
  </si>
  <si>
    <t>Едини-цы измере-ния</t>
  </si>
  <si>
    <t>Спортивные разряды</t>
  </si>
  <si>
    <t>Юношеские спортивные разряды</t>
  </si>
  <si>
    <t xml:space="preserve">I </t>
  </si>
  <si>
    <t xml:space="preserve">II </t>
  </si>
  <si>
    <t xml:space="preserve">III </t>
  </si>
  <si>
    <t>Апноэ - динамическое</t>
  </si>
  <si>
    <t>Апноэ - динамическое           в ластах</t>
  </si>
  <si>
    <t>Апноэ -                    скоростное 
100 м</t>
  </si>
  <si>
    <t>Ручной хроно-метраж</t>
  </si>
  <si>
    <t>мин, с</t>
  </si>
  <si>
    <t>Авто-хроно-метраж</t>
  </si>
  <si>
    <t>00:32,80</t>
  </si>
  <si>
    <t>00:37,20</t>
  </si>
  <si>
    <t>00:35,00</t>
  </si>
  <si>
    <t>00:39,50</t>
  </si>
  <si>
    <t>00:39,80</t>
  </si>
  <si>
    <t>00:41,80</t>
  </si>
  <si>
    <t>00:42,40</t>
  </si>
  <si>
    <t>00:45,20</t>
  </si>
  <si>
    <t>00:45,80</t>
  </si>
  <si>
    <t>00:48,80</t>
  </si>
  <si>
    <t>00:49,70</t>
  </si>
  <si>
    <t>00:53,20</t>
  </si>
  <si>
    <t>Дайвинг - полоса препятствий</t>
  </si>
  <si>
    <t>01:16,40</t>
  </si>
  <si>
    <t>01:28,80</t>
  </si>
  <si>
    <t>01:30,50</t>
  </si>
  <si>
    <t>01:43,00</t>
  </si>
  <si>
    <t>01:41,20</t>
  </si>
  <si>
    <t>01:55,70</t>
  </si>
  <si>
    <t>01:52,70</t>
  </si>
  <si>
    <t>02:07,70</t>
  </si>
  <si>
    <t>02:02,70</t>
  </si>
  <si>
    <t>02:16,20</t>
  </si>
  <si>
    <t>02:12,20</t>
  </si>
  <si>
    <t>02:26,70</t>
  </si>
  <si>
    <t>02:25,70</t>
  </si>
  <si>
    <t>02:41,20</t>
  </si>
  <si>
    <t>02:40,20</t>
  </si>
  <si>
    <t>02:55,20</t>
  </si>
  <si>
    <t>02:54,20</t>
  </si>
  <si>
    <t>03:10,20</t>
  </si>
  <si>
    <t>Дайвинг - комбиниро-ванное плавание</t>
  </si>
  <si>
    <t>03:16,00</t>
  </si>
  <si>
    <t>03:37,70</t>
  </si>
  <si>
    <t>03:34,60</t>
  </si>
  <si>
    <t>03:58,00</t>
  </si>
  <si>
    <t>03:51,50</t>
  </si>
  <si>
    <t>04:20,20</t>
  </si>
  <si>
    <t>04:16,70</t>
  </si>
  <si>
    <t>04:44,20</t>
  </si>
  <si>
    <t>04:36,70</t>
  </si>
  <si>
    <t>04:58,20</t>
  </si>
  <si>
    <t>05:00,20</t>
  </si>
  <si>
    <t>05:34,20</t>
  </si>
  <si>
    <t>05:28,20</t>
  </si>
  <si>
    <t>05:55,20</t>
  </si>
  <si>
    <t>05:52,70</t>
  </si>
  <si>
    <t>06:32,20</t>
  </si>
  <si>
    <t>06:28,20</t>
  </si>
  <si>
    <t>07:00,20</t>
  </si>
  <si>
    <t>Дайвинг -                            подъем груза</t>
  </si>
  <si>
    <t>00:15,90</t>
  </si>
  <si>
    <t>00:19,00</t>
  </si>
  <si>
    <t>00:18,10</t>
  </si>
  <si>
    <t>00:21,00</t>
  </si>
  <si>
    <t>00:26,00</t>
  </si>
  <si>
    <t>00:23,2</t>
  </si>
  <si>
    <t>00:28,20</t>
  </si>
  <si>
    <t>00:25,70</t>
  </si>
  <si>
    <t>00:30,50</t>
  </si>
  <si>
    <t>00:29,80</t>
  </si>
  <si>
    <t>00:35,20</t>
  </si>
  <si>
    <t>00:33,20</t>
  </si>
  <si>
    <t>00:38,70</t>
  </si>
  <si>
    <t>00:36,40</t>
  </si>
  <si>
    <t>00:41,20</t>
  </si>
  <si>
    <t>00:39,20</t>
  </si>
  <si>
    <t xml:space="preserve">Ныряние в ластах в длину - 50 м </t>
  </si>
  <si>
    <t>00:14,90</t>
  </si>
  <si>
    <t>00:16,70</t>
  </si>
  <si>
    <t>00:15,60</t>
  </si>
  <si>
    <t>00:17,50</t>
  </si>
  <si>
    <t>00:16,40</t>
  </si>
  <si>
    <t>00:18,40</t>
  </si>
  <si>
    <t>00:19,60</t>
  </si>
  <si>
    <t>00:21,30</t>
  </si>
  <si>
    <t>00:20,60</t>
  </si>
  <si>
    <t>00:23,10</t>
  </si>
  <si>
    <t>Плавание            в классических ластах - 50 м</t>
  </si>
  <si>
    <t>00:35,5</t>
  </si>
  <si>
    <t>00:19,40</t>
  </si>
  <si>
    <t>00:22,30</t>
  </si>
  <si>
    <t>00:20,50</t>
  </si>
  <si>
    <t>00:23,70</t>
  </si>
  <si>
    <t>00:21,50</t>
  </si>
  <si>
    <t>00:24,80</t>
  </si>
  <si>
    <t>00:23,20</t>
  </si>
  <si>
    <t>00:26,60</t>
  </si>
  <si>
    <t>00:25,00</t>
  </si>
  <si>
    <t>00:26,70</t>
  </si>
  <si>
    <t>00:30,70</t>
  </si>
  <si>
    <t>00:30,00</t>
  </si>
  <si>
    <t>00:33,70</t>
  </si>
  <si>
    <t>00:32,60</t>
  </si>
  <si>
    <t>00:36,90</t>
  </si>
  <si>
    <t>00:35,70</t>
  </si>
  <si>
    <t>00:40,00</t>
  </si>
  <si>
    <t>Плавание            в классических ластах -
100 м</t>
  </si>
  <si>
    <t>00:43,30</t>
  </si>
  <si>
    <t>00:48,10</t>
  </si>
  <si>
    <t>00:45,10</t>
  </si>
  <si>
    <t>00:51,00</t>
  </si>
  <si>
    <t>00:47,50</t>
  </si>
  <si>
    <t>00:53,50</t>
  </si>
  <si>
    <t>00:57,50</t>
  </si>
  <si>
    <t>00:56,10</t>
  </si>
  <si>
    <t>01:02,10</t>
  </si>
  <si>
    <t>01:00,60</t>
  </si>
  <si>
    <t>01:08,00</t>
  </si>
  <si>
    <t>01:06,20</t>
  </si>
  <si>
    <t>01:13,70</t>
  </si>
  <si>
    <t>01:12,20</t>
  </si>
  <si>
    <t>01:19,80</t>
  </si>
  <si>
    <t>01:18,70</t>
  </si>
  <si>
    <t>01:26,20</t>
  </si>
  <si>
    <t>Плавание           в классических ластах -
200 м</t>
  </si>
  <si>
    <t>01:36,50</t>
  </si>
  <si>
    <t>01:47,50</t>
  </si>
  <si>
    <t>01:41,40</t>
  </si>
  <si>
    <t>01:52,60</t>
  </si>
  <si>
    <t>01:46,00</t>
  </si>
  <si>
    <t>01:57,80</t>
  </si>
  <si>
    <t>01:54,80</t>
  </si>
  <si>
    <t>02:07,50</t>
  </si>
  <si>
    <t>02:04,00</t>
  </si>
  <si>
    <t>02:16,50</t>
  </si>
  <si>
    <t>02:14,80</t>
  </si>
  <si>
    <t>02:28,20</t>
  </si>
  <si>
    <t>02:28,70</t>
  </si>
  <si>
    <t>02:44,20</t>
  </si>
  <si>
    <t>02:42,20</t>
  </si>
  <si>
    <t>02:58,70</t>
  </si>
  <si>
    <t>03:12,20</t>
  </si>
  <si>
    <t>Плавание            в классических ластах -
400 м</t>
  </si>
  <si>
    <t>03:55,0</t>
  </si>
  <si>
    <t>04:14,0</t>
  </si>
  <si>
    <t>04:10,0</t>
  </si>
  <si>
    <t>04:30,0</t>
  </si>
  <si>
    <t>04:28,0</t>
  </si>
  <si>
    <t>04:48,0</t>
  </si>
  <si>
    <t>5:08,0</t>
  </si>
  <si>
    <t>5:12,5</t>
  </si>
  <si>
    <t>5:34,0</t>
  </si>
  <si>
    <t>5:38,5</t>
  </si>
  <si>
    <t>6:01,0</t>
  </si>
  <si>
    <t>06:07,0</t>
  </si>
  <si>
    <t>06:30,0</t>
  </si>
  <si>
    <t>03:32,50</t>
  </si>
  <si>
    <t>03:49,00</t>
  </si>
  <si>
    <t>03:45,20</t>
  </si>
  <si>
    <t>04:04,40</t>
  </si>
  <si>
    <t>03:55,20</t>
  </si>
  <si>
    <t>04:14,20</t>
  </si>
  <si>
    <t>04:10,20</t>
  </si>
  <si>
    <t>04:30,20</t>
  </si>
  <si>
    <t>04:28,20</t>
  </si>
  <si>
    <t>04:48,20</t>
  </si>
  <si>
    <t>5:08,20</t>
  </si>
  <si>
    <t>5:12,70</t>
  </si>
  <si>
    <t>5:34,20</t>
  </si>
  <si>
    <t>5:38,70</t>
  </si>
  <si>
    <t>6:01,20</t>
  </si>
  <si>
    <t>06:07,20</t>
  </si>
  <si>
    <t>06:30,20</t>
  </si>
  <si>
    <t>Плавание в классических ластах - эстафета               4х100 м - смешанная (только для спортсмена, стартующего первым)</t>
  </si>
  <si>
    <t>00:44,00</t>
  </si>
  <si>
    <t>00:46,00</t>
  </si>
  <si>
    <t>00:51,50</t>
  </si>
  <si>
    <t>00:48,30</t>
  </si>
  <si>
    <t>00:54,00</t>
  </si>
  <si>
    <t>00:51,70</t>
  </si>
  <si>
    <t>00:57,80</t>
  </si>
  <si>
    <t>00:56,20</t>
  </si>
  <si>
    <t>01:02,20</t>
  </si>
  <si>
    <t>01:00,70</t>
  </si>
  <si>
    <t>01:08,20</t>
  </si>
  <si>
    <t>Плавание в ластах - 50 м</t>
  </si>
  <si>
    <t>00:24,0</t>
  </si>
  <si>
    <t>00:27,4</t>
  </si>
  <si>
    <t>00:26,2</t>
  </si>
  <si>
    <t>00:30,0</t>
  </si>
  <si>
    <t>00:28,4</t>
  </si>
  <si>
    <t>00:32,4</t>
  </si>
  <si>
    <t>00:16,90</t>
  </si>
  <si>
    <t>00:19,0</t>
  </si>
  <si>
    <t>00:17,80</t>
  </si>
  <si>
    <t>00:19,90</t>
  </si>
  <si>
    <t>00:18,70</t>
  </si>
  <si>
    <t>00:20,30</t>
  </si>
  <si>
    <t>00:22,10</t>
  </si>
  <si>
    <t>00:24,20</t>
  </si>
  <si>
    <t>00:27,60</t>
  </si>
  <si>
    <t>00:26,40</t>
  </si>
  <si>
    <t>00:30,20</t>
  </si>
  <si>
    <t>00:28,60</t>
  </si>
  <si>
    <t xml:space="preserve">Плавание в ластах - 100 м </t>
  </si>
  <si>
    <t>00:54,6</t>
  </si>
  <si>
    <t>00:59,8</t>
  </si>
  <si>
    <t>00:59,6</t>
  </si>
  <si>
    <t>01:05,4</t>
  </si>
  <si>
    <t>01:04,6</t>
  </si>
  <si>
    <t>00:36,00</t>
  </si>
  <si>
    <t>00:37,80</t>
  </si>
  <si>
    <t>00:42,00</t>
  </si>
  <si>
    <t>00:39,60</t>
  </si>
  <si>
    <t>00:42,50</t>
  </si>
  <si>
    <t>00:47,20</t>
  </si>
  <si>
    <t>00:46,10</t>
  </si>
  <si>
    <t>00:51,20</t>
  </si>
  <si>
    <t>00:50,00</t>
  </si>
  <si>
    <t>00:55,40</t>
  </si>
  <si>
    <t>00:54,80</t>
  </si>
  <si>
    <t>00:60,00</t>
  </si>
  <si>
    <t>00:59,80</t>
  </si>
  <si>
    <t>01:05,60</t>
  </si>
  <si>
    <t>01:04,80</t>
  </si>
  <si>
    <t>01:10,60</t>
  </si>
  <si>
    <t xml:space="preserve">Плавание в ластах - 200 м </t>
  </si>
  <si>
    <t>02:07,5</t>
  </si>
  <si>
    <t>02:20,0</t>
  </si>
  <si>
    <t>02:19,3</t>
  </si>
  <si>
    <t>02:31,2</t>
  </si>
  <si>
    <t>02:31,0</t>
  </si>
  <si>
    <t>02:42,2</t>
  </si>
  <si>
    <t>01:23,20</t>
  </si>
  <si>
    <t>01:30,80</t>
  </si>
  <si>
    <t>01:27,40</t>
  </si>
  <si>
    <t>01:36,20</t>
  </si>
  <si>
    <t>01:31,70</t>
  </si>
  <si>
    <t>01:38,20</t>
  </si>
  <si>
    <t>01:47,70</t>
  </si>
  <si>
    <t>01:47,20</t>
  </si>
  <si>
    <t>01:57,70</t>
  </si>
  <si>
    <t>02:06,40</t>
  </si>
  <si>
    <t>02:20,20</t>
  </si>
  <si>
    <t>02:19,50</t>
  </si>
  <si>
    <t>02:31,40</t>
  </si>
  <si>
    <t>02:31,20</t>
  </si>
  <si>
    <t>02:42,40</t>
  </si>
  <si>
    <t xml:space="preserve">Плавание в ластах - 400 м </t>
  </si>
  <si>
    <t>04:41,7</t>
  </si>
  <si>
    <t>05:00,0</t>
  </si>
  <si>
    <t>05:07,6</t>
  </si>
  <si>
    <t>05:30,0</t>
  </si>
  <si>
    <t>05:33,5</t>
  </si>
  <si>
    <t>05:55,0</t>
  </si>
  <si>
    <t>03:04,20</t>
  </si>
  <si>
    <t>03:18,20</t>
  </si>
  <si>
    <t>03:14,00</t>
  </si>
  <si>
    <t>03:28,60</t>
  </si>
  <si>
    <t>03:22,20</t>
  </si>
  <si>
    <t>03:38,80</t>
  </si>
  <si>
    <t>03:37,00</t>
  </si>
  <si>
    <t>03:55,40</t>
  </si>
  <si>
    <t>03:55,00</t>
  </si>
  <si>
    <t>04:13,60</t>
  </si>
  <si>
    <t>04:13,00</t>
  </si>
  <si>
    <t>04:33,20</t>
  </si>
  <si>
    <t>04:41,90</t>
  </si>
  <si>
    <t>05:07,80</t>
  </si>
  <si>
    <t>05:30,20</t>
  </si>
  <si>
    <t>05:33,70</t>
  </si>
  <si>
    <t xml:space="preserve">Плавание в ластах - 800 м </t>
  </si>
  <si>
    <t>06:34,70</t>
  </si>
  <si>
    <t>07:05,20</t>
  </si>
  <si>
    <t>06:52,20</t>
  </si>
  <si>
    <t>07:25,70</t>
  </si>
  <si>
    <t>07:14,70</t>
  </si>
  <si>
    <t>07:48,20</t>
  </si>
  <si>
    <t>07:36,20</t>
  </si>
  <si>
    <t>08:20,70</t>
  </si>
  <si>
    <t>08:25,20</t>
  </si>
  <si>
    <t>09:02,70</t>
  </si>
  <si>
    <t>09:05,40</t>
  </si>
  <si>
    <t>09:44,70</t>
  </si>
  <si>
    <t>09:55,20</t>
  </si>
  <si>
    <t>10:38,70</t>
  </si>
  <si>
    <t>10:54,20</t>
  </si>
  <si>
    <t>11:42,20</t>
  </si>
  <si>
    <t>11:50,70</t>
  </si>
  <si>
    <t>12:36,70</t>
  </si>
  <si>
    <t>Плавание в ластах -                                          1500 м</t>
  </si>
  <si>
    <t>12:41,20</t>
  </si>
  <si>
    <t>13:39,20</t>
  </si>
  <si>
    <t>13:20,70</t>
  </si>
  <si>
    <t>14:18,20</t>
  </si>
  <si>
    <t>13:58,20</t>
  </si>
  <si>
    <t>14:58,70</t>
  </si>
  <si>
    <t>14:52,70</t>
  </si>
  <si>
    <t>16:00,20</t>
  </si>
  <si>
    <t>16:15,20</t>
  </si>
  <si>
    <t>17:24,70</t>
  </si>
  <si>
    <t>17:33,20</t>
  </si>
  <si>
    <t>18:50,20</t>
  </si>
  <si>
    <t>Плавание в ластах - эстафета               4х50 м - смешанная (только для спортсмена, стартующего первым)</t>
  </si>
  <si>
    <t>Плавание в ластах - эстафета              4х100 м (только для спортсмена, стартующего первым)</t>
  </si>
  <si>
    <t>Плавание в ластах - эстафета               4х200 м (только для спортсмена, стартующего первым)</t>
  </si>
  <si>
    <t xml:space="preserve">Подводное плавание -
100 м </t>
  </si>
  <si>
    <t>00:50,2</t>
  </si>
  <si>
    <t>00:55,0</t>
  </si>
  <si>
    <t>00:54,8</t>
  </si>
  <si>
    <t>01:00,0</t>
  </si>
  <si>
    <t>00:59,4</t>
  </si>
  <si>
    <t>01:05,2</t>
  </si>
  <si>
    <t>00:33,10</t>
  </si>
  <si>
    <t>00:36,30</t>
  </si>
  <si>
    <t>00:34,70</t>
  </si>
  <si>
    <t>00:38,10</t>
  </si>
  <si>
    <t>00:39,90</t>
  </si>
  <si>
    <t>00:42,80</t>
  </si>
  <si>
    <t>00:42,30</t>
  </si>
  <si>
    <t>00:46,40</t>
  </si>
  <si>
    <t>00:50,40</t>
  </si>
  <si>
    <t>00:55,20</t>
  </si>
  <si>
    <t>00:55,00</t>
  </si>
  <si>
    <t>01:00,20</t>
  </si>
  <si>
    <t>00:59,60</t>
  </si>
  <si>
    <t>01:05,40</t>
  </si>
  <si>
    <t xml:space="preserve">Подводное плавание -
400 м </t>
  </si>
  <si>
    <t>02:50,20</t>
  </si>
  <si>
    <t>03:04,60</t>
  </si>
  <si>
    <t>02:59,20</t>
  </si>
  <si>
    <t>03:14,40</t>
  </si>
  <si>
    <t>03:07,90</t>
  </si>
  <si>
    <t>03:23,20</t>
  </si>
  <si>
    <t>03:21,20</t>
  </si>
  <si>
    <t>03:38,20</t>
  </si>
  <si>
    <t>03:56,20</t>
  </si>
  <si>
    <t>03:56,70</t>
  </si>
  <si>
    <t>04:15,20</t>
  </si>
  <si>
    <r>
      <t>Ориентиро-
вание  -</t>
    </r>
    <r>
      <rPr>
        <sz val="14"/>
        <rFont val="Times New Roman"/>
      </rPr>
      <t xml:space="preserve"> упражнение "зоны"</t>
    </r>
  </si>
  <si>
    <t>05:40,20</t>
  </si>
  <si>
    <t>06:08,20</t>
  </si>
  <si>
    <t>06:21,20</t>
  </si>
  <si>
    <t>06:55,20</t>
  </si>
  <si>
    <t>06:54,20</t>
  </si>
  <si>
    <t>07:35,20</t>
  </si>
  <si>
    <t>07:59,20</t>
  </si>
  <si>
    <t>08:50,20</t>
  </si>
  <si>
    <t>09:30,20</t>
  </si>
  <si>
    <t>10:26,20</t>
  </si>
  <si>
    <r>
      <t xml:space="preserve">Ориентиро-
вание  - </t>
    </r>
    <r>
      <rPr>
        <sz val="14"/>
        <rFont val="Times New Roman"/>
      </rPr>
      <t>упражнение "ориентиры"</t>
    </r>
  </si>
  <si>
    <t>06:18,20</t>
  </si>
  <si>
    <t>07:06,20</t>
  </si>
  <si>
    <t>07:42,20</t>
  </si>
  <si>
    <t>08:52,20</t>
  </si>
  <si>
    <t>09:45,20</t>
  </si>
  <si>
    <t>10:20,20</t>
  </si>
  <si>
    <t>11:28,20</t>
  </si>
  <si>
    <r>
      <t xml:space="preserve">Ориентиро-
вание  </t>
    </r>
    <r>
      <rPr>
        <sz val="14"/>
        <rFont val="Times New Roman"/>
      </rPr>
      <t>- упражнение "звезда"</t>
    </r>
  </si>
  <si>
    <t>06:56,20</t>
  </si>
  <si>
    <t>06:50,20</t>
  </si>
  <si>
    <t>07:30,20</t>
  </si>
  <si>
    <t>07:32,20</t>
  </si>
  <si>
    <t>08:18,20</t>
  </si>
  <si>
    <t>08:43,20</t>
  </si>
  <si>
    <t>09:37,20</t>
  </si>
  <si>
    <t>10:09,20</t>
  </si>
  <si>
    <t>11:18,20</t>
  </si>
  <si>
    <t>Апноэ - 16 раз х 50 м</t>
  </si>
  <si>
    <t>09:38,00</t>
  </si>
  <si>
    <t>12:11,00</t>
  </si>
  <si>
    <t>10:09,00</t>
  </si>
  <si>
    <t>13:56,00</t>
  </si>
  <si>
    <t>11:30,00</t>
  </si>
  <si>
    <t>16:00,00</t>
  </si>
  <si>
    <t>15:00,00</t>
  </si>
  <si>
    <t>17:40,00</t>
  </si>
  <si>
    <t>16:15,00</t>
  </si>
  <si>
    <t>18:45,00</t>
  </si>
  <si>
    <t>17:20,00</t>
  </si>
  <si>
    <t>19:45,00</t>
  </si>
  <si>
    <t>Апноэ - динамическое             в  классических ластах</t>
  </si>
  <si>
    <t>Апноэ - ныряние            в глубину              по тросу</t>
  </si>
  <si>
    <t>Иные условия</t>
  </si>
  <si>
    <t xml:space="preserve">1. Условия выполнения норм для спортивных дисциплин, содержащих в своих наименованиях слово «апноэ»:                                                                                                                                  </t>
  </si>
  <si>
    <t xml:space="preserve">1.1. МСМК присваивается за выполнение нормы: на чемпионате мира, кубке мира (финал) и занятии при этом 1-6 места в соответствующем виде программы; чемпионате Европы, кубке Европы (финал) и занятии при этом 1-4 места в соответствующем виде программы; других международных спортивных соревнованиях, включенных в ЕКП, и занятии при этом 1 места в соответствующем виде программы.                                                                                                                    </t>
  </si>
  <si>
    <t xml:space="preserve">1.2. МС присваивается за выполнение нормы: на чемпионате России и занятии при этом 1-4 места в соответствующем виде программы; на Кубке России и занятии при этом 1-3 места в соответствующем виде программы; других всероссийских спортивных соревнованиях, включенных в ЕКП и занятии при этом 1-2 места в соответствующем виде программы.                    </t>
  </si>
  <si>
    <t xml:space="preserve">1.3. КМС присваивается за выполнение нормы: на чемпионате России и занятии при этом не ниже 5-8 места в соответствующем виде программы; на Кубке России и занятии при этом не ниже 4-6 места в соответствующем виде программы; других всероссийских спортивных соревнованиях, включенных в ЕКП и занятии при этом не ниже 3-4 места в соответствующем виде программы.     </t>
  </si>
  <si>
    <t>1.4.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</si>
  <si>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1.5. II, III спортивные разряды присваиваются за выполнение нормы на спортивных соревнованиях любого статуса.</t>
  </si>
  <si>
    <t>2. Условия выполнения норм для спортивных дисциплин, содержащих в своих наименованиях слова «дайвинг», «ныряние», «плавание»:</t>
  </si>
  <si>
    <t xml:space="preserve">2.1. МСМК присваивается за выполнение нормы на международных спортивных соревнованиях, включенных в ЕКП.   </t>
  </si>
  <si>
    <t>2.2. МС присваивается за выполнение нормы на спортивных соревнованиях, имеющих статус не ниже всероссийских спортивных соревнований, включенных в ЕКП.</t>
  </si>
  <si>
    <t>2.3.   КМС присваивается за выполнение нормы на спортивных соревнованиях не ниже статуса официальных спортивных соревнований субъекта Российской Федерации.</t>
  </si>
  <si>
    <t>2.4.  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</si>
  <si>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2.5. II, III спортивные разряды и юношеские спортивные разряды присваиваются за выполнение нормы на спортивных соревнованиях любого статуса.</t>
  </si>
  <si>
    <t xml:space="preserve">3. Условия выполнения норм для спортивных дисциплин, содержащих в своих наименованиях слово «ориентирование»:                                                                                                                                  </t>
  </si>
  <si>
    <t xml:space="preserve">3.1. МС присваивается за выполнение нормы: на международных спортивных соревнованиях, включенных в ЕКП; на чемпионате России и занятии при этом 1-4 места в соответствующем виде программы; на Кубке России и занятии при этом 1-3 места в соответствующем виде программы; на первенстве России и занятии при этом 1-2 места в соответствующем виде программы; других всероссийских спортивных соревнованиях, включенных в ЕКП, и занятии при этом 1-2 места в соответствующем виде программы.                    </t>
  </si>
  <si>
    <t xml:space="preserve">3.2. КМС присваивается за выполнение нормы: на международных спортивных соревнованиях, включенных в ЕКП; на чемпионате России и занятии при этом не ниже 5-8 места в соответствующем виде программы; на Кубке России и занятии при этом не ниже 4-6 места в соответствующем виде программы; на первенстве России и занятии при этом не ниже 3-4 места в соответствующем виде программы; других всероссийских спортивных соревнованиях, включенных в ЕКП, и занятии при этом не ниже 3-4 места в соответствующем виде программы.     </t>
  </si>
  <si>
    <t>3.3. I спортивный разряд присваивается за выполнение нормы на спортивных соревнованиях, имеющих статус не ниже статуса официальных спортивных соревнований субъекта Российской Федерации.</t>
  </si>
  <si>
    <t>3.4. II, III спортивные разряды присваиваются за выполнение нормы на спортивных соревнованиях любого статуса.</t>
  </si>
  <si>
    <t>4. Первенства России, всероссийские спортивные соревнования, включенные в ЕКП, среди лиц с ограничением верхней границы возраста, первенства федерального округа, двух и более федеральных округов, первенства г. Москвы, г. Санкт-Петербурга, проводятся: по спортивным дисциплинам, содержащим в своих наименованиях слова «дайвинг», «ныряние» в возрастной группе: юниоры-юниорки (14-17 лет);  по                                    спортивным дисциплинам, содержащим в своих наименованиях слово «плавание» в возрастных группах: юниоры, юниорки (14-17 лет), юноши, девушки (12-13 лет); по спортивным дисциплинам, содержащим в своих наименованиях слово «ориентирование» в возрастной группе: юниоры, юниорки (15-21 год).</t>
  </si>
  <si>
    <t>5. Первенства субъекта Российской Федерации, другие официальные спортивные соревнования субъекта Российской Федерации среди лиц с ограничением верхней границы возраста, первенства муниципального образования, другие официальные спортивные соревнования                               муниципального образования среди лиц с ограничением верхней границы возраста проводятся: по спортивным дисциплинам, содержащим в своих наименованиях слова «дайвинг», «ныряние» в возрастной группе: юниоры-юниорки (14-17 лет); по спортивным дисциплинам, содержащим                                 в своих наименованиях слово «плавание» (за исключением «плавание в ластах - 1500 м», «подводное плавание -100 м», «подводное плавание - 400 м») в возрастных группах: юниоры, юниорки (14-17 лет), юноши, девушки (12-13 лет), мальчики, девочки (9-11 лет); по спортивным дисциплинам «плавание в ластах - 1500 м», «подводное плавание - 100 м», «подводное плавание -400 м» в возрастной группе: юниоры, юниорки (14-17 лет), юноши, девушки (12-13 лет); по спортивным дисциплинам, содержащим в своих наименованиях слово «ориентирование» в возрастной группе: юниоры, юниорки (15-21 год).</t>
  </si>
  <si>
    <t>6. Первенство мира среди студентов, первенство Европы среди студентов, другие международные спортивные соревнования среди студентов, всероссийские спортивные соревнования среди студентов, включенные в ЕКП, проводятся в возрастной группе юниоры, юниорки (17-25 лет).</t>
  </si>
  <si>
    <t>7. Для участия в спортивных соревнованиях спортсмен должен достичь установленного возраста в календарный год проведения спортивных соревнований (за исключением спортивных дисциплин в наименованиях которых содержится слово «апноэ»).</t>
  </si>
  <si>
    <t>8. В спортивных дисциплинах в наименованиях которых содержится слово «апноэ» спортсмен должен достичь установленного возраста до дня начала спортивного соревнования.</t>
  </si>
  <si>
    <t>Сокращения, используемые в настоящих нормах, требованиях и условиях их выполнения по виду спорта «подводный спорт»:</t>
  </si>
  <si>
    <t>МСМК - спортивное звание мастер спорта России международного класса;</t>
  </si>
  <si>
    <t>МС - спортивное звание мастер спорта России;</t>
  </si>
  <si>
    <t>КМС - спортивный разряд кандидат в мастера спорта;</t>
  </si>
  <si>
    <t>I - первый спортивный разряд;</t>
  </si>
  <si>
    <t xml:space="preserve">II - второй спортивный разряд;  </t>
  </si>
  <si>
    <t>III - третий спортивный разряд;</t>
  </si>
  <si>
    <t>ЕКП - Единый календарный план межрегиональных, всероссийских и международных физкультурных мероприятий и спортивных мероприятий;</t>
  </si>
  <si>
    <t>М - мужской пол;</t>
  </si>
  <si>
    <t>Ж - женский пол;</t>
  </si>
  <si>
    <t>мин - минута.</t>
  </si>
  <si>
    <r>
      <t xml:space="preserve">«дайвинг» с 13 лет; «плавание» с </t>
    </r>
    <r>
      <rPr>
        <sz val="19"/>
        <rFont val="Times New Roman"/>
      </rPr>
      <t xml:space="preserve">9 </t>
    </r>
    <r>
      <rPr>
        <sz val="19"/>
        <rFont val="Times New Roman"/>
      </rPr>
      <t>лет (за исключением «подводное плавание - 100 м»); «подводное плавание -   100 м» с 12 лет</t>
    </r>
  </si>
  <si>
    <t>Апноэ - динамическое в ластах</t>
  </si>
  <si>
    <t>Апноэ -                    скоростное 100 м</t>
  </si>
  <si>
    <t>00:34,80</t>
  </si>
  <si>
    <t>00:38,00</t>
  </si>
  <si>
    <t>00:36,80</t>
  </si>
  <si>
    <t>00:40,20</t>
  </si>
  <si>
    <t>01:32,20</t>
  </si>
  <si>
    <t>01:44,20</t>
  </si>
  <si>
    <t>01:38,70</t>
  </si>
  <si>
    <t>01:51,20</t>
  </si>
  <si>
    <t>01:45,20</t>
  </si>
  <si>
    <t>01:58,70</t>
  </si>
  <si>
    <t>03:26,20</t>
  </si>
  <si>
    <t>03:52,70</t>
  </si>
  <si>
    <t>03:44,20</t>
  </si>
  <si>
    <t>04:00,20</t>
  </si>
  <si>
    <t>04:27,70</t>
  </si>
  <si>
    <t>00:18,20</t>
  </si>
  <si>
    <t>00:23,00</t>
  </si>
  <si>
    <t>00:24,70</t>
  </si>
  <si>
    <t>Плавание в классических ластах - 50 м</t>
  </si>
  <si>
    <t>00:19,70</t>
  </si>
  <si>
    <t>00:22,80</t>
  </si>
  <si>
    <t>00:20,90</t>
  </si>
  <si>
    <t>00:24,10</t>
  </si>
  <si>
    <t>00:21,90</t>
  </si>
  <si>
    <t>00:25,20</t>
  </si>
  <si>
    <t>00:23,30</t>
  </si>
  <si>
    <t>00:26,80</t>
  </si>
  <si>
    <t>00:28,70</t>
  </si>
  <si>
    <t>00:27,00</t>
  </si>
  <si>
    <t>00:31,00</t>
  </si>
  <si>
    <t>Плавание в классических ластах -
100 м</t>
  </si>
  <si>
    <t>Плавание в классических ластах -
200 м</t>
  </si>
  <si>
    <t>01:38,40</t>
  </si>
  <si>
    <t>01:48,70</t>
  </si>
  <si>
    <t>01:43,10</t>
  </si>
  <si>
    <t>01:54,70</t>
  </si>
  <si>
    <t>01:48,20</t>
  </si>
  <si>
    <t>01:59,80</t>
  </si>
  <si>
    <t>01:56,00</t>
  </si>
  <si>
    <t>02:08,60</t>
  </si>
  <si>
    <t>02:05,20</t>
  </si>
  <si>
    <t>02:17,70</t>
  </si>
  <si>
    <t>02:29,70</t>
  </si>
  <si>
    <t>Плавание в классических ластах -
400 м</t>
  </si>
  <si>
    <t>03:57,0</t>
  </si>
  <si>
    <t>04:15,0</t>
  </si>
  <si>
    <t>03:38,40</t>
  </si>
  <si>
    <t>03:55,30</t>
  </si>
  <si>
    <t>03:47,80</t>
  </si>
  <si>
    <t>04:05,50</t>
  </si>
  <si>
    <t>03:57,20</t>
  </si>
  <si>
    <r>
      <t>Ориентиро-
вание  -</t>
    </r>
    <r>
      <rPr>
        <sz val="14"/>
        <rFont val="Times New Roman"/>
      </rPr>
      <t xml:space="preserve"> упражнение "зоны"</t>
    </r>
  </si>
  <si>
    <r>
      <t xml:space="preserve">Ориентиро-
вание  - </t>
    </r>
    <r>
      <rPr>
        <sz val="14"/>
        <rFont val="Times New Roman"/>
      </rPr>
      <t>упражнение "ориентиры"</t>
    </r>
  </si>
  <si>
    <r>
      <t xml:space="preserve">Ориентиро-
вание  </t>
    </r>
    <r>
      <rPr>
        <sz val="14"/>
        <rFont val="Times New Roman"/>
      </rPr>
      <t>- упражнение "звезда"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</si>
</sst>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[&gt;9999]##\:##.#0\.00;[&gt;99]##.#0\.00;#0.00"/>
    <numFmt numFmtId="165" formatCode="mm\/ss.00"/>
    <numFmt numFmtId="166" formatCode="mm:ss.0;@"/>
    <numFmt numFmtId="167" formatCode="[&gt;9]#0;General"/>
    <numFmt numFmtId="168" formatCode="##\:##\.#0.00"/>
    <numFmt numFmtId="169" formatCode="[&gt;9999]#\:##.#0\.00;[&gt;99]#.#0\.00;#0.0"/>
    <numFmt numFmtId="170" formatCode="[&gt;9999]##\:##\.#0.00;[&gt;99]##\.#0.00;#0.00"/>
    <numFmt numFmtId="171" formatCode="yyyy"/>
    <numFmt numFmtId="172" formatCode="hh:mm\/ss.00"/>
    <numFmt numFmtId="173" formatCode="000"/>
    <numFmt numFmtId="174" formatCode="#,##0&quot;р.&quot;;[Red]\-#,##0&quot;р.&quot;"/>
    <numFmt numFmtId="175" formatCode="_-* #,##0.0\ _₽_-;\-* #,##0.0\ _₽_-;_-* \-??\ _₽_-;_-@_-"/>
    <numFmt numFmtId="176" formatCode="00\ \,00\ \,\ 00"/>
  </numFmts>
  <fonts count="137" x14ac:knownFonts="1">
    <font>
      <sz val="11"/>
      <name val="Calibri"/>
    </font>
    <font>
      <sz val="11"/>
      <color theme="1"/>
      <name val="Calibri"/>
      <scheme val="minor"/>
    </font>
    <font>
      <sz val="11"/>
      <name val="Calibri"/>
      <scheme val="minor"/>
    </font>
    <font>
      <b/>
      <sz val="10"/>
      <name val="Times New Roman"/>
    </font>
    <font>
      <b/>
      <sz val="10"/>
      <color rgb="FF000000"/>
      <name val="Times New Roman"/>
    </font>
    <font>
      <sz val="10"/>
      <name val="Times New Roman"/>
    </font>
    <font>
      <sz val="8"/>
      <name val="Times New Roman"/>
    </font>
    <font>
      <b/>
      <sz val="16"/>
      <color rgb="FF000000"/>
      <name val="Times New Roman"/>
    </font>
    <font>
      <b/>
      <sz val="16"/>
      <color theme="1"/>
      <name val="Times New Roman"/>
    </font>
    <font>
      <b/>
      <sz val="15"/>
      <name val="Times New Roman"/>
    </font>
    <font>
      <b/>
      <i/>
      <sz val="10"/>
      <name val="Times New Roman"/>
    </font>
    <font>
      <b/>
      <i/>
      <sz val="11"/>
      <name val="Calibri"/>
      <scheme val="minor"/>
    </font>
    <font>
      <b/>
      <sz val="12"/>
      <name val="Times New Roman"/>
    </font>
    <font>
      <sz val="9"/>
      <color rgb="FF000000"/>
      <name val="Times New Roman"/>
    </font>
    <font>
      <b/>
      <sz val="18"/>
      <color rgb="FF000000"/>
      <name val="Times New Roman"/>
    </font>
    <font>
      <b/>
      <sz val="16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</font>
    <font>
      <b/>
      <sz val="9"/>
      <name val="Times New Roman"/>
    </font>
    <font>
      <sz val="10"/>
      <color rgb="FFFF0000"/>
      <name val="Times New Roman"/>
    </font>
    <font>
      <sz val="10"/>
      <name val="Arial Cyr"/>
    </font>
    <font>
      <sz val="8"/>
      <color rgb="FF000000"/>
      <name val="Times New Roman"/>
    </font>
    <font>
      <sz val="10"/>
      <color rgb="FF000000"/>
      <name val="Times New Roman"/>
    </font>
    <font>
      <b/>
      <sz val="18"/>
      <name val="Times New Roman"/>
    </font>
    <font>
      <b/>
      <sz val="8"/>
      <name val="Times New Roman"/>
    </font>
    <font>
      <sz val="10"/>
      <color theme="1"/>
      <name val="Calibri"/>
      <scheme val="minor"/>
    </font>
    <font>
      <b/>
      <u/>
      <sz val="11"/>
      <name val="Times New Roman"/>
    </font>
    <font>
      <sz val="8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b/>
      <u/>
      <sz val="10"/>
      <name val="Times New Roman"/>
    </font>
    <font>
      <b/>
      <u/>
      <sz val="18"/>
      <name val="Times New Roman"/>
    </font>
    <font>
      <b/>
      <i/>
      <sz val="14"/>
      <name val="Times New Roman"/>
    </font>
    <font>
      <sz val="1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9"/>
      <name val="Times New Roman"/>
    </font>
    <font>
      <b/>
      <sz val="14"/>
      <color theme="1"/>
      <name val="Times New Roman"/>
    </font>
    <font>
      <sz val="12"/>
      <color theme="1"/>
      <name val="Times New Roman"/>
    </font>
    <font>
      <sz val="14"/>
      <color theme="1"/>
      <name val="Times New Roman"/>
    </font>
    <font>
      <b/>
      <i/>
      <u/>
      <sz val="12"/>
      <color theme="1"/>
      <name val="Times New Roman"/>
    </font>
    <font>
      <b/>
      <sz val="12"/>
      <color theme="1"/>
      <name val="Times New Roman"/>
    </font>
    <font>
      <b/>
      <i/>
      <sz val="14"/>
      <color theme="1"/>
      <name val="Times New Roman"/>
    </font>
    <font>
      <sz val="12"/>
      <name val="Times New Roman"/>
    </font>
    <font>
      <b/>
      <sz val="14"/>
      <name val="Times New Roman"/>
    </font>
    <font>
      <i/>
      <sz val="14"/>
      <color theme="1"/>
      <name val="Times New Roman"/>
    </font>
    <font>
      <b/>
      <i/>
      <sz val="13"/>
      <color theme="1"/>
      <name val="Times New Roman"/>
    </font>
    <font>
      <b/>
      <i/>
      <sz val="12"/>
      <color theme="1"/>
      <name val="Times New Roman"/>
    </font>
    <font>
      <b/>
      <sz val="13"/>
      <color rgb="FF000000"/>
      <name val="Times New Roman"/>
    </font>
    <font>
      <b/>
      <sz val="7"/>
      <name val="Times New Roman"/>
    </font>
    <font>
      <b/>
      <u/>
      <sz val="9"/>
      <name val="Times New Roman"/>
    </font>
    <font>
      <b/>
      <i/>
      <u/>
      <sz val="11"/>
      <name val="Times New Roman"/>
    </font>
    <font>
      <b/>
      <i/>
      <sz val="11"/>
      <name val="Times New Roman"/>
    </font>
    <font>
      <b/>
      <i/>
      <sz val="12"/>
      <name val="Times New Roman"/>
    </font>
    <font>
      <sz val="7"/>
      <color theme="1"/>
      <name val="Times New Roman"/>
    </font>
    <font>
      <sz val="10"/>
      <color rgb="FF7030A0"/>
      <name val="Times New Roman"/>
    </font>
    <font>
      <b/>
      <sz val="16"/>
      <color rgb="FF7030A0"/>
      <name val="Times New Roman"/>
    </font>
    <font>
      <b/>
      <sz val="11"/>
      <color theme="1"/>
      <name val="Times New Roman"/>
    </font>
    <font>
      <b/>
      <sz val="11"/>
      <color rgb="FF7030A0"/>
      <name val="Times New Roman"/>
    </font>
    <font>
      <b/>
      <u/>
      <sz val="10"/>
      <color rgb="FF7030A0"/>
      <name val="Times New Roman"/>
    </font>
    <font>
      <sz val="10"/>
      <color rgb="FFC00000"/>
      <name val="Times New Roman"/>
    </font>
    <font>
      <sz val="14"/>
      <name val="Times New Roman"/>
    </font>
    <font>
      <b/>
      <sz val="14"/>
      <color rgb="FF000000"/>
      <name val="Times New Roman"/>
    </font>
    <font>
      <sz val="14"/>
      <color rgb="FF000000"/>
      <name val="Times New Roman"/>
    </font>
    <font>
      <b/>
      <i/>
      <u/>
      <sz val="14"/>
      <color rgb="FF000000"/>
      <name val="Times New Roman"/>
    </font>
    <font>
      <sz val="12"/>
      <color rgb="FF000000"/>
      <name val="Times New Roman"/>
    </font>
    <font>
      <b/>
      <i/>
      <sz val="9"/>
      <color rgb="FF000000"/>
      <name val="Times New Roman"/>
    </font>
    <font>
      <b/>
      <i/>
      <sz val="9"/>
      <name val="Times New Roman"/>
    </font>
    <font>
      <sz val="11"/>
      <name val="Arial"/>
    </font>
    <font>
      <sz val="10"/>
      <name val="Arial"/>
    </font>
    <font>
      <sz val="9"/>
      <name val="Arial"/>
    </font>
    <font>
      <sz val="12"/>
      <name val="Arial"/>
    </font>
    <font>
      <b/>
      <i/>
      <sz val="14"/>
      <color rgb="FF000000"/>
      <name val="Times New Roman"/>
    </font>
    <font>
      <b/>
      <i/>
      <sz val="11"/>
      <color theme="1"/>
      <name val="Calibri"/>
      <scheme val="minor"/>
    </font>
    <font>
      <b/>
      <i/>
      <sz val="11"/>
      <color rgb="FF002060"/>
      <name val="Times New Roman"/>
    </font>
    <font>
      <b/>
      <i/>
      <sz val="11"/>
      <color rgb="FF000000"/>
      <name val="Times New Roman"/>
    </font>
    <font>
      <b/>
      <i/>
      <sz val="11"/>
      <color theme="1"/>
      <name val="Times New Roman"/>
    </font>
    <font>
      <b/>
      <i/>
      <sz val="12"/>
      <color rgb="FF000000"/>
      <name val="Times New Roman"/>
    </font>
    <font>
      <b/>
      <sz val="12"/>
      <color rgb="FF000000"/>
      <name val="Times New Roman"/>
    </font>
    <font>
      <b/>
      <i/>
      <sz val="10"/>
      <color rgb="FF000000"/>
      <name val="Times New Roman"/>
    </font>
    <font>
      <b/>
      <sz val="12"/>
      <color rgb="FFFF0000"/>
      <name val="Times New Roman"/>
    </font>
    <font>
      <b/>
      <sz val="11"/>
      <color rgb="FFFF0000"/>
      <name val="Times New Roman"/>
    </font>
    <font>
      <sz val="6"/>
      <color rgb="FF000000"/>
      <name val="Times New Roman"/>
    </font>
    <font>
      <b/>
      <sz val="20"/>
      <color theme="1"/>
      <name val="Times New Roman"/>
    </font>
    <font>
      <b/>
      <u/>
      <sz val="12"/>
      <name val="Times New Roman"/>
    </font>
    <font>
      <b/>
      <sz val="8"/>
      <color theme="1"/>
      <name val="Times New Roman"/>
    </font>
    <font>
      <sz val="6"/>
      <color theme="1"/>
      <name val="Times New Roman"/>
    </font>
    <font>
      <i/>
      <sz val="10"/>
      <color rgb="FF000000"/>
      <name val="Times New Roman"/>
    </font>
    <font>
      <b/>
      <u/>
      <sz val="16"/>
      <color rgb="FF000000"/>
      <name val="Times New Roman"/>
    </font>
    <font>
      <b/>
      <u/>
      <sz val="14"/>
      <color rgb="FF000000"/>
      <name val="Times New Roman"/>
    </font>
    <font>
      <sz val="14"/>
      <color theme="1"/>
      <name val="Calibri"/>
      <scheme val="minor"/>
    </font>
    <font>
      <b/>
      <i/>
      <u/>
      <sz val="14"/>
      <color rgb="FFFF0000"/>
      <name val="Times New Roman"/>
    </font>
    <font>
      <b/>
      <sz val="26"/>
      <name val="Times New Roman"/>
    </font>
    <font>
      <sz val="12"/>
      <color theme="1"/>
      <name val="Calibri"/>
      <scheme val="minor"/>
    </font>
    <font>
      <i/>
      <sz val="9"/>
      <name val="Times New Roman"/>
    </font>
    <font>
      <sz val="9"/>
      <color theme="1"/>
      <name val="Calibri"/>
      <scheme val="minor"/>
    </font>
    <font>
      <i/>
      <sz val="10"/>
      <name val="Times New Roman"/>
    </font>
    <font>
      <sz val="7"/>
      <color rgb="FF000000"/>
      <name val="Times New Roman"/>
    </font>
    <font>
      <b/>
      <sz val="6"/>
      <color rgb="FF000000"/>
      <name val="Times New Roman"/>
    </font>
    <font>
      <b/>
      <sz val="14"/>
      <color theme="1"/>
      <name val="Calibri"/>
      <scheme val="minor"/>
    </font>
    <font>
      <b/>
      <sz val="20"/>
      <name val="Times New Roman"/>
    </font>
    <font>
      <b/>
      <sz val="11"/>
      <name val="Times New Roman"/>
    </font>
    <font>
      <b/>
      <sz val="10"/>
      <color theme="1"/>
      <name val="Times New Roman"/>
    </font>
    <font>
      <i/>
      <sz val="11"/>
      <color theme="1"/>
      <name val="Calibri"/>
      <scheme val="minor"/>
    </font>
    <font>
      <b/>
      <u/>
      <sz val="14"/>
      <name val="Times New Roman"/>
    </font>
    <font>
      <b/>
      <i/>
      <sz val="11"/>
      <color rgb="FFFF0000"/>
      <name val="Calibri"/>
      <scheme val="minor"/>
    </font>
    <font>
      <b/>
      <i/>
      <u/>
      <sz val="9"/>
      <name val="Times New Roman"/>
    </font>
    <font>
      <b/>
      <i/>
      <sz val="10"/>
      <color theme="1"/>
      <name val="Times New Roman"/>
    </font>
    <font>
      <i/>
      <sz val="10"/>
      <color theme="1"/>
      <name val="Times New Roman"/>
    </font>
    <font>
      <b/>
      <sz val="20"/>
      <color rgb="FF000000"/>
      <name val="Times New Roman"/>
    </font>
    <font>
      <b/>
      <sz val="11"/>
      <color rgb="FF000000"/>
      <name val="Times New Roman"/>
    </font>
    <font>
      <b/>
      <sz val="16"/>
      <color theme="1"/>
      <name val="Calibri"/>
      <scheme val="minor"/>
    </font>
    <font>
      <sz val="11"/>
      <color rgb="FF000000"/>
      <name val="Calibri"/>
    </font>
    <font>
      <b/>
      <i/>
      <sz val="36"/>
      <name val="Times New Roman"/>
    </font>
    <font>
      <sz val="16"/>
      <name val="Times New Roman"/>
    </font>
    <font>
      <b/>
      <sz val="28"/>
      <name val="Times New Roman"/>
    </font>
    <font>
      <b/>
      <i/>
      <sz val="16"/>
      <name val="Times New Roman"/>
    </font>
    <font>
      <b/>
      <i/>
      <sz val="18"/>
      <name val="Times New Roman"/>
    </font>
    <font>
      <sz val="16"/>
      <color rgb="FFFFFFFF"/>
      <name val="Times New Roman"/>
    </font>
    <font>
      <sz val="14"/>
      <name val="Times New Roman Cyr"/>
    </font>
    <font>
      <sz val="15"/>
      <name val="Times New Roman Cyr"/>
    </font>
    <font>
      <sz val="19"/>
      <name val="Times New Roman"/>
    </font>
    <font>
      <sz val="15"/>
      <name val="Times New Roman"/>
    </font>
    <font>
      <sz val="18"/>
      <name val="Times New Roman"/>
    </font>
    <font>
      <i/>
      <sz val="14"/>
      <name val="Times New Roman"/>
    </font>
    <font>
      <sz val="13"/>
      <name val="Times New Roman"/>
    </font>
    <font>
      <sz val="16"/>
      <name val="Times New Roman Cyr"/>
    </font>
    <font>
      <sz val="19"/>
      <name val="Times New Roman Cyr"/>
    </font>
    <font>
      <b/>
      <u/>
      <sz val="10"/>
      <color theme="1"/>
      <name val="Times New Roman"/>
    </font>
    <font>
      <b/>
      <sz val="10"/>
      <color rgb="FF0070C0"/>
      <name val="Times New Roman"/>
    </font>
    <font>
      <b/>
      <sz val="14"/>
      <color rgb="FFFF0000"/>
      <name val="Times New Roman"/>
    </font>
    <font>
      <b/>
      <i/>
      <u/>
      <sz val="14"/>
      <color rgb="FF002060"/>
      <name val="Times New Roman"/>
    </font>
    <font>
      <b/>
      <u/>
      <sz val="14"/>
      <color rgb="FFC00000"/>
      <name val="Times New Roman"/>
    </font>
    <font>
      <i/>
      <sz val="12"/>
      <color theme="1"/>
      <name val="Times New Roman"/>
    </font>
    <font>
      <b/>
      <u/>
      <sz val="11"/>
      <color theme="1"/>
      <name val="Times New Roman"/>
    </font>
    <font>
      <b/>
      <i/>
      <sz val="9"/>
      <color theme="1"/>
      <name val="Times New Roman"/>
    </font>
    <font>
      <b/>
      <i/>
      <sz val="7"/>
      <color theme="1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rgb="FF92D050"/>
      </patternFill>
    </fill>
    <fill>
      <patternFill patternType="solid">
        <fgColor theme="7" tint="-0.249977111117893"/>
        <bgColor indexed="65"/>
      </patternFill>
    </fill>
    <fill>
      <patternFill patternType="solid">
        <fgColor rgb="FFFFFFFF"/>
      </patternFill>
    </fill>
    <fill>
      <patternFill patternType="solid">
        <fgColor rgb="FFFFFF00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  <fill>
      <patternFill patternType="solid">
        <fgColor theme="3" tint="0.59999389629810485"/>
        <bgColor indexed="65"/>
      </patternFill>
    </fill>
  </fills>
  <borders count="480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dotted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 applyFill="0" applyBorder="0"/>
  </cellStyleXfs>
  <cellXfs count="5903">
    <xf numFmtId="0" fontId="1" fillId="0" borderId="0" xfId="0" applyNumberFormat="1" applyFont="1"/>
    <xf numFmtId="0" fontId="2" fillId="0" borderId="0" xfId="0" applyNumberFormat="1" applyFont="1"/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0" fontId="6" fillId="0" borderId="0" xfId="0" applyNumberFormat="1" applyFont="1" applyAlignment="1">
      <alignment horizontal="left" vertical="center"/>
    </xf>
    <xf numFmtId="0" fontId="9" fillId="0" borderId="0" xfId="0" applyNumberFormat="1" applyFont="1" applyAlignment="1">
      <alignment vertical="center" wrapText="1"/>
    </xf>
    <xf numFmtId="0" fontId="10" fillId="0" borderId="0" xfId="0" applyNumberFormat="1" applyFont="1" applyAlignment="1">
      <alignment horizontal="left" vertical="center"/>
    </xf>
    <xf numFmtId="0" fontId="10" fillId="0" borderId="0" xfId="0" applyNumberFormat="1" applyFont="1" applyAlignment="1">
      <alignment vertical="center"/>
    </xf>
    <xf numFmtId="0" fontId="10" fillId="0" borderId="0" xfId="0" applyNumberFormat="1" applyFont="1" applyAlignment="1">
      <alignment horizontal="center" vertical="center"/>
    </xf>
    <xf numFmtId="0" fontId="11" fillId="0" borderId="0" xfId="0" applyNumberFormat="1" applyFont="1"/>
    <xf numFmtId="0" fontId="10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vertical="center"/>
    </xf>
    <xf numFmtId="0" fontId="12" fillId="0" borderId="0" xfId="0" applyNumberFormat="1" applyFont="1" applyAlignment="1">
      <alignment horizontal="center" vertical="center"/>
    </xf>
    <xf numFmtId="0" fontId="13" fillId="0" borderId="0" xfId="0" applyNumberFormat="1" applyFont="1" applyAlignment="1">
      <alignment horizontal="right" vertical="center"/>
    </xf>
    <xf numFmtId="0" fontId="13" fillId="0" borderId="0" xfId="0" applyNumberFormat="1" applyFont="1" applyAlignment="1">
      <alignment vertical="center"/>
    </xf>
    <xf numFmtId="0" fontId="13" fillId="0" borderId="0" xfId="0" applyNumberFormat="1" applyFont="1" applyAlignment="1">
      <alignment horizontal="left" vertical="center"/>
    </xf>
    <xf numFmtId="0" fontId="13" fillId="0" borderId="0" xfId="0" applyNumberFormat="1" applyFont="1" applyAlignment="1">
      <alignment horizontal="center" vertical="center"/>
    </xf>
    <xf numFmtId="0" fontId="16" fillId="0" borderId="12" xfId="0" applyNumberFormat="1" applyFont="1" applyBorder="1" applyAlignment="1">
      <alignment vertical="center" textRotation="90"/>
    </xf>
    <xf numFmtId="2" fontId="16" fillId="0" borderId="18" xfId="0" applyNumberFormat="1" applyFont="1" applyBorder="1" applyAlignment="1">
      <alignment horizontal="center" vertical="center" wrapText="1"/>
    </xf>
    <xf numFmtId="0" fontId="17" fillId="0" borderId="0" xfId="0" applyNumberFormat="1" applyFont="1" applyAlignment="1">
      <alignment vertical="center"/>
    </xf>
    <xf numFmtId="0" fontId="17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right" vertical="center"/>
    </xf>
    <xf numFmtId="0" fontId="16" fillId="0" borderId="0" xfId="0" applyNumberFormat="1" applyFont="1" applyAlignment="1">
      <alignment horizontal="left" vertical="center"/>
    </xf>
    <xf numFmtId="0" fontId="5" fillId="2" borderId="0" xfId="0" applyNumberFormat="1" applyFont="1" applyFill="1" applyAlignment="1">
      <alignment vertical="center"/>
    </xf>
    <xf numFmtId="0" fontId="5" fillId="0" borderId="0" xfId="0" applyNumberFormat="1" applyFont="1" applyAlignment="1">
      <alignment horizontal="left" vertical="center" indent="1"/>
    </xf>
    <xf numFmtId="0" fontId="18" fillId="0" borderId="0" xfId="0" applyNumberFormat="1" applyFont="1" applyAlignment="1">
      <alignment horizontal="center" vertical="center"/>
    </xf>
    <xf numFmtId="0" fontId="5" fillId="2" borderId="0" xfId="0" applyNumberFormat="1" applyFont="1" applyFill="1"/>
    <xf numFmtId="0" fontId="2" fillId="2" borderId="0" xfId="0" applyNumberFormat="1" applyFont="1" applyFill="1"/>
    <xf numFmtId="2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5" fillId="2" borderId="0" xfId="0" applyNumberFormat="1" applyFont="1" applyFill="1" applyAlignment="1">
      <alignment horizontal="left" vertical="center"/>
    </xf>
    <xf numFmtId="0" fontId="19" fillId="0" borderId="0" xfId="0" applyNumberFormat="1" applyFont="1" applyAlignment="1">
      <alignment vertical="center"/>
    </xf>
    <xf numFmtId="0" fontId="20" fillId="0" borderId="0" xfId="0" applyNumberFormat="1" applyFont="1"/>
    <xf numFmtId="0" fontId="20" fillId="2" borderId="0" xfId="0" applyNumberFormat="1" applyFont="1" applyFill="1"/>
    <xf numFmtId="0" fontId="19" fillId="0" borderId="0" xfId="0" applyNumberFormat="1" applyFont="1" applyAlignment="1">
      <alignment horizontal="center" vertical="center"/>
    </xf>
    <xf numFmtId="0" fontId="21" fillId="0" borderId="0" xfId="0" applyNumberFormat="1" applyFont="1" applyAlignment="1">
      <alignment horizontal="left" vertical="center"/>
    </xf>
    <xf numFmtId="2" fontId="5" fillId="0" borderId="0" xfId="0" applyNumberFormat="1" applyFont="1" applyAlignment="1">
      <alignment vertical="center"/>
    </xf>
    <xf numFmtId="0" fontId="22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0" fontId="24" fillId="0" borderId="21" xfId="0" applyNumberFormat="1" applyFont="1" applyBorder="1" applyAlignment="1">
      <alignment horizontal="center" vertical="center" textRotation="90"/>
    </xf>
    <xf numFmtId="2" fontId="24" fillId="0" borderId="15" xfId="0" applyNumberFormat="1" applyFont="1" applyBorder="1" applyAlignment="1">
      <alignment horizontal="center" vertical="center"/>
    </xf>
    <xf numFmtId="170" fontId="13" fillId="0" borderId="0" xfId="0" applyNumberFormat="1" applyFont="1" applyAlignment="1">
      <alignment horizontal="right" vertical="center"/>
    </xf>
    <xf numFmtId="0" fontId="2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vertical="center"/>
    </xf>
    <xf numFmtId="0" fontId="25" fillId="0" borderId="0" xfId="0" applyNumberFormat="1" applyFont="1"/>
    <xf numFmtId="0" fontId="26" fillId="0" borderId="0" xfId="0" applyNumberFormat="1" applyFont="1" applyAlignment="1">
      <alignment vertical="center"/>
    </xf>
    <xf numFmtId="1" fontId="13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70" fontId="27" fillId="0" borderId="0" xfId="0" applyNumberFormat="1" applyFont="1" applyAlignment="1">
      <alignment horizontal="center" vertical="center"/>
    </xf>
    <xf numFmtId="170" fontId="21" fillId="0" borderId="0" xfId="0" applyNumberFormat="1" applyFont="1" applyAlignment="1">
      <alignment vertical="center"/>
    </xf>
    <xf numFmtId="1" fontId="21" fillId="0" borderId="0" xfId="0" applyNumberFormat="1" applyFont="1" applyAlignment="1">
      <alignment horizontal="center" vertical="center"/>
    </xf>
    <xf numFmtId="170" fontId="21" fillId="0" borderId="0" xfId="0" applyNumberFormat="1" applyFont="1" applyAlignment="1">
      <alignment horizontal="center" vertical="center"/>
    </xf>
    <xf numFmtId="0" fontId="28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0" fontId="29" fillId="0" borderId="0" xfId="0" applyNumberFormat="1" applyFont="1"/>
    <xf numFmtId="0" fontId="30" fillId="0" borderId="0" xfId="0" applyNumberFormat="1" applyFont="1" applyAlignment="1">
      <alignment vertical="center"/>
    </xf>
    <xf numFmtId="0" fontId="31" fillId="0" borderId="0" xfId="0" applyNumberFormat="1" applyFont="1" applyAlignment="1">
      <alignment vertical="center"/>
    </xf>
    <xf numFmtId="0" fontId="32" fillId="0" borderId="0" xfId="0" applyNumberFormat="1" applyFont="1" applyAlignment="1">
      <alignment horizontal="center" vertical="center"/>
    </xf>
    <xf numFmtId="167" fontId="33" fillId="0" borderId="0" xfId="0" applyNumberFormat="1" applyFont="1" applyAlignment="1">
      <alignment horizontal="center" vertical="center"/>
    </xf>
    <xf numFmtId="0" fontId="33" fillId="0" borderId="0" xfId="0" applyNumberFormat="1" applyFont="1" applyAlignment="1">
      <alignment horizontal="left" vertical="center" wrapText="1"/>
    </xf>
    <xf numFmtId="0" fontId="33" fillId="0" borderId="0" xfId="0" applyNumberFormat="1" applyFont="1" applyAlignment="1">
      <alignment horizontal="left" vertical="center"/>
    </xf>
    <xf numFmtId="14" fontId="34" fillId="0" borderId="0" xfId="0" applyNumberFormat="1" applyFont="1" applyAlignment="1">
      <alignment horizontal="left" vertical="center"/>
    </xf>
    <xf numFmtId="0" fontId="34" fillId="0" borderId="0" xfId="0" applyNumberFormat="1" applyFont="1" applyAlignment="1">
      <alignment horizontal="left" vertical="center"/>
    </xf>
    <xf numFmtId="170" fontId="34" fillId="0" borderId="0" xfId="0" applyNumberFormat="1" applyFont="1" applyAlignment="1">
      <alignment horizontal="left" vertical="center"/>
    </xf>
    <xf numFmtId="170" fontId="33" fillId="0" borderId="0" xfId="0" applyNumberFormat="1" applyFont="1" applyAlignment="1">
      <alignment horizontal="center" vertical="center"/>
    </xf>
    <xf numFmtId="1" fontId="34" fillId="0" borderId="0" xfId="0" applyNumberFormat="1" applyFont="1" applyAlignment="1">
      <alignment horizontal="center" vertical="center"/>
    </xf>
    <xf numFmtId="0" fontId="34" fillId="0" borderId="0" xfId="0" applyNumberFormat="1" applyFont="1"/>
    <xf numFmtId="14" fontId="33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28" fillId="0" borderId="0" xfId="0" applyNumberFormat="1" applyFont="1" applyAlignment="1">
      <alignment horizontal="left" vertical="center"/>
    </xf>
    <xf numFmtId="14" fontId="28" fillId="0" borderId="0" xfId="0" applyNumberFormat="1" applyFont="1" applyAlignment="1">
      <alignment horizontal="left" vertical="center"/>
    </xf>
    <xf numFmtId="170" fontId="28" fillId="0" borderId="0" xfId="0" applyNumberFormat="1" applyFont="1" applyAlignment="1">
      <alignment horizontal="left" vertical="center"/>
    </xf>
    <xf numFmtId="0" fontId="33" fillId="0" borderId="0" xfId="0" applyNumberFormat="1" applyFont="1" applyAlignment="1">
      <alignment horizontal="center"/>
    </xf>
    <xf numFmtId="164" fontId="35" fillId="0" borderId="0" xfId="0" applyNumberFormat="1" applyFont="1" applyAlignment="1">
      <alignment horizontal="center" vertical="center"/>
    </xf>
    <xf numFmtId="167" fontId="33" fillId="0" borderId="0" xfId="0" applyNumberFormat="1" applyFont="1" applyAlignment="1">
      <alignment horizontal="left" vertical="center"/>
    </xf>
    <xf numFmtId="0" fontId="34" fillId="0" borderId="0" xfId="0" applyNumberFormat="1" applyFont="1" applyAlignment="1">
      <alignment horizontal="left"/>
    </xf>
    <xf numFmtId="1" fontId="34" fillId="0" borderId="0" xfId="0" applyNumberFormat="1" applyFont="1" applyAlignment="1">
      <alignment horizontal="left" vertical="center"/>
    </xf>
    <xf numFmtId="164" fontId="35" fillId="0" borderId="0" xfId="0" applyNumberFormat="1" applyFont="1" applyAlignment="1">
      <alignment horizontal="left" vertical="center"/>
    </xf>
    <xf numFmtId="0" fontId="35" fillId="0" borderId="0" xfId="0" applyNumberFormat="1" applyFont="1" applyAlignment="1">
      <alignment horizontal="left"/>
    </xf>
    <xf numFmtId="0" fontId="36" fillId="0" borderId="0" xfId="0" applyNumberFormat="1" applyFont="1" applyAlignment="1">
      <alignment horizontal="center" vertical="center"/>
    </xf>
    <xf numFmtId="0" fontId="35" fillId="0" borderId="0" xfId="0" applyNumberFormat="1" applyFont="1" applyAlignment="1">
      <alignment horizontal="left" vertical="center"/>
    </xf>
    <xf numFmtId="0" fontId="29" fillId="0" borderId="0" xfId="0" applyNumberFormat="1" applyFont="1" applyAlignment="1">
      <alignment vertical="center"/>
    </xf>
    <xf numFmtId="0" fontId="22" fillId="0" borderId="0" xfId="0" applyNumberFormat="1" applyFont="1" applyAlignment="1">
      <alignment vertical="center"/>
    </xf>
    <xf numFmtId="1" fontId="29" fillId="0" borderId="0" xfId="0" applyNumberFormat="1" applyFont="1" applyAlignment="1">
      <alignment horizontal="center" vertical="center"/>
    </xf>
    <xf numFmtId="0" fontId="29" fillId="0" borderId="0" xfId="0" applyNumberFormat="1" applyFont="1" applyAlignment="1">
      <alignment horizontal="left" vertical="center"/>
    </xf>
    <xf numFmtId="0" fontId="29" fillId="0" borderId="0" xfId="0" applyNumberFormat="1" applyFont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0" fontId="28" fillId="0" borderId="0" xfId="0" applyNumberFormat="1" applyFont="1" applyAlignment="1">
      <alignment vertical="center"/>
    </xf>
    <xf numFmtId="2" fontId="34" fillId="0" borderId="0" xfId="0" applyNumberFormat="1" applyFont="1" applyAlignment="1">
      <alignment horizontal="left"/>
    </xf>
    <xf numFmtId="0" fontId="36" fillId="0" borderId="0" xfId="0" applyNumberFormat="1" applyFont="1" applyAlignment="1">
      <alignment horizontal="left" vertical="center" wrapText="1"/>
    </xf>
    <xf numFmtId="0" fontId="36" fillId="0" borderId="0" xfId="0" applyNumberFormat="1" applyFont="1" applyAlignment="1">
      <alignment horizontal="left" vertical="center"/>
    </xf>
    <xf numFmtId="0" fontId="22" fillId="0" borderId="0" xfId="0" applyNumberFormat="1" applyFont="1" applyAlignment="1">
      <alignment horizontal="center" vertical="center"/>
    </xf>
    <xf numFmtId="170" fontId="29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wrapText="1"/>
    </xf>
    <xf numFmtId="1" fontId="5" fillId="0" borderId="0" xfId="0" applyNumberFormat="1" applyFont="1" applyAlignment="1">
      <alignment horizontal="left" vertical="top"/>
    </xf>
    <xf numFmtId="1" fontId="22" fillId="0" borderId="0" xfId="0" applyNumberFormat="1" applyFont="1" applyAlignment="1">
      <alignment horizontal="left" vertical="center"/>
    </xf>
    <xf numFmtId="1" fontId="29" fillId="0" borderId="0" xfId="0" applyNumberFormat="1" applyFont="1" applyAlignment="1">
      <alignment horizontal="left" vertical="top" wrapText="1"/>
    </xf>
    <xf numFmtId="1" fontId="29" fillId="0" borderId="0" xfId="0" applyNumberFormat="1" applyFont="1" applyAlignment="1">
      <alignment horizontal="left" vertical="top"/>
    </xf>
    <xf numFmtId="0" fontId="35" fillId="0" borderId="0" xfId="0" applyNumberFormat="1" applyFont="1" applyAlignment="1">
      <alignment vertical="center"/>
    </xf>
    <xf numFmtId="0" fontId="34" fillId="0" borderId="0" xfId="0" applyNumberFormat="1" applyFont="1" applyAlignment="1">
      <alignment horizontal="center" vertical="center"/>
    </xf>
    <xf numFmtId="167" fontId="30" fillId="0" borderId="0" xfId="0" applyNumberFormat="1" applyFont="1" applyAlignment="1">
      <alignment horizontal="right" vertical="center"/>
    </xf>
    <xf numFmtId="0" fontId="30" fillId="0" borderId="0" xfId="0" applyNumberFormat="1" applyFont="1" applyAlignment="1">
      <alignment horizontal="center" vertical="center"/>
    </xf>
    <xf numFmtId="0" fontId="29" fillId="0" borderId="0" xfId="0" applyNumberFormat="1" applyFont="1" applyAlignment="1">
      <alignment horizontal="left"/>
    </xf>
    <xf numFmtId="1" fontId="29" fillId="0" borderId="0" xfId="0" applyNumberFormat="1" applyFont="1" applyAlignment="1">
      <alignment horizontal="left"/>
    </xf>
    <xf numFmtId="1" fontId="29" fillId="0" borderId="0" xfId="0" applyNumberFormat="1" applyFont="1"/>
    <xf numFmtId="0" fontId="1" fillId="0" borderId="0" xfId="0" applyNumberFormat="1" applyFont="1" applyAlignment="1">
      <alignment horizontal="left"/>
    </xf>
    <xf numFmtId="2" fontId="28" fillId="0" borderId="0" xfId="0" applyNumberFormat="1" applyFont="1" applyAlignment="1">
      <alignment horizontal="center" vertical="top" wrapText="1"/>
    </xf>
    <xf numFmtId="170" fontId="22" fillId="0" borderId="0" xfId="0" applyNumberFormat="1" applyFont="1" applyAlignment="1">
      <alignment vertical="center"/>
    </xf>
    <xf numFmtId="0" fontId="37" fillId="0" borderId="0" xfId="0" applyNumberFormat="1" applyFont="1" applyAlignment="1">
      <alignment horizontal="left"/>
    </xf>
    <xf numFmtId="0" fontId="38" fillId="0" borderId="0" xfId="0" applyNumberFormat="1" applyFont="1" applyAlignment="1">
      <alignment horizontal="left"/>
    </xf>
    <xf numFmtId="0" fontId="38" fillId="0" borderId="0" xfId="0" applyNumberFormat="1" applyFont="1"/>
    <xf numFmtId="0" fontId="34" fillId="0" borderId="0" xfId="0" applyNumberFormat="1" applyFont="1" applyAlignment="1">
      <alignment horizontal="right"/>
    </xf>
    <xf numFmtId="0" fontId="38" fillId="0" borderId="0" xfId="0" applyNumberFormat="1" applyFont="1" applyAlignment="1">
      <alignment horizontal="right"/>
    </xf>
    <xf numFmtId="0" fontId="37" fillId="0" borderId="0" xfId="0" applyNumberFormat="1" applyFont="1" applyAlignment="1">
      <alignment horizontal="center"/>
    </xf>
    <xf numFmtId="0" fontId="34" fillId="0" borderId="0" xfId="0" applyNumberFormat="1" applyFont="1" applyAlignment="1">
      <alignment vertical="center"/>
    </xf>
    <xf numFmtId="0" fontId="38" fillId="0" borderId="70" xfId="0" applyNumberFormat="1" applyFont="1" applyBorder="1"/>
    <xf numFmtId="2" fontId="41" fillId="0" borderId="1" xfId="0" applyNumberFormat="1" applyFont="1" applyBorder="1"/>
    <xf numFmtId="2" fontId="40" fillId="0" borderId="1" xfId="0" applyNumberFormat="1" applyFont="1" applyBorder="1"/>
    <xf numFmtId="0" fontId="42" fillId="0" borderId="0" xfId="0" applyNumberFormat="1" applyFont="1" applyAlignment="1">
      <alignment horizontal="center"/>
    </xf>
    <xf numFmtId="0" fontId="42" fillId="0" borderId="0" xfId="0" applyNumberFormat="1" applyFont="1" applyAlignment="1">
      <alignment horizontal="left"/>
    </xf>
    <xf numFmtId="0" fontId="37" fillId="0" borderId="1" xfId="0" applyNumberFormat="1" applyFont="1" applyBorder="1"/>
    <xf numFmtId="0" fontId="42" fillId="0" borderId="70" xfId="0" applyNumberFormat="1" applyFont="1" applyBorder="1" applyAlignment="1">
      <alignment horizontal="center"/>
    </xf>
    <xf numFmtId="0" fontId="37" fillId="0" borderId="21" xfId="0" applyNumberFormat="1" applyFont="1" applyBorder="1"/>
    <xf numFmtId="0" fontId="38" fillId="0" borderId="21" xfId="0" applyNumberFormat="1" applyFont="1" applyBorder="1"/>
    <xf numFmtId="0" fontId="41" fillId="0" borderId="21" xfId="0" applyNumberFormat="1" applyFont="1" applyBorder="1"/>
    <xf numFmtId="0" fontId="43" fillId="0" borderId="0" xfId="0" applyNumberFormat="1" applyFont="1" applyAlignment="1">
      <alignment horizontal="left" vertical="center"/>
    </xf>
    <xf numFmtId="0" fontId="41" fillId="0" borderId="0" xfId="0" applyNumberFormat="1" applyFont="1"/>
    <xf numFmtId="0" fontId="44" fillId="0" borderId="0" xfId="0" applyNumberFormat="1" applyFont="1" applyAlignment="1">
      <alignment horizontal="left" vertical="center" indent="2"/>
    </xf>
    <xf numFmtId="0" fontId="43" fillId="0" borderId="0" xfId="0" applyNumberFormat="1" applyFont="1" applyAlignment="1">
      <alignment horizontal="left" vertical="center" indent="2"/>
    </xf>
    <xf numFmtId="0" fontId="45" fillId="0" borderId="18" xfId="0" applyNumberFormat="1" applyFont="1" applyBorder="1" applyAlignment="1">
      <alignment horizontal="center"/>
    </xf>
    <xf numFmtId="0" fontId="38" fillId="0" borderId="18" xfId="0" applyNumberFormat="1" applyFont="1" applyBorder="1" applyAlignment="1">
      <alignment horizontal="right"/>
    </xf>
    <xf numFmtId="0" fontId="42" fillId="0" borderId="18" xfId="0" applyNumberFormat="1" applyFont="1" applyBorder="1" applyAlignment="1">
      <alignment horizontal="center"/>
    </xf>
    <xf numFmtId="0" fontId="38" fillId="0" borderId="0" xfId="0" applyNumberFormat="1" applyFont="1" applyAlignment="1">
      <alignment horizontal="center"/>
    </xf>
    <xf numFmtId="0" fontId="38" fillId="0" borderId="0" xfId="0" applyNumberFormat="1" applyFont="1" applyAlignment="1">
      <alignment horizontal="left" vertical="top"/>
    </xf>
    <xf numFmtId="0" fontId="38" fillId="0" borderId="18" xfId="0" applyNumberFormat="1" applyFont="1" applyBorder="1" applyAlignment="1">
      <alignment horizontal="center" vertical="center" textRotation="90"/>
    </xf>
    <xf numFmtId="0" fontId="38" fillId="0" borderId="190" xfId="0" applyNumberFormat="1" applyFont="1" applyBorder="1" applyAlignment="1">
      <alignment horizontal="center"/>
    </xf>
    <xf numFmtId="0" fontId="42" fillId="0" borderId="191" xfId="0" applyNumberFormat="1" applyFont="1" applyBorder="1" applyAlignment="1">
      <alignment horizontal="left" indent="1"/>
    </xf>
    <xf numFmtId="0" fontId="39" fillId="0" borderId="71" xfId="0" applyNumberFormat="1" applyFont="1" applyBorder="1"/>
    <xf numFmtId="0" fontId="38" fillId="0" borderId="71" xfId="0" applyNumberFormat="1" applyFont="1" applyBorder="1"/>
    <xf numFmtId="0" fontId="38" fillId="0" borderId="192" xfId="0" applyNumberFormat="1" applyFont="1" applyBorder="1"/>
    <xf numFmtId="0" fontId="38" fillId="0" borderId="195" xfId="0" applyNumberFormat="1" applyFont="1" applyBorder="1" applyAlignment="1">
      <alignment horizontal="center"/>
    </xf>
    <xf numFmtId="0" fontId="42" fillId="0" borderId="196" xfId="0" applyNumberFormat="1" applyFont="1" applyBorder="1" applyAlignment="1">
      <alignment horizontal="left" indent="1"/>
    </xf>
    <xf numFmtId="0" fontId="39" fillId="0" borderId="0" xfId="0" applyNumberFormat="1" applyFont="1"/>
    <xf numFmtId="0" fontId="38" fillId="0" borderId="197" xfId="0" applyNumberFormat="1" applyFont="1" applyBorder="1"/>
    <xf numFmtId="0" fontId="38" fillId="0" borderId="216" xfId="0" applyNumberFormat="1" applyFont="1" applyBorder="1" applyAlignment="1">
      <alignment horizontal="center"/>
    </xf>
    <xf numFmtId="0" fontId="42" fillId="0" borderId="217" xfId="0" applyNumberFormat="1" applyFont="1" applyBorder="1" applyAlignment="1">
      <alignment horizontal="left" indent="1"/>
    </xf>
    <xf numFmtId="0" fontId="39" fillId="0" borderId="1" xfId="0" applyNumberFormat="1" applyFont="1" applyBorder="1"/>
    <xf numFmtId="0" fontId="38" fillId="0" borderId="193" xfId="0" applyNumberFormat="1" applyFont="1" applyBorder="1"/>
    <xf numFmtId="0" fontId="46" fillId="0" borderId="1" xfId="0" applyNumberFormat="1" applyFont="1" applyBorder="1" applyAlignment="1">
      <alignment horizontal="left"/>
    </xf>
    <xf numFmtId="0" fontId="38" fillId="0" borderId="0" xfId="0" applyNumberFormat="1" applyFont="1" applyAlignment="1">
      <alignment vertical="center" wrapText="1"/>
    </xf>
    <xf numFmtId="0" fontId="38" fillId="0" borderId="18" xfId="0" applyNumberFormat="1" applyFont="1" applyBorder="1" applyAlignment="1">
      <alignment vertical="center" wrapText="1"/>
    </xf>
    <xf numFmtId="0" fontId="38" fillId="0" borderId="0" xfId="0" applyNumberFormat="1" applyFont="1" applyAlignment="1">
      <alignment wrapText="1"/>
    </xf>
    <xf numFmtId="0" fontId="47" fillId="0" borderId="70" xfId="0" applyNumberFormat="1" applyFont="1" applyBorder="1" applyAlignment="1">
      <alignment horizontal="center"/>
    </xf>
    <xf numFmtId="0" fontId="47" fillId="0" borderId="0" xfId="0" applyNumberFormat="1" applyFont="1"/>
    <xf numFmtId="0" fontId="41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vertical="center"/>
    </xf>
    <xf numFmtId="170" fontId="13" fillId="0" borderId="0" xfId="0" applyNumberFormat="1" applyFont="1" applyAlignment="1">
      <alignment vertical="center"/>
    </xf>
    <xf numFmtId="170" fontId="13" fillId="0" borderId="0" xfId="0" applyNumberFormat="1" applyFont="1" applyAlignment="1">
      <alignment horizontal="center" vertical="center"/>
    </xf>
    <xf numFmtId="0" fontId="48" fillId="0" borderId="0" xfId="0" applyNumberFormat="1" applyFont="1" applyAlignment="1">
      <alignment vertical="center"/>
    </xf>
    <xf numFmtId="0" fontId="48" fillId="0" borderId="0" xfId="0" applyNumberFormat="1" applyFont="1" applyAlignment="1">
      <alignment vertical="center" wrapText="1"/>
    </xf>
    <xf numFmtId="2" fontId="13" fillId="0" borderId="0" xfId="0" applyNumberFormat="1" applyFont="1" applyAlignment="1">
      <alignment horizontal="right" vertical="center"/>
    </xf>
    <xf numFmtId="0" fontId="15" fillId="0" borderId="70" xfId="0" applyNumberFormat="1" applyFont="1" applyBorder="1" applyAlignment="1">
      <alignment vertical="center"/>
    </xf>
    <xf numFmtId="170" fontId="5" fillId="0" borderId="0" xfId="0" applyNumberFormat="1" applyFont="1" applyAlignment="1">
      <alignment vertical="center"/>
    </xf>
    <xf numFmtId="0" fontId="18" fillId="0" borderId="15" xfId="0" applyNumberFormat="1" applyFont="1" applyBorder="1" applyAlignment="1">
      <alignment horizontal="center" vertical="center" wrapText="1"/>
    </xf>
    <xf numFmtId="0" fontId="50" fillId="0" borderId="0" xfId="0" applyNumberFormat="1" applyFont="1" applyAlignment="1">
      <alignment horizontal="right" vertical="center"/>
    </xf>
    <xf numFmtId="0" fontId="50" fillId="0" borderId="0" xfId="0" applyNumberFormat="1" applyFont="1" applyAlignment="1">
      <alignment horizontal="center" vertical="center"/>
    </xf>
    <xf numFmtId="0" fontId="50" fillId="0" borderId="0" xfId="0" applyNumberFormat="1" applyFont="1" applyAlignment="1">
      <alignment vertical="center"/>
    </xf>
    <xf numFmtId="170" fontId="50" fillId="0" borderId="0" xfId="0" applyNumberFormat="1" applyFont="1" applyAlignment="1">
      <alignment horizontal="right" vertical="center"/>
    </xf>
    <xf numFmtId="2" fontId="36" fillId="0" borderId="0" xfId="0" applyNumberFormat="1" applyFont="1" applyAlignment="1">
      <alignment horizontal="right" vertical="center"/>
    </xf>
    <xf numFmtId="168" fontId="50" fillId="0" borderId="0" xfId="0" applyNumberFormat="1" applyFont="1" applyAlignment="1">
      <alignment horizontal="right" vertical="center"/>
    </xf>
    <xf numFmtId="0" fontId="36" fillId="0" borderId="0" xfId="0" applyNumberFormat="1" applyFont="1" applyAlignment="1">
      <alignment horizontal="right" vertical="center"/>
    </xf>
    <xf numFmtId="0" fontId="51" fillId="0" borderId="0" xfId="0" applyNumberFormat="1" applyFont="1" applyAlignment="1">
      <alignment horizontal="left" vertical="center"/>
    </xf>
    <xf numFmtId="0" fontId="33" fillId="0" borderId="0" xfId="0" applyNumberFormat="1" applyFont="1" applyAlignment="1">
      <alignment vertical="center"/>
    </xf>
    <xf numFmtId="0" fontId="36" fillId="0" borderId="0" xfId="0" applyNumberFormat="1" applyFont="1" applyAlignment="1">
      <alignment vertical="center"/>
    </xf>
    <xf numFmtId="170" fontId="36" fillId="0" borderId="0" xfId="0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1" fontId="36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51" fillId="0" borderId="0" xfId="0" applyNumberFormat="1" applyFont="1" applyAlignment="1">
      <alignment horizontal="right" vertical="center"/>
    </xf>
    <xf numFmtId="0" fontId="5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wrapText="1"/>
    </xf>
    <xf numFmtId="1" fontId="13" fillId="0" borderId="0" xfId="0" applyNumberFormat="1" applyFont="1" applyAlignment="1">
      <alignment horizontal="right" vertical="center"/>
    </xf>
    <xf numFmtId="0" fontId="28" fillId="0" borderId="0" xfId="0" applyNumberFormat="1" applyFont="1" applyAlignment="1">
      <alignment horizontal="center" vertical="top"/>
    </xf>
    <xf numFmtId="0" fontId="28" fillId="0" borderId="0" xfId="0" applyNumberFormat="1" applyFont="1" applyAlignment="1">
      <alignment vertical="top"/>
    </xf>
    <xf numFmtId="1" fontId="28" fillId="0" borderId="0" xfId="0" applyNumberFormat="1" applyFont="1" applyAlignment="1">
      <alignment horizontal="center" vertical="top"/>
    </xf>
    <xf numFmtId="170" fontId="27" fillId="0" borderId="0" xfId="0" applyNumberFormat="1" applyFont="1" applyAlignment="1">
      <alignment horizontal="center" vertical="top"/>
    </xf>
    <xf numFmtId="176" fontId="13" fillId="0" borderId="0" xfId="0" applyNumberFormat="1" applyFont="1" applyAlignment="1">
      <alignment vertical="center"/>
    </xf>
    <xf numFmtId="0" fontId="22" fillId="0" borderId="0" xfId="0" applyNumberFormat="1" applyFont="1" applyAlignment="1">
      <alignment horizontal="right" vertical="center"/>
    </xf>
    <xf numFmtId="170" fontId="22" fillId="0" borderId="0" xfId="0" applyNumberFormat="1" applyFont="1" applyAlignment="1">
      <alignment horizontal="right" vertical="center"/>
    </xf>
    <xf numFmtId="170" fontId="2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vertical="center"/>
    </xf>
    <xf numFmtId="0" fontId="53" fillId="0" borderId="0" xfId="0" applyNumberFormat="1" applyFont="1" applyAlignment="1">
      <alignment horizontal="right" vertical="center"/>
    </xf>
    <xf numFmtId="170" fontId="18" fillId="0" borderId="0" xfId="0" applyNumberFormat="1" applyFont="1" applyAlignment="1">
      <alignment horizontal="right" vertical="center"/>
    </xf>
    <xf numFmtId="170" fontId="36" fillId="0" borderId="0" xfId="0" applyNumberFormat="1" applyFont="1" applyAlignment="1">
      <alignment vertical="center"/>
    </xf>
    <xf numFmtId="1" fontId="36" fillId="0" borderId="0" xfId="0" applyNumberFormat="1" applyFont="1" applyAlignment="1">
      <alignment vertical="center"/>
    </xf>
    <xf numFmtId="0" fontId="36" fillId="0" borderId="0" xfId="0" applyNumberFormat="1" applyFont="1" applyAlignment="1">
      <alignment horizontal="center" vertical="center" wrapText="1"/>
    </xf>
    <xf numFmtId="1" fontId="54" fillId="0" borderId="0" xfId="0" applyNumberFormat="1" applyFont="1" applyAlignment="1">
      <alignment horizontal="center" vertical="center"/>
    </xf>
    <xf numFmtId="0" fontId="36" fillId="0" borderId="0" xfId="0" applyNumberFormat="1" applyFont="1" applyAlignment="1">
      <alignment vertical="center" wrapText="1"/>
    </xf>
    <xf numFmtId="1" fontId="28" fillId="0" borderId="0" xfId="0" applyNumberFormat="1" applyFont="1" applyAlignment="1">
      <alignment horizontal="center" vertical="center"/>
    </xf>
    <xf numFmtId="0" fontId="14" fillId="0" borderId="0" xfId="0" applyNumberFormat="1" applyFont="1" applyAlignment="1">
      <alignment vertical="center"/>
    </xf>
    <xf numFmtId="170" fontId="17" fillId="3" borderId="774" xfId="0" applyNumberFormat="1" applyFont="1" applyFill="1" applyBorder="1" applyAlignment="1">
      <alignment horizontal="center" vertical="center"/>
    </xf>
    <xf numFmtId="1" fontId="3" fillId="3" borderId="775" xfId="0" applyNumberFormat="1" applyFont="1" applyFill="1" applyBorder="1" applyAlignment="1">
      <alignment horizontal="center" vertical="center"/>
    </xf>
    <xf numFmtId="1" fontId="36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right" vertical="center"/>
    </xf>
    <xf numFmtId="170" fontId="29" fillId="0" borderId="0" xfId="0" applyNumberFormat="1" applyFont="1"/>
    <xf numFmtId="0" fontId="55" fillId="0" borderId="0" xfId="0" applyNumberFormat="1" applyFont="1"/>
    <xf numFmtId="0" fontId="56" fillId="0" borderId="0" xfId="0" applyNumberFormat="1" applyFont="1" applyAlignment="1">
      <alignment horizontal="center"/>
    </xf>
    <xf numFmtId="170" fontId="56" fillId="4" borderId="0" xfId="0" applyNumberFormat="1" applyFont="1" applyFill="1" applyAlignment="1">
      <alignment horizontal="center" vertical="center" wrapText="1"/>
    </xf>
    <xf numFmtId="0" fontId="56" fillId="0" borderId="0" xfId="0" applyNumberFormat="1" applyFont="1"/>
    <xf numFmtId="0" fontId="5" fillId="0" borderId="0" xfId="0" applyNumberFormat="1" applyFont="1" applyAlignment="1">
      <alignment vertical="center" wrapText="1"/>
    </xf>
    <xf numFmtId="0" fontId="25" fillId="0" borderId="0" xfId="0" applyNumberFormat="1" applyFont="1" applyAlignment="1">
      <alignment vertical="center" wrapText="1"/>
    </xf>
    <xf numFmtId="0" fontId="5" fillId="0" borderId="0" xfId="0" applyNumberFormat="1" applyFont="1"/>
    <xf numFmtId="170" fontId="57" fillId="0" borderId="0" xfId="0" applyNumberFormat="1" applyFont="1" applyAlignment="1">
      <alignment horizontal="center" vertical="center" wrapText="1"/>
    </xf>
    <xf numFmtId="170" fontId="58" fillId="4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170" fontId="30" fillId="0" borderId="0" xfId="0" applyNumberFormat="1" applyFont="1" applyAlignment="1">
      <alignment horizontal="right" vertical="center"/>
    </xf>
    <xf numFmtId="170" fontId="5" fillId="0" borderId="0" xfId="0" applyNumberFormat="1" applyFont="1" applyAlignment="1">
      <alignment horizontal="right" vertical="center"/>
    </xf>
    <xf numFmtId="0" fontId="59" fillId="4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170" fontId="5" fillId="0" borderId="0" xfId="0" applyNumberFormat="1" applyFont="1" applyAlignment="1">
      <alignment horizontal="right" vertical="center" wrapText="1"/>
    </xf>
    <xf numFmtId="0" fontId="55" fillId="4" borderId="0" xfId="0" applyNumberFormat="1" applyFont="1" applyFill="1" applyAlignment="1">
      <alignment horizontal="center" vertical="center"/>
    </xf>
    <xf numFmtId="170" fontId="60" fillId="0" borderId="0" xfId="0" applyNumberFormat="1" applyFont="1" applyAlignment="1">
      <alignment horizontal="right" vertical="center" wrapText="1"/>
    </xf>
    <xf numFmtId="170" fontId="60" fillId="0" borderId="0" xfId="0" applyNumberFormat="1" applyFont="1" applyAlignment="1">
      <alignment horizontal="center" vertical="center"/>
    </xf>
    <xf numFmtId="170" fontId="19" fillId="0" borderId="0" xfId="0" applyNumberFormat="1" applyFont="1" applyAlignment="1">
      <alignment horizontal="right" vertical="center" wrapText="1"/>
    </xf>
    <xf numFmtId="170" fontId="19" fillId="0" borderId="0" xfId="0" applyNumberFormat="1" applyFont="1" applyAlignment="1">
      <alignment horizontal="center" vertical="center"/>
    </xf>
    <xf numFmtId="0" fontId="19" fillId="0" borderId="0" xfId="0" applyNumberFormat="1" applyFont="1"/>
    <xf numFmtId="166" fontId="19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70" fontId="5" fillId="0" borderId="0" xfId="0" applyNumberFormat="1" applyFont="1" applyAlignment="1">
      <alignment horizontal="right"/>
    </xf>
    <xf numFmtId="0" fontId="55" fillId="4" borderId="0" xfId="0" applyNumberFormat="1" applyFont="1" applyFill="1"/>
    <xf numFmtId="49" fontId="19" fillId="0" borderId="0" xfId="0" applyNumberFormat="1" applyFont="1" applyAlignment="1">
      <alignment horizontal="center" vertical="center" wrapText="1"/>
    </xf>
    <xf numFmtId="0" fontId="59" fillId="4" borderId="0" xfId="0" applyNumberFormat="1" applyFont="1" applyFill="1" applyAlignment="1">
      <alignment vertical="center"/>
    </xf>
    <xf numFmtId="170" fontId="5" fillId="5" borderId="0" xfId="0" applyNumberFormat="1" applyFont="1" applyFill="1" applyAlignment="1">
      <alignment horizontal="right" vertical="center" wrapText="1"/>
    </xf>
    <xf numFmtId="170" fontId="5" fillId="5" borderId="196" xfId="0" applyNumberFormat="1" applyFont="1" applyFill="1" applyBorder="1" applyAlignment="1">
      <alignment horizontal="right" vertical="center" wrapText="1"/>
    </xf>
    <xf numFmtId="170" fontId="55" fillId="4" borderId="0" xfId="0" applyNumberFormat="1" applyFont="1" applyFill="1" applyAlignment="1">
      <alignment horizontal="center" vertical="center"/>
    </xf>
    <xf numFmtId="173" fontId="5" fillId="0" borderId="0" xfId="0" applyNumberFormat="1" applyFont="1"/>
    <xf numFmtId="47" fontId="5" fillId="0" borderId="0" xfId="0" applyNumberFormat="1" applyFont="1" applyAlignment="1">
      <alignment horizontal="center" vertical="center" wrapText="1"/>
    </xf>
    <xf numFmtId="0" fontId="61" fillId="0" borderId="0" xfId="0" applyNumberFormat="1" applyFont="1" applyAlignment="1">
      <alignment horizontal="center" vertical="center" wrapText="1"/>
    </xf>
    <xf numFmtId="0" fontId="30" fillId="0" borderId="0" xfId="0" applyNumberFormat="1" applyFont="1" applyAlignment="1">
      <alignment horizontal="left"/>
    </xf>
    <xf numFmtId="175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right"/>
    </xf>
    <xf numFmtId="0" fontId="30" fillId="6" borderId="0" xfId="0" applyNumberFormat="1" applyFont="1" applyFill="1" applyAlignment="1">
      <alignment horizontal="left"/>
    </xf>
    <xf numFmtId="0" fontId="29" fillId="6" borderId="0" xfId="0" applyNumberFormat="1" applyFont="1" applyFill="1"/>
    <xf numFmtId="0" fontId="29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55" fillId="0" borderId="0" xfId="0" applyNumberFormat="1" applyFont="1" applyAlignment="1">
      <alignment horizontal="center" vertical="center" wrapText="1"/>
    </xf>
    <xf numFmtId="0" fontId="55" fillId="0" borderId="0" xfId="0" applyNumberFormat="1" applyFont="1" applyAlignment="1">
      <alignment horizontal="center" vertical="center"/>
    </xf>
    <xf numFmtId="0" fontId="29" fillId="0" borderId="0" xfId="0" applyNumberFormat="1" applyFont="1" applyAlignment="1">
      <alignment horizontal="center"/>
    </xf>
    <xf numFmtId="170" fontId="55" fillId="0" borderId="0" xfId="0" applyNumberFormat="1" applyFont="1" applyAlignment="1">
      <alignment horizontal="center" vertical="center"/>
    </xf>
    <xf numFmtId="0" fontId="36" fillId="0" borderId="0" xfId="0" applyNumberFormat="1" applyFont="1" applyAlignment="1">
      <alignment horizontal="center"/>
    </xf>
    <xf numFmtId="0" fontId="28" fillId="0" borderId="0" xfId="0" applyNumberFormat="1" applyFont="1" applyAlignment="1">
      <alignment horizontal="center"/>
    </xf>
    <xf numFmtId="0" fontId="21" fillId="0" borderId="0" xfId="0" applyNumberFormat="1" applyFont="1" applyAlignment="1">
      <alignment horizontal="center" vertical="center"/>
    </xf>
    <xf numFmtId="0" fontId="62" fillId="0" borderId="0" xfId="0" applyNumberFormat="1" applyFont="1" applyAlignment="1">
      <alignment horizontal="right" vertical="center"/>
    </xf>
    <xf numFmtId="0" fontId="63" fillId="0" borderId="0" xfId="0" applyNumberFormat="1" applyFont="1" applyAlignment="1">
      <alignment vertical="center"/>
    </xf>
    <xf numFmtId="0" fontId="64" fillId="0" borderId="0" xfId="0" applyNumberFormat="1" applyFont="1" applyAlignment="1">
      <alignment horizontal="right" vertical="center"/>
    </xf>
    <xf numFmtId="0" fontId="65" fillId="0" borderId="0" xfId="0" applyNumberFormat="1" applyFont="1" applyAlignment="1">
      <alignment horizontal="center" vertical="center"/>
    </xf>
    <xf numFmtId="0" fontId="65" fillId="0" borderId="0" xfId="0" applyNumberFormat="1" applyFont="1" applyAlignment="1">
      <alignment vertical="center"/>
    </xf>
    <xf numFmtId="2" fontId="63" fillId="0" borderId="0" xfId="0" applyNumberFormat="1" applyFont="1" applyAlignment="1">
      <alignment horizontal="right" vertical="center"/>
    </xf>
    <xf numFmtId="2" fontId="62" fillId="0" borderId="0" xfId="0" applyNumberFormat="1" applyFont="1" applyAlignment="1">
      <alignment horizontal="right" vertical="center"/>
    </xf>
    <xf numFmtId="0" fontId="66" fillId="0" borderId="0" xfId="0" applyNumberFormat="1" applyFont="1" applyAlignment="1">
      <alignment horizontal="right" vertical="center"/>
    </xf>
    <xf numFmtId="0" fontId="66" fillId="0" borderId="0" xfId="0" applyNumberFormat="1" applyFont="1" applyAlignment="1">
      <alignment vertical="center"/>
    </xf>
    <xf numFmtId="1" fontId="44" fillId="0" borderId="18" xfId="0" applyNumberFormat="1" applyFont="1" applyBorder="1" applyAlignment="1">
      <alignment horizontal="center" vertical="center" wrapText="1"/>
    </xf>
    <xf numFmtId="0" fontId="63" fillId="0" borderId="18" xfId="0" applyNumberFormat="1" applyFont="1" applyBorder="1" applyAlignment="1">
      <alignment vertical="center"/>
    </xf>
    <xf numFmtId="0" fontId="63" fillId="0" borderId="21" xfId="0" applyNumberFormat="1" applyFont="1" applyBorder="1" applyAlignment="1">
      <alignment vertical="center"/>
    </xf>
    <xf numFmtId="0" fontId="64" fillId="0" borderId="12" xfId="0" applyNumberFormat="1" applyFont="1" applyBorder="1" applyAlignment="1">
      <alignment horizontal="right" vertical="center"/>
    </xf>
    <xf numFmtId="0" fontId="65" fillId="0" borderId="18" xfId="0" applyNumberFormat="1" applyFont="1" applyBorder="1" applyAlignment="1">
      <alignment horizontal="center" vertical="center"/>
    </xf>
    <xf numFmtId="0" fontId="65" fillId="0" borderId="15" xfId="0" applyNumberFormat="1" applyFont="1" applyBorder="1" applyAlignment="1">
      <alignment vertical="center"/>
    </xf>
    <xf numFmtId="2" fontId="63" fillId="0" borderId="12" xfId="0" applyNumberFormat="1" applyFont="1" applyBorder="1" applyAlignment="1">
      <alignment horizontal="right" vertical="center"/>
    </xf>
    <xf numFmtId="0" fontId="44" fillId="0" borderId="12" xfId="0" applyNumberFormat="1" applyFont="1" applyBorder="1" applyAlignment="1">
      <alignment horizontal="center" vertical="center"/>
    </xf>
    <xf numFmtId="0" fontId="67" fillId="0" borderId="18" xfId="0" applyNumberFormat="1" applyFont="1" applyBorder="1" applyAlignment="1">
      <alignment horizontal="right" vertical="center"/>
    </xf>
    <xf numFmtId="0" fontId="67" fillId="0" borderId="18" xfId="0" applyNumberFormat="1" applyFont="1" applyBorder="1" applyAlignment="1">
      <alignment vertical="center"/>
    </xf>
    <xf numFmtId="0" fontId="67" fillId="0" borderId="18" xfId="0" applyNumberFormat="1" applyFont="1" applyBorder="1" applyAlignment="1">
      <alignment horizontal="center" vertical="center"/>
    </xf>
    <xf numFmtId="0" fontId="62" fillId="0" borderId="0" xfId="0" applyNumberFormat="1" applyFont="1" applyAlignment="1">
      <alignment vertical="center"/>
    </xf>
    <xf numFmtId="0" fontId="68" fillId="0" borderId="0" xfId="0" applyNumberFormat="1" applyFont="1"/>
    <xf numFmtId="0" fontId="68" fillId="0" borderId="0" xfId="0" applyNumberFormat="1" applyFont="1" applyAlignment="1">
      <alignment horizontal="left"/>
    </xf>
    <xf numFmtId="0" fontId="69" fillId="0" borderId="0" xfId="0" applyNumberFormat="1" applyFont="1"/>
    <xf numFmtId="0" fontId="68" fillId="0" borderId="0" xfId="0" applyNumberFormat="1" applyFont="1" applyAlignment="1">
      <alignment horizontal="right"/>
    </xf>
    <xf numFmtId="0" fontId="70" fillId="0" borderId="789" xfId="0" applyNumberFormat="1" applyFont="1" applyBorder="1" applyAlignment="1">
      <alignment horizontal="center" vertical="center" wrapText="1"/>
    </xf>
    <xf numFmtId="0" fontId="68" fillId="0" borderId="789" xfId="0" applyNumberFormat="1" applyFont="1" applyBorder="1" applyAlignment="1">
      <alignment horizontal="center" vertical="center" wrapText="1"/>
    </xf>
    <xf numFmtId="0" fontId="68" fillId="0" borderId="782" xfId="0" applyNumberFormat="1" applyFont="1" applyBorder="1" applyAlignment="1">
      <alignment horizontal="left" vertical="center" wrapText="1" indent="1"/>
    </xf>
    <xf numFmtId="0" fontId="68" fillId="0" borderId="782" xfId="0" applyNumberFormat="1" applyFont="1" applyBorder="1" applyAlignment="1">
      <alignment horizontal="right" vertical="center" wrapText="1" indent="1"/>
    </xf>
    <xf numFmtId="0" fontId="68" fillId="0" borderId="18" xfId="0" applyNumberFormat="1" applyFont="1" applyBorder="1" applyAlignment="1">
      <alignment horizontal="left" vertical="center" wrapText="1" indent="1"/>
    </xf>
    <xf numFmtId="0" fontId="68" fillId="0" borderId="18" xfId="0" applyNumberFormat="1" applyFont="1" applyBorder="1" applyAlignment="1">
      <alignment horizontal="right" vertical="center" wrapText="1" indent="1"/>
    </xf>
    <xf numFmtId="0" fontId="68" fillId="0" borderId="216" xfId="0" applyNumberFormat="1" applyFont="1" applyBorder="1" applyAlignment="1">
      <alignment horizontal="left" vertical="center" wrapText="1" indent="1"/>
    </xf>
    <xf numFmtId="0" fontId="68" fillId="0" borderId="216" xfId="0" applyNumberFormat="1" applyFont="1" applyBorder="1" applyAlignment="1">
      <alignment horizontal="right" vertical="center" wrapText="1" indent="1"/>
    </xf>
    <xf numFmtId="0" fontId="68" fillId="0" borderId="789" xfId="0" applyNumberFormat="1" applyFont="1" applyBorder="1" applyAlignment="1">
      <alignment horizontal="left" vertical="center" wrapText="1" indent="1"/>
    </xf>
    <xf numFmtId="0" fontId="68" fillId="0" borderId="789" xfId="0" applyNumberFormat="1" applyFont="1" applyBorder="1" applyAlignment="1">
      <alignment horizontal="right" vertical="center" wrapText="1" indent="1"/>
    </xf>
    <xf numFmtId="0" fontId="69" fillId="0" borderId="0" xfId="0" applyNumberFormat="1" applyFont="1" applyAlignment="1">
      <alignment horizontal="center" vertical="center" wrapText="1"/>
    </xf>
    <xf numFmtId="0" fontId="68" fillId="0" borderId="0" xfId="0" applyNumberFormat="1" applyFont="1" applyAlignment="1">
      <alignment horizontal="left" vertical="center" wrapText="1" indent="1"/>
    </xf>
    <xf numFmtId="0" fontId="68" fillId="0" borderId="0" xfId="0" applyNumberFormat="1" applyFont="1" applyAlignment="1">
      <alignment horizontal="right" vertical="center" wrapText="1" indent="1"/>
    </xf>
    <xf numFmtId="0" fontId="68" fillId="0" borderId="190" xfId="0" applyNumberFormat="1" applyFont="1" applyBorder="1" applyAlignment="1">
      <alignment horizontal="left" vertical="center" wrapText="1" indent="1"/>
    </xf>
    <xf numFmtId="0" fontId="68" fillId="0" borderId="190" xfId="0" applyNumberFormat="1" applyFont="1" applyBorder="1" applyAlignment="1">
      <alignment horizontal="right" vertical="center" wrapText="1" indent="1"/>
    </xf>
    <xf numFmtId="0" fontId="68" fillId="0" borderId="0" xfId="0" applyNumberFormat="1" applyFont="1" applyAlignment="1">
      <alignment horizontal="right" indent="1"/>
    </xf>
    <xf numFmtId="0" fontId="72" fillId="0" borderId="0" xfId="0" applyNumberFormat="1" applyFont="1" applyAlignment="1">
      <alignment vertical="center"/>
    </xf>
    <xf numFmtId="0" fontId="73" fillId="0" borderId="0" xfId="0" applyNumberFormat="1" applyFont="1" applyAlignment="1">
      <alignment vertical="center"/>
    </xf>
    <xf numFmtId="0" fontId="74" fillId="7" borderId="0" xfId="0" applyNumberFormat="1" applyFont="1" applyFill="1" applyAlignment="1">
      <alignment horizontal="left" vertical="center"/>
    </xf>
    <xf numFmtId="0" fontId="74" fillId="7" borderId="0" xfId="0" applyNumberFormat="1" applyFont="1" applyFill="1" applyAlignment="1">
      <alignment vertical="center"/>
    </xf>
    <xf numFmtId="0" fontId="74" fillId="7" borderId="0" xfId="0" applyNumberFormat="1" applyFont="1" applyFill="1" applyAlignment="1">
      <alignment horizontal="center" vertical="center"/>
    </xf>
    <xf numFmtId="170" fontId="74" fillId="7" borderId="0" xfId="0" applyNumberFormat="1" applyFont="1" applyFill="1" applyAlignment="1">
      <alignment vertical="center"/>
    </xf>
    <xf numFmtId="170" fontId="74" fillId="7" borderId="0" xfId="0" applyNumberFormat="1" applyFont="1" applyFill="1" applyAlignment="1">
      <alignment horizontal="right" vertical="center"/>
    </xf>
    <xf numFmtId="170" fontId="74" fillId="7" borderId="0" xfId="0" applyNumberFormat="1" applyFont="1" applyFill="1" applyAlignment="1">
      <alignment horizontal="center" vertical="center"/>
    </xf>
    <xf numFmtId="170" fontId="75" fillId="7" borderId="0" xfId="0" applyNumberFormat="1" applyFont="1" applyFill="1" applyAlignment="1">
      <alignment vertical="center"/>
    </xf>
    <xf numFmtId="170" fontId="75" fillId="7" borderId="0" xfId="0" applyNumberFormat="1" applyFont="1" applyFill="1" applyAlignment="1">
      <alignment horizontal="center" vertical="center"/>
    </xf>
    <xf numFmtId="1" fontId="76" fillId="7" borderId="0" xfId="0" applyNumberFormat="1" applyFont="1" applyFill="1" applyAlignment="1">
      <alignment horizontal="center" vertical="center"/>
    </xf>
    <xf numFmtId="0" fontId="75" fillId="7" borderId="0" xfId="0" applyNumberFormat="1" applyFont="1" applyFill="1" applyAlignment="1">
      <alignment horizontal="center" vertical="center"/>
    </xf>
    <xf numFmtId="0" fontId="75" fillId="0" borderId="0" xfId="0" applyNumberFormat="1" applyFont="1" applyAlignment="1">
      <alignment horizontal="center" vertical="center"/>
    </xf>
    <xf numFmtId="0" fontId="74" fillId="7" borderId="0" xfId="0" applyNumberFormat="1" applyFont="1" applyFill="1" applyAlignment="1">
      <alignment horizontal="left" vertical="center" wrapText="1"/>
    </xf>
    <xf numFmtId="0" fontId="22" fillId="7" borderId="0" xfId="0" applyNumberFormat="1" applyFont="1" applyFill="1" applyAlignment="1">
      <alignment horizontal="right" vertical="center"/>
    </xf>
    <xf numFmtId="0" fontId="77" fillId="7" borderId="0" xfId="0" applyNumberFormat="1" applyFont="1" applyFill="1" applyAlignment="1">
      <alignment vertical="center"/>
    </xf>
    <xf numFmtId="0" fontId="65" fillId="7" borderId="0" xfId="0" applyNumberFormat="1" applyFont="1" applyFill="1" applyAlignment="1">
      <alignment vertical="center"/>
    </xf>
    <xf numFmtId="0" fontId="65" fillId="7" borderId="0" xfId="0" applyNumberFormat="1" applyFont="1" applyFill="1" applyAlignment="1">
      <alignment horizontal="left" vertical="center"/>
    </xf>
    <xf numFmtId="0" fontId="78" fillId="7" borderId="0" xfId="0" applyNumberFormat="1" applyFont="1" applyFill="1" applyAlignment="1">
      <alignment horizontal="left" vertical="center"/>
    </xf>
    <xf numFmtId="170" fontId="65" fillId="0" borderId="0" xfId="0" applyNumberFormat="1" applyFont="1" applyAlignment="1">
      <alignment vertical="center"/>
    </xf>
    <xf numFmtId="170" fontId="22" fillId="7" borderId="0" xfId="0" applyNumberFormat="1" applyFont="1" applyFill="1" applyAlignment="1">
      <alignment horizontal="right" vertical="center"/>
    </xf>
    <xf numFmtId="170" fontId="22" fillId="7" borderId="18" xfId="0" applyNumberFormat="1" applyFont="1" applyFill="1" applyBorder="1" applyAlignment="1">
      <alignment horizontal="left" vertical="center"/>
    </xf>
    <xf numFmtId="170" fontId="22" fillId="7" borderId="18" xfId="0" applyNumberFormat="1" applyFont="1" applyFill="1" applyBorder="1" applyAlignment="1">
      <alignment horizontal="right" vertical="center"/>
    </xf>
    <xf numFmtId="1" fontId="80" fillId="7" borderId="18" xfId="0" applyNumberFormat="1" applyFont="1" applyFill="1" applyBorder="1" applyAlignment="1">
      <alignment horizontal="center" vertical="center"/>
    </xf>
    <xf numFmtId="1" fontId="81" fillId="7" borderId="15" xfId="0" applyNumberFormat="1" applyFont="1" applyFill="1" applyBorder="1" applyAlignment="1">
      <alignment horizontal="center" vertical="center"/>
    </xf>
    <xf numFmtId="170" fontId="21" fillId="7" borderId="801" xfId="0" applyNumberFormat="1" applyFont="1" applyFill="1" applyBorder="1" applyAlignment="1">
      <alignment horizontal="center" vertical="center" wrapText="1"/>
    </xf>
    <xf numFmtId="170" fontId="21" fillId="7" borderId="18" xfId="0" applyNumberFormat="1" applyFont="1" applyFill="1" applyBorder="1" applyAlignment="1">
      <alignment horizontal="center" vertical="center" wrapText="1"/>
    </xf>
    <xf numFmtId="170" fontId="21" fillId="7" borderId="802" xfId="0" applyNumberFormat="1" applyFont="1" applyFill="1" applyBorder="1" applyAlignment="1">
      <alignment horizontal="center" vertical="center" wrapText="1"/>
    </xf>
    <xf numFmtId="170" fontId="82" fillId="0" borderId="0" xfId="0" applyNumberFormat="1" applyFont="1" applyAlignment="1">
      <alignment vertical="center"/>
    </xf>
    <xf numFmtId="0" fontId="1" fillId="7" borderId="0" xfId="0" applyNumberFormat="1" applyFont="1" applyFill="1" applyAlignment="1">
      <alignment vertical="center"/>
    </xf>
    <xf numFmtId="0" fontId="34" fillId="7" borderId="190" xfId="0" applyNumberFormat="1" applyFont="1" applyFill="1" applyBorder="1" applyAlignment="1">
      <alignment horizontal="right" vertical="center"/>
    </xf>
    <xf numFmtId="1" fontId="80" fillId="7" borderId="191" xfId="0" applyNumberFormat="1" applyFont="1" applyFill="1" applyBorder="1" applyAlignment="1">
      <alignment horizontal="center" vertical="center"/>
    </xf>
    <xf numFmtId="1" fontId="80" fillId="7" borderId="190" xfId="0" applyNumberFormat="1" applyFont="1" applyFill="1" applyBorder="1" applyAlignment="1">
      <alignment horizontal="center" vertical="center"/>
    </xf>
    <xf numFmtId="170" fontId="21" fillId="7" borderId="912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/>
    </xf>
    <xf numFmtId="0" fontId="38" fillId="0" borderId="0" xfId="0" applyNumberFormat="1" applyFont="1" applyAlignment="1">
      <alignment vertical="center"/>
    </xf>
    <xf numFmtId="0" fontId="38" fillId="0" borderId="0" xfId="0" applyNumberFormat="1" applyFont="1" applyAlignment="1">
      <alignment horizontal="right" vertical="center"/>
    </xf>
    <xf numFmtId="0" fontId="84" fillId="0" borderId="0" xfId="0" applyNumberFormat="1" applyFont="1" applyAlignment="1">
      <alignment vertical="center"/>
    </xf>
    <xf numFmtId="170" fontId="38" fillId="0" borderId="0" xfId="0" applyNumberFormat="1" applyFont="1" applyAlignment="1">
      <alignment vertical="center"/>
    </xf>
    <xf numFmtId="0" fontId="43" fillId="0" borderId="0" xfId="0" applyNumberFormat="1" applyFont="1" applyAlignment="1">
      <alignment vertical="center"/>
    </xf>
    <xf numFmtId="1" fontId="22" fillId="0" borderId="0" xfId="0" applyNumberFormat="1" applyFont="1" applyAlignment="1">
      <alignment vertical="center"/>
    </xf>
    <xf numFmtId="0" fontId="65" fillId="0" borderId="0" xfId="0" applyNumberFormat="1" applyFont="1" applyAlignment="1">
      <alignment horizontal="right" vertical="center"/>
    </xf>
    <xf numFmtId="0" fontId="78" fillId="0" borderId="70" xfId="0" applyNumberFormat="1" applyFont="1" applyBorder="1" applyAlignment="1">
      <alignment horizontal="left" vertical="center"/>
    </xf>
    <xf numFmtId="0" fontId="65" fillId="0" borderId="70" xfId="0" applyNumberFormat="1" applyFont="1" applyBorder="1" applyAlignment="1">
      <alignment vertical="center"/>
    </xf>
    <xf numFmtId="170" fontId="65" fillId="0" borderId="70" xfId="0" applyNumberFormat="1" applyFont="1" applyBorder="1" applyAlignment="1">
      <alignment vertical="center"/>
    </xf>
    <xf numFmtId="1" fontId="38" fillId="0" borderId="70" xfId="0" applyNumberFormat="1" applyFont="1" applyBorder="1" applyAlignment="1">
      <alignment vertical="center"/>
    </xf>
    <xf numFmtId="0" fontId="1" fillId="0" borderId="70" xfId="0" applyNumberFormat="1" applyFont="1" applyBorder="1" applyAlignment="1">
      <alignment vertical="center"/>
    </xf>
    <xf numFmtId="1" fontId="38" fillId="0" borderId="0" xfId="0" applyNumberFormat="1" applyFont="1" applyAlignment="1">
      <alignment vertical="center"/>
    </xf>
    <xf numFmtId="170" fontId="21" fillId="0" borderId="0" xfId="0" applyNumberFormat="1" applyFont="1" applyAlignment="1">
      <alignment horizontal="center" vertical="center" wrapText="1"/>
    </xf>
    <xf numFmtId="170" fontId="85" fillId="0" borderId="809" xfId="0" applyNumberFormat="1" applyFont="1" applyBorder="1" applyAlignment="1">
      <alignment horizontal="center" vertical="center" wrapText="1"/>
    </xf>
    <xf numFmtId="170" fontId="86" fillId="0" borderId="810" xfId="0" applyNumberFormat="1" applyFont="1" applyBorder="1" applyAlignment="1">
      <alignment horizontal="center" vertical="center" textRotation="90" wrapText="1"/>
    </xf>
    <xf numFmtId="170" fontId="85" fillId="0" borderId="810" xfId="0" applyNumberFormat="1" applyFont="1" applyBorder="1" applyAlignment="1">
      <alignment horizontal="center" vertical="center" wrapText="1"/>
    </xf>
    <xf numFmtId="170" fontId="86" fillId="0" borderId="811" xfId="0" applyNumberFormat="1" applyFont="1" applyBorder="1" applyAlignment="1">
      <alignment horizontal="center" vertical="center" textRotation="90" wrapText="1"/>
    </xf>
    <xf numFmtId="170" fontId="85" fillId="0" borderId="1080" xfId="0" applyNumberFormat="1" applyFont="1" applyBorder="1" applyAlignment="1">
      <alignment horizontal="center" vertical="center" wrapText="1"/>
    </xf>
    <xf numFmtId="170" fontId="85" fillId="0" borderId="1081" xfId="0" applyNumberFormat="1" applyFont="1" applyBorder="1" applyAlignment="1">
      <alignment horizontal="center" vertical="center" wrapText="1"/>
    </xf>
    <xf numFmtId="170" fontId="86" fillId="0" borderId="1081" xfId="0" applyNumberFormat="1" applyFont="1" applyBorder="1" applyAlignment="1">
      <alignment horizontal="center" vertical="center" textRotation="90" wrapText="1"/>
    </xf>
    <xf numFmtId="170" fontId="85" fillId="0" borderId="1082" xfId="0" applyNumberFormat="1" applyFont="1" applyBorder="1" applyAlignment="1">
      <alignment horizontal="center" vertical="center" wrapText="1"/>
    </xf>
    <xf numFmtId="170" fontId="86" fillId="0" borderId="1083" xfId="0" applyNumberFormat="1" applyFont="1" applyBorder="1" applyAlignment="1">
      <alignment horizontal="center" vertical="center" textRotation="90" wrapText="1"/>
    </xf>
    <xf numFmtId="170" fontId="85" fillId="0" borderId="1031" xfId="0" applyNumberFormat="1" applyFont="1" applyBorder="1" applyAlignment="1">
      <alignment horizontal="center" vertical="center" wrapText="1"/>
    </xf>
    <xf numFmtId="170" fontId="85" fillId="0" borderId="1083" xfId="0" applyNumberFormat="1" applyFont="1" applyBorder="1" applyAlignment="1">
      <alignment horizontal="center" vertical="center" wrapText="1"/>
    </xf>
    <xf numFmtId="170" fontId="86" fillId="0" borderId="1032" xfId="0" applyNumberFormat="1" applyFont="1" applyBorder="1" applyAlignment="1">
      <alignment horizontal="center" vertical="center" textRotation="90" wrapText="1"/>
    </xf>
    <xf numFmtId="170" fontId="16" fillId="0" borderId="1031" xfId="0" applyNumberFormat="1" applyFont="1" applyBorder="1" applyAlignment="1">
      <alignment horizontal="center" vertical="center" wrapText="1"/>
    </xf>
    <xf numFmtId="0" fontId="82" fillId="0" borderId="811" xfId="0" applyNumberFormat="1" applyFont="1" applyBorder="1" applyAlignment="1">
      <alignment horizontal="center" vertical="center" textRotation="90"/>
    </xf>
    <xf numFmtId="170" fontId="16" fillId="0" borderId="1080" xfId="0" applyNumberFormat="1" applyFont="1" applyBorder="1" applyAlignment="1">
      <alignment horizontal="center" vertical="center"/>
    </xf>
    <xf numFmtId="1" fontId="13" fillId="0" borderId="801" xfId="0" applyNumberFormat="1" applyFont="1" applyBorder="1" applyAlignment="1">
      <alignment horizontal="right" vertical="center"/>
    </xf>
    <xf numFmtId="0" fontId="28" fillId="0" borderId="18" xfId="0" applyNumberFormat="1" applyFont="1" applyBorder="1" applyAlignment="1">
      <alignment horizontal="center" vertical="center"/>
    </xf>
    <xf numFmtId="0" fontId="28" fillId="0" borderId="15" xfId="0" applyNumberFormat="1" applyFont="1" applyBorder="1" applyAlignment="1">
      <alignment vertical="center"/>
    </xf>
    <xf numFmtId="0" fontId="13" fillId="0" borderId="12" xfId="0" applyNumberFormat="1" applyFont="1" applyBorder="1" applyAlignment="1">
      <alignment vertical="center"/>
    </xf>
    <xf numFmtId="171" fontId="28" fillId="0" borderId="12" xfId="0" applyNumberFormat="1" applyFont="1" applyBorder="1" applyAlignment="1">
      <alignment horizontal="center" vertical="center"/>
    </xf>
    <xf numFmtId="0" fontId="28" fillId="0" borderId="18" xfId="0" applyNumberFormat="1" applyFont="1" applyBorder="1" applyAlignment="1">
      <alignment horizontal="left" vertical="center"/>
    </xf>
    <xf numFmtId="0" fontId="28" fillId="0" borderId="15" xfId="0" applyNumberFormat="1" applyFont="1" applyBorder="1" applyAlignment="1">
      <alignment horizontal="left" vertical="center"/>
    </xf>
    <xf numFmtId="1" fontId="28" fillId="0" borderId="801" xfId="0" applyNumberFormat="1" applyFont="1" applyBorder="1" applyAlignment="1">
      <alignment horizontal="center" vertical="center"/>
    </xf>
    <xf numFmtId="1" fontId="13" fillId="0" borderId="802" xfId="0" applyNumberFormat="1" applyFont="1" applyBorder="1" applyAlignment="1">
      <alignment horizontal="center" vertical="center"/>
    </xf>
    <xf numFmtId="170" fontId="27" fillId="0" borderId="801" xfId="0" applyNumberFormat="1" applyFont="1" applyBorder="1" applyAlignment="1">
      <alignment horizontal="center" vertical="center"/>
    </xf>
    <xf numFmtId="170" fontId="27" fillId="0" borderId="18" xfId="0" applyNumberFormat="1" applyFont="1" applyBorder="1" applyAlignment="1">
      <alignment horizontal="center" vertical="center"/>
    </xf>
    <xf numFmtId="170" fontId="27" fillId="0" borderId="802" xfId="0" applyNumberFormat="1" applyFont="1" applyBorder="1" applyAlignment="1">
      <alignment horizontal="center" vertical="center"/>
    </xf>
    <xf numFmtId="170" fontId="27" fillId="0" borderId="12" xfId="0" applyNumberFormat="1" applyFont="1" applyBorder="1" applyAlignment="1">
      <alignment horizontal="center" vertical="center"/>
    </xf>
    <xf numFmtId="170" fontId="6" fillId="0" borderId="18" xfId="0" applyNumberFormat="1" applyFont="1" applyBorder="1" applyAlignment="1">
      <alignment horizontal="center" vertical="center"/>
    </xf>
    <xf numFmtId="170" fontId="6" fillId="0" borderId="802" xfId="0" applyNumberFormat="1" applyFont="1" applyBorder="1" applyAlignment="1">
      <alignment horizontal="center" vertical="center"/>
    </xf>
    <xf numFmtId="170" fontId="21" fillId="0" borderId="12" xfId="0" applyNumberFormat="1" applyFont="1" applyBorder="1" applyAlignment="1">
      <alignment vertical="center"/>
    </xf>
    <xf numFmtId="170" fontId="21" fillId="0" borderId="18" xfId="0" applyNumberFormat="1" applyFont="1" applyBorder="1" applyAlignment="1">
      <alignment vertical="center"/>
    </xf>
    <xf numFmtId="170" fontId="21" fillId="0" borderId="15" xfId="0" applyNumberFormat="1" applyFont="1" applyBorder="1" applyAlignment="1">
      <alignment vertical="center"/>
    </xf>
    <xf numFmtId="170" fontId="27" fillId="0" borderId="15" xfId="0" applyNumberFormat="1" applyFont="1" applyBorder="1" applyAlignment="1">
      <alignment horizontal="center" vertical="center"/>
    </xf>
    <xf numFmtId="170" fontId="21" fillId="0" borderId="21" xfId="0" applyNumberFormat="1" applyFont="1" applyBorder="1" applyAlignment="1">
      <alignment vertical="center"/>
    </xf>
    <xf numFmtId="170" fontId="21" fillId="0" borderId="802" xfId="0" applyNumberFormat="1" applyFont="1" applyBorder="1" applyAlignment="1">
      <alignment vertical="center"/>
    </xf>
    <xf numFmtId="1" fontId="21" fillId="0" borderId="15" xfId="0" applyNumberFormat="1" applyFont="1" applyBorder="1" applyAlignment="1">
      <alignment horizontal="center" vertical="center"/>
    </xf>
    <xf numFmtId="1" fontId="21" fillId="0" borderId="802" xfId="0" applyNumberFormat="1" applyFont="1" applyBorder="1" applyAlignment="1">
      <alignment horizontal="center" vertical="center"/>
    </xf>
    <xf numFmtId="0" fontId="36" fillId="0" borderId="18" xfId="0" applyNumberFormat="1" applyFont="1" applyBorder="1" applyAlignment="1">
      <alignment horizontal="center" vertical="center"/>
    </xf>
    <xf numFmtId="0" fontId="13" fillId="0" borderId="18" xfId="0" applyNumberFormat="1" applyFont="1" applyBorder="1" applyAlignment="1">
      <alignment horizontal="center" vertical="center"/>
    </xf>
    <xf numFmtId="0" fontId="28" fillId="0" borderId="789" xfId="0" applyNumberFormat="1" applyFont="1" applyBorder="1" applyAlignment="1">
      <alignment horizontal="center" vertical="center"/>
    </xf>
    <xf numFmtId="0" fontId="28" fillId="0" borderId="1084" xfId="0" applyNumberFormat="1" applyFont="1" applyBorder="1" applyAlignment="1">
      <alignment vertical="center"/>
    </xf>
    <xf numFmtId="0" fontId="13" fillId="0" borderId="1085" xfId="0" applyNumberFormat="1" applyFont="1" applyBorder="1" applyAlignment="1">
      <alignment vertical="center"/>
    </xf>
    <xf numFmtId="171" fontId="28" fillId="0" borderId="789" xfId="0" applyNumberFormat="1" applyFont="1" applyBorder="1" applyAlignment="1">
      <alignment horizontal="center" vertical="center"/>
    </xf>
    <xf numFmtId="0" fontId="28" fillId="0" borderId="789" xfId="0" applyNumberFormat="1" applyFont="1" applyBorder="1" applyAlignment="1">
      <alignment horizontal="left" vertical="center"/>
    </xf>
    <xf numFmtId="0" fontId="28" fillId="0" borderId="1084" xfId="0" applyNumberFormat="1" applyFont="1" applyBorder="1" applyAlignment="1">
      <alignment horizontal="left" vertical="center"/>
    </xf>
    <xf numFmtId="1" fontId="28" fillId="0" borderId="912" xfId="0" applyNumberFormat="1" applyFont="1" applyBorder="1" applyAlignment="1">
      <alignment horizontal="center" vertical="center"/>
    </xf>
    <xf numFmtId="1" fontId="13" fillId="0" borderId="1086" xfId="0" applyNumberFormat="1" applyFont="1" applyBorder="1" applyAlignment="1">
      <alignment horizontal="center" vertical="center"/>
    </xf>
    <xf numFmtId="170" fontId="27" fillId="0" borderId="912" xfId="0" applyNumberFormat="1" applyFont="1" applyBorder="1" applyAlignment="1">
      <alignment horizontal="center" vertical="center"/>
    </xf>
    <xf numFmtId="170" fontId="27" fillId="0" borderId="789" xfId="0" applyNumberFormat="1" applyFont="1" applyBorder="1" applyAlignment="1">
      <alignment horizontal="center" vertical="center"/>
    </xf>
    <xf numFmtId="170" fontId="27" fillId="0" borderId="1086" xfId="0" applyNumberFormat="1" applyFont="1" applyBorder="1" applyAlignment="1">
      <alignment horizontal="center" vertical="center"/>
    </xf>
    <xf numFmtId="170" fontId="27" fillId="0" borderId="1085" xfId="0" applyNumberFormat="1" applyFont="1" applyBorder="1" applyAlignment="1">
      <alignment horizontal="center" vertical="center"/>
    </xf>
    <xf numFmtId="170" fontId="6" fillId="0" borderId="789" xfId="0" applyNumberFormat="1" applyFont="1" applyBorder="1" applyAlignment="1">
      <alignment horizontal="center" vertical="center"/>
    </xf>
    <xf numFmtId="170" fontId="6" fillId="0" borderId="1086" xfId="0" applyNumberFormat="1" applyFont="1" applyBorder="1" applyAlignment="1">
      <alignment horizontal="center" vertical="center"/>
    </xf>
    <xf numFmtId="170" fontId="21" fillId="0" borderId="1085" xfId="0" applyNumberFormat="1" applyFont="1" applyBorder="1" applyAlignment="1">
      <alignment vertical="center"/>
    </xf>
    <xf numFmtId="170" fontId="21" fillId="0" borderId="789" xfId="0" applyNumberFormat="1" applyFont="1" applyBorder="1" applyAlignment="1">
      <alignment vertical="center"/>
    </xf>
    <xf numFmtId="170" fontId="21" fillId="0" borderId="1084" xfId="0" applyNumberFormat="1" applyFont="1" applyBorder="1" applyAlignment="1">
      <alignment vertical="center"/>
    </xf>
    <xf numFmtId="170" fontId="27" fillId="0" borderId="1084" xfId="0" applyNumberFormat="1" applyFont="1" applyBorder="1" applyAlignment="1">
      <alignment horizontal="center" vertical="center"/>
    </xf>
    <xf numFmtId="170" fontId="21" fillId="0" borderId="1087" xfId="0" applyNumberFormat="1" applyFont="1" applyBorder="1" applyAlignment="1">
      <alignment vertical="center"/>
    </xf>
    <xf numFmtId="170" fontId="21" fillId="0" borderId="1086" xfId="0" applyNumberFormat="1" applyFont="1" applyBorder="1" applyAlignment="1">
      <alignment vertical="center"/>
    </xf>
    <xf numFmtId="1" fontId="21" fillId="0" borderId="1084" xfId="0" applyNumberFormat="1" applyFont="1" applyBorder="1" applyAlignment="1">
      <alignment horizontal="center" vertical="center"/>
    </xf>
    <xf numFmtId="1" fontId="21" fillId="0" borderId="1086" xfId="0" applyNumberFormat="1" applyFont="1" applyBorder="1" applyAlignment="1">
      <alignment horizontal="center" vertical="center"/>
    </xf>
    <xf numFmtId="1" fontId="13" fillId="0" borderId="793" xfId="0" applyNumberFormat="1" applyFont="1" applyBorder="1" applyAlignment="1">
      <alignment horizontal="right" vertical="center"/>
    </xf>
    <xf numFmtId="0" fontId="36" fillId="0" borderId="782" xfId="0" applyNumberFormat="1" applyFont="1" applyBorder="1" applyAlignment="1">
      <alignment horizontal="center" vertical="center"/>
    </xf>
    <xf numFmtId="0" fontId="28" fillId="0" borderId="1088" xfId="0" applyNumberFormat="1" applyFont="1" applyBorder="1" applyAlignment="1">
      <alignment vertical="center"/>
    </xf>
    <xf numFmtId="0" fontId="13" fillId="0" borderId="1089" xfId="0" applyNumberFormat="1" applyFont="1" applyBorder="1" applyAlignment="1">
      <alignment vertical="center"/>
    </xf>
    <xf numFmtId="171" fontId="28" fillId="0" borderId="193" xfId="0" applyNumberFormat="1" applyFont="1" applyBorder="1" applyAlignment="1">
      <alignment horizontal="center" vertical="center"/>
    </xf>
    <xf numFmtId="0" fontId="36" fillId="0" borderId="1088" xfId="0" applyNumberFormat="1" applyFont="1" applyBorder="1" applyAlignment="1">
      <alignment horizontal="left" vertical="center"/>
    </xf>
    <xf numFmtId="0" fontId="28" fillId="0" borderId="782" xfId="0" applyNumberFormat="1" applyFont="1" applyBorder="1" applyAlignment="1">
      <alignment horizontal="center" vertical="center"/>
    </xf>
    <xf numFmtId="0" fontId="28" fillId="0" borderId="1088" xfId="0" applyNumberFormat="1" applyFont="1" applyBorder="1" applyAlignment="1">
      <alignment horizontal="left" vertical="center"/>
    </xf>
    <xf numFmtId="1" fontId="28" fillId="0" borderId="793" xfId="0" applyNumberFormat="1" applyFont="1" applyBorder="1" applyAlignment="1">
      <alignment horizontal="center" vertical="center"/>
    </xf>
    <xf numFmtId="1" fontId="13" fillId="0" borderId="794" xfId="0" applyNumberFormat="1" applyFont="1" applyBorder="1" applyAlignment="1">
      <alignment horizontal="center" vertical="center"/>
    </xf>
    <xf numFmtId="170" fontId="27" fillId="0" borderId="1090" xfId="0" applyNumberFormat="1" applyFont="1" applyBorder="1" applyAlignment="1">
      <alignment horizontal="center" vertical="center"/>
    </xf>
    <xf numFmtId="170" fontId="27" fillId="0" borderId="1091" xfId="0" applyNumberFormat="1" applyFont="1" applyBorder="1" applyAlignment="1">
      <alignment horizontal="center" vertical="center"/>
    </xf>
    <xf numFmtId="170" fontId="27" fillId="0" borderId="1092" xfId="0" applyNumberFormat="1" applyFont="1" applyBorder="1" applyAlignment="1">
      <alignment horizontal="center" vertical="center"/>
    </xf>
    <xf numFmtId="170" fontId="27" fillId="0" borderId="1093" xfId="0" applyNumberFormat="1" applyFont="1" applyBorder="1" applyAlignment="1">
      <alignment horizontal="center" vertical="center"/>
    </xf>
    <xf numFmtId="170" fontId="21" fillId="0" borderId="1089" xfId="0" applyNumberFormat="1" applyFont="1" applyBorder="1" applyAlignment="1">
      <alignment vertical="center"/>
    </xf>
    <xf numFmtId="170" fontId="21" fillId="0" borderId="782" xfId="0" applyNumberFormat="1" applyFont="1" applyBorder="1" applyAlignment="1">
      <alignment vertical="center"/>
    </xf>
    <xf numFmtId="170" fontId="21" fillId="0" borderId="1088" xfId="0" applyNumberFormat="1" applyFont="1" applyBorder="1" applyAlignment="1">
      <alignment vertical="center"/>
    </xf>
    <xf numFmtId="170" fontId="27" fillId="0" borderId="793" xfId="0" applyNumberFormat="1" applyFont="1" applyBorder="1" applyAlignment="1">
      <alignment horizontal="center" vertical="center"/>
    </xf>
    <xf numFmtId="170" fontId="27" fillId="0" borderId="1089" xfId="0" applyNumberFormat="1" applyFont="1" applyBorder="1" applyAlignment="1">
      <alignment horizontal="center" vertical="center"/>
    </xf>
    <xf numFmtId="170" fontId="27" fillId="0" borderId="782" xfId="0" applyNumberFormat="1" applyFont="1" applyBorder="1" applyAlignment="1">
      <alignment horizontal="center" vertical="center"/>
    </xf>
    <xf numFmtId="170" fontId="27" fillId="0" borderId="1088" xfId="0" applyNumberFormat="1" applyFont="1" applyBorder="1" applyAlignment="1">
      <alignment horizontal="center" vertical="center"/>
    </xf>
    <xf numFmtId="170" fontId="21" fillId="0" borderId="216" xfId="0" applyNumberFormat="1" applyFont="1" applyBorder="1" applyAlignment="1">
      <alignment vertical="center"/>
    </xf>
    <xf numFmtId="170" fontId="21" fillId="0" borderId="1094" xfId="0" applyNumberFormat="1" applyFont="1" applyBorder="1" applyAlignment="1">
      <alignment vertical="center"/>
    </xf>
    <xf numFmtId="170" fontId="21" fillId="0" borderId="1092" xfId="0" applyNumberFormat="1" applyFont="1" applyBorder="1" applyAlignment="1">
      <alignment vertical="center"/>
    </xf>
    <xf numFmtId="1" fontId="21" fillId="0" borderId="1092" xfId="0" applyNumberFormat="1" applyFont="1" applyBorder="1" applyAlignment="1">
      <alignment horizontal="center" vertical="center"/>
    </xf>
    <xf numFmtId="1" fontId="13" fillId="0" borderId="912" xfId="0" applyNumberFormat="1" applyFont="1" applyBorder="1" applyAlignment="1">
      <alignment horizontal="right" vertical="center"/>
    </xf>
    <xf numFmtId="0" fontId="36" fillId="0" borderId="789" xfId="0" applyNumberFormat="1" applyFont="1" applyBorder="1" applyAlignment="1">
      <alignment horizontal="center" vertical="center"/>
    </xf>
    <xf numFmtId="0" fontId="87" fillId="0" borderId="0" xfId="0" applyNumberFormat="1" applyFont="1" applyAlignment="1">
      <alignment horizontal="right" vertical="center"/>
    </xf>
    <xf numFmtId="1" fontId="22" fillId="0" borderId="1095" xfId="0" applyNumberFormat="1" applyFont="1" applyBorder="1" applyAlignment="1">
      <alignment horizontal="center" vertical="center"/>
    </xf>
    <xf numFmtId="170" fontId="29" fillId="0" borderId="0" xfId="0" applyNumberFormat="1" applyFont="1" applyAlignment="1">
      <alignment horizontal="center" vertical="center" wrapText="1"/>
    </xf>
    <xf numFmtId="1" fontId="22" fillId="0" borderId="0" xfId="0" applyNumberFormat="1" applyFont="1" applyAlignment="1">
      <alignment horizontal="center" vertical="center"/>
    </xf>
    <xf numFmtId="0" fontId="75" fillId="0" borderId="0" xfId="0" applyNumberFormat="1" applyFont="1" applyAlignment="1">
      <alignment horizontal="left" vertical="center"/>
    </xf>
    <xf numFmtId="0" fontId="78" fillId="0" borderId="0" xfId="0" applyNumberFormat="1" applyFont="1" applyAlignment="1">
      <alignment horizontal="left" vertical="center"/>
    </xf>
    <xf numFmtId="0" fontId="88" fillId="0" borderId="0" xfId="0" applyNumberFormat="1" applyFont="1" applyAlignment="1">
      <alignment vertical="center"/>
    </xf>
    <xf numFmtId="0" fontId="78" fillId="0" borderId="0" xfId="0" applyNumberFormat="1" applyFont="1" applyAlignment="1">
      <alignment vertical="center"/>
    </xf>
    <xf numFmtId="0" fontId="78" fillId="0" borderId="0" xfId="0" applyNumberFormat="1" applyFont="1" applyAlignment="1">
      <alignment horizontal="center" vertical="center"/>
    </xf>
    <xf numFmtId="170" fontId="78" fillId="0" borderId="0" xfId="0" applyNumberFormat="1" applyFont="1" applyAlignment="1">
      <alignment vertical="center"/>
    </xf>
    <xf numFmtId="170" fontId="78" fillId="0" borderId="0" xfId="0" applyNumberFormat="1" applyFont="1" applyAlignment="1">
      <alignment horizontal="right" vertical="center"/>
    </xf>
    <xf numFmtId="170" fontId="78" fillId="0" borderId="0" xfId="0" applyNumberFormat="1" applyFont="1" applyAlignment="1">
      <alignment horizontal="center" vertical="center"/>
    </xf>
    <xf numFmtId="0" fontId="89" fillId="0" borderId="0" xfId="0" applyNumberFormat="1" applyFont="1" applyAlignment="1">
      <alignment vertical="center"/>
    </xf>
    <xf numFmtId="0" fontId="90" fillId="0" borderId="0" xfId="0" applyNumberFormat="1" applyFont="1" applyAlignment="1">
      <alignment vertical="center"/>
    </xf>
    <xf numFmtId="0" fontId="62" fillId="0" borderId="0" xfId="0" applyNumberFormat="1" applyFont="1" applyAlignment="1">
      <alignment horizontal="left" vertical="center"/>
    </xf>
    <xf numFmtId="0" fontId="62" fillId="0" borderId="0" xfId="0" applyNumberFormat="1" applyFont="1" applyAlignment="1">
      <alignment horizontal="center" vertical="center"/>
    </xf>
    <xf numFmtId="170" fontId="62" fillId="0" borderId="0" xfId="0" applyNumberFormat="1" applyFont="1" applyAlignment="1">
      <alignment vertical="center"/>
    </xf>
    <xf numFmtId="170" fontId="62" fillId="0" borderId="0" xfId="0" applyNumberFormat="1" applyFont="1" applyAlignment="1">
      <alignment horizontal="right" vertical="center"/>
    </xf>
    <xf numFmtId="170" fontId="62" fillId="0" borderId="0" xfId="0" applyNumberFormat="1" applyFont="1" applyAlignment="1">
      <alignment horizontal="center" vertical="center"/>
    </xf>
    <xf numFmtId="1" fontId="39" fillId="0" borderId="0" xfId="0" applyNumberFormat="1" applyFont="1" applyAlignment="1">
      <alignment horizontal="center" vertical="center"/>
    </xf>
    <xf numFmtId="0" fontId="91" fillId="0" borderId="0" xfId="0" applyNumberFormat="1" applyFont="1" applyAlignment="1">
      <alignment vertical="center"/>
    </xf>
    <xf numFmtId="0" fontId="44" fillId="0" borderId="0" xfId="0" applyNumberFormat="1" applyFont="1" applyAlignment="1">
      <alignment vertical="center"/>
    </xf>
    <xf numFmtId="0" fontId="63" fillId="0" borderId="0" xfId="0" applyNumberFormat="1" applyFont="1" applyAlignment="1">
      <alignment horizontal="left" vertical="center"/>
    </xf>
    <xf numFmtId="0" fontId="63" fillId="0" borderId="0" xfId="0" applyNumberFormat="1" applyFont="1" applyAlignment="1">
      <alignment horizontal="center" vertical="center"/>
    </xf>
    <xf numFmtId="170" fontId="63" fillId="0" borderId="0" xfId="0" applyNumberFormat="1" applyFont="1" applyAlignment="1">
      <alignment vertical="center"/>
    </xf>
    <xf numFmtId="170" fontId="63" fillId="0" borderId="0" xfId="0" applyNumberFormat="1" applyFont="1" applyAlignment="1">
      <alignment horizontal="right" vertical="center"/>
    </xf>
    <xf numFmtId="170" fontId="63" fillId="0" borderId="0" xfId="0" applyNumberFormat="1" applyFont="1" applyAlignment="1">
      <alignment horizontal="center" vertical="center"/>
    </xf>
    <xf numFmtId="1" fontId="62" fillId="0" borderId="0" xfId="0" applyNumberFormat="1" applyFont="1" applyAlignment="1">
      <alignment vertical="center"/>
    </xf>
    <xf numFmtId="0" fontId="63" fillId="0" borderId="0" xfId="0" applyNumberFormat="1" applyFont="1" applyAlignment="1">
      <alignment horizontal="left" vertical="center" wrapText="1"/>
    </xf>
    <xf numFmtId="170" fontId="63" fillId="0" borderId="0" xfId="0" applyNumberFormat="1" applyFont="1" applyAlignment="1">
      <alignment horizontal="left" vertical="center" wrapText="1"/>
    </xf>
    <xf numFmtId="0" fontId="63" fillId="0" borderId="0" xfId="0" applyNumberFormat="1" applyFont="1" applyAlignment="1">
      <alignment horizontal="center" vertical="center" wrapText="1"/>
    </xf>
    <xf numFmtId="170" fontId="34" fillId="0" borderId="0" xfId="0" applyNumberFormat="1" applyFont="1" applyAlignment="1">
      <alignment horizontal="center" vertical="center"/>
    </xf>
    <xf numFmtId="170" fontId="35" fillId="0" borderId="0" xfId="0" applyNumberFormat="1" applyFont="1" applyAlignment="1">
      <alignment vertical="center"/>
    </xf>
    <xf numFmtId="170" fontId="33" fillId="0" borderId="0" xfId="0" applyNumberFormat="1" applyFont="1" applyAlignment="1">
      <alignment horizontal="left" vertical="center"/>
    </xf>
    <xf numFmtId="0" fontId="35" fillId="0" borderId="0" xfId="0" applyNumberFormat="1" applyFont="1" applyAlignment="1">
      <alignment horizontal="center" vertical="center"/>
    </xf>
    <xf numFmtId="0" fontId="62" fillId="0" borderId="0" xfId="0" applyNumberFormat="1" applyFont="1" applyAlignment="1">
      <alignment horizontal="left" vertical="center" wrapText="1"/>
    </xf>
    <xf numFmtId="170" fontId="35" fillId="0" borderId="0" xfId="0" applyNumberFormat="1" applyFont="1" applyAlignment="1">
      <alignment horizontal="right" vertical="center"/>
    </xf>
    <xf numFmtId="170" fontId="35" fillId="0" borderId="0" xfId="0" applyNumberFormat="1" applyFont="1" applyAlignment="1">
      <alignment horizontal="center" vertical="center"/>
    </xf>
    <xf numFmtId="0" fontId="77" fillId="0" borderId="0" xfId="0" applyNumberFormat="1" applyFont="1" applyAlignment="1">
      <alignment horizontal="center" vertical="center"/>
    </xf>
    <xf numFmtId="0" fontId="77" fillId="0" borderId="0" xfId="0" applyNumberFormat="1" applyFont="1" applyAlignment="1">
      <alignment vertical="center"/>
    </xf>
    <xf numFmtId="170" fontId="77" fillId="0" borderId="0" xfId="0" applyNumberFormat="1" applyFont="1" applyAlignment="1">
      <alignment vertical="center"/>
    </xf>
    <xf numFmtId="170" fontId="77" fillId="0" borderId="0" xfId="0" applyNumberFormat="1" applyFont="1" applyAlignment="1">
      <alignment horizontal="right" vertical="center"/>
    </xf>
    <xf numFmtId="170" fontId="77" fillId="0" borderId="0" xfId="0" applyNumberFormat="1" applyFont="1" applyAlignment="1">
      <alignment horizontal="center" vertical="center"/>
    </xf>
    <xf numFmtId="0" fontId="35" fillId="0" borderId="0" xfId="0" applyNumberFormat="1" applyFont="1" applyAlignment="1">
      <alignment horizontal="left" vertical="center" wrapText="1"/>
    </xf>
    <xf numFmtId="170" fontId="35" fillId="0" borderId="0" xfId="0" applyNumberFormat="1" applyFont="1" applyAlignment="1">
      <alignment horizontal="left" vertical="center" wrapText="1"/>
    </xf>
    <xf numFmtId="0" fontId="75" fillId="0" borderId="0" xfId="0" applyNumberFormat="1" applyFont="1" applyAlignment="1">
      <alignment vertical="center"/>
    </xf>
    <xf numFmtId="170" fontId="13" fillId="0" borderId="0" xfId="0" applyNumberFormat="1" applyFont="1" applyAlignment="1">
      <alignment horizontal="left" vertical="center" wrapText="1"/>
    </xf>
    <xf numFmtId="0" fontId="44" fillId="0" borderId="0" xfId="0" applyNumberFormat="1" applyFont="1" applyAlignment="1">
      <alignment horizontal="center" vertical="center" wrapText="1"/>
    </xf>
    <xf numFmtId="0" fontId="43" fillId="0" borderId="0" xfId="0" applyNumberFormat="1" applyFont="1" applyAlignment="1">
      <alignment horizontal="right" vertical="center"/>
    </xf>
    <xf numFmtId="0" fontId="43" fillId="0" borderId="71" xfId="0" applyNumberFormat="1" applyFont="1" applyBorder="1" applyAlignment="1">
      <alignment horizontal="right" vertical="center" wrapText="1"/>
    </xf>
    <xf numFmtId="0" fontId="44" fillId="0" borderId="21" xfId="0" applyNumberFormat="1" applyFont="1" applyBorder="1" applyAlignment="1">
      <alignment horizontal="center" vertical="center"/>
    </xf>
    <xf numFmtId="0" fontId="61" fillId="0" borderId="0" xfId="0" applyNumberFormat="1" applyFont="1" applyAlignment="1">
      <alignment horizontal="left" vertical="center"/>
    </xf>
    <xf numFmtId="0" fontId="61" fillId="0" borderId="0" xfId="0" applyNumberFormat="1" applyFont="1" applyAlignment="1">
      <alignment vertical="center"/>
    </xf>
    <xf numFmtId="0" fontId="61" fillId="0" borderId="0" xfId="0" applyNumberFormat="1" applyFont="1" applyAlignment="1">
      <alignment horizontal="center" vertical="center"/>
    </xf>
    <xf numFmtId="0" fontId="43" fillId="0" borderId="18" xfId="0" applyNumberFormat="1" applyFont="1" applyBorder="1" applyAlignment="1">
      <alignment horizontal="center" vertical="center" textRotation="90" wrapText="1"/>
    </xf>
    <xf numFmtId="0" fontId="61" fillId="0" borderId="18" xfId="0" applyNumberFormat="1" applyFont="1" applyBorder="1" applyAlignment="1">
      <alignment horizontal="center" vertical="center" wrapText="1"/>
    </xf>
    <xf numFmtId="0" fontId="43" fillId="0" borderId="18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61" fillId="0" borderId="18" xfId="0" applyNumberFormat="1" applyFont="1" applyBorder="1" applyAlignment="1">
      <alignment horizontal="center" vertical="center"/>
    </xf>
    <xf numFmtId="0" fontId="93" fillId="0" borderId="0" xfId="0" applyNumberFormat="1" applyFont="1"/>
    <xf numFmtId="0" fontId="61" fillId="0" borderId="15" xfId="0" applyNumberFormat="1" applyFont="1" applyBorder="1" applyAlignment="1">
      <alignment horizontal="left" vertical="center" indent="1"/>
    </xf>
    <xf numFmtId="0" fontId="61" fillId="0" borderId="21" xfId="0" applyNumberFormat="1" applyFont="1" applyBorder="1" applyAlignment="1">
      <alignment horizontal="left" vertical="center" indent="1"/>
    </xf>
    <xf numFmtId="0" fontId="61" fillId="0" borderId="12" xfId="0" applyNumberFormat="1" applyFont="1" applyBorder="1" applyAlignment="1">
      <alignment vertical="center"/>
    </xf>
    <xf numFmtId="14" fontId="61" fillId="0" borderId="18" xfId="0" applyNumberFormat="1" applyFont="1" applyBorder="1" applyAlignment="1">
      <alignment horizontal="center" vertical="center"/>
    </xf>
    <xf numFmtId="0" fontId="61" fillId="0" borderId="18" xfId="0" applyNumberFormat="1" applyFont="1" applyBorder="1" applyAlignment="1">
      <alignment vertical="center"/>
    </xf>
    <xf numFmtId="0" fontId="61" fillId="0" borderId="0" xfId="0" applyNumberFormat="1" applyFont="1" applyAlignment="1">
      <alignment horizontal="left" vertical="center" indent="1"/>
    </xf>
    <xf numFmtId="1" fontId="61" fillId="0" borderId="0" xfId="0" applyNumberFormat="1" applyFont="1" applyAlignment="1">
      <alignment horizontal="center" vertical="center"/>
    </xf>
    <xf numFmtId="0" fontId="61" fillId="0" borderId="0" xfId="0" applyNumberFormat="1" applyFont="1" applyAlignment="1">
      <alignment horizontal="left"/>
    </xf>
    <xf numFmtId="0" fontId="61" fillId="0" borderId="70" xfId="0" applyNumberFormat="1" applyFont="1" applyBorder="1" applyAlignment="1">
      <alignment horizontal="left" vertical="center" indent="1"/>
    </xf>
    <xf numFmtId="0" fontId="61" fillId="0" borderId="70" xfId="0" applyNumberFormat="1" applyFont="1" applyBorder="1" applyAlignment="1">
      <alignment horizontal="center"/>
    </xf>
    <xf numFmtId="0" fontId="61" fillId="0" borderId="21" xfId="0" applyNumberFormat="1" applyFont="1" applyBorder="1" applyAlignment="1">
      <alignment horizontal="center" vertical="center" wrapText="1"/>
    </xf>
    <xf numFmtId="0" fontId="61" fillId="0" borderId="0" xfId="0" applyNumberFormat="1" applyFont="1" applyAlignment="1">
      <alignment vertical="center" wrapText="1"/>
    </xf>
    <xf numFmtId="0" fontId="43" fillId="0" borderId="0" xfId="0" applyNumberFormat="1" applyFont="1" applyAlignment="1">
      <alignment horizontal="right"/>
    </xf>
    <xf numFmtId="0" fontId="25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0" fontId="94" fillId="0" borderId="0" xfId="0" applyNumberFormat="1" applyFont="1" applyAlignment="1">
      <alignment horizontal="center" vertical="top"/>
    </xf>
    <xf numFmtId="0" fontId="95" fillId="0" borderId="0" xfId="0" applyNumberFormat="1" applyFont="1" applyAlignment="1">
      <alignment vertical="top"/>
    </xf>
    <xf numFmtId="0" fontId="96" fillId="0" borderId="0" xfId="0" applyNumberFormat="1" applyFont="1" applyAlignment="1">
      <alignment horizontal="center" vertical="top"/>
    </xf>
    <xf numFmtId="0" fontId="94" fillId="0" borderId="0" xfId="0" applyNumberFormat="1" applyFont="1" applyAlignment="1">
      <alignment horizontal="center" vertical="center"/>
    </xf>
    <xf numFmtId="0" fontId="95" fillId="0" borderId="0" xfId="0" applyNumberFormat="1" applyFont="1"/>
    <xf numFmtId="0" fontId="96" fillId="0" borderId="0" xfId="0" applyNumberFormat="1" applyFont="1" applyAlignment="1">
      <alignment horizontal="center" vertical="center"/>
    </xf>
    <xf numFmtId="0" fontId="43" fillId="0" borderId="0" xfId="0" applyNumberFormat="1" applyFont="1"/>
    <xf numFmtId="0" fontId="43" fillId="0" borderId="1" xfId="0" applyNumberFormat="1" applyFont="1" applyBorder="1"/>
    <xf numFmtId="0" fontId="32" fillId="0" borderId="70" xfId="0" applyNumberFormat="1" applyFont="1" applyBorder="1"/>
    <xf numFmtId="0" fontId="93" fillId="0" borderId="70" xfId="0" applyNumberFormat="1" applyFont="1" applyBorder="1"/>
    <xf numFmtId="0" fontId="36" fillId="0" borderId="0" xfId="0" applyNumberFormat="1" applyFont="1" applyAlignment="1">
      <alignment horizontal="center" vertical="top"/>
    </xf>
    <xf numFmtId="0" fontId="61" fillId="0" borderId="70" xfId="0" applyNumberFormat="1" applyFont="1" applyBorder="1" applyAlignment="1">
      <alignment horizontal="center" vertical="center"/>
    </xf>
    <xf numFmtId="170" fontId="4" fillId="8" borderId="1200" xfId="0" applyNumberFormat="1" applyFont="1" applyFill="1" applyBorder="1" applyAlignment="1">
      <alignment horizontal="center" vertical="center" wrapText="1"/>
    </xf>
    <xf numFmtId="0" fontId="77" fillId="7" borderId="1218" xfId="0" applyNumberFormat="1" applyFont="1" applyFill="1" applyBorder="1" applyAlignment="1">
      <alignment vertical="center"/>
    </xf>
    <xf numFmtId="0" fontId="77" fillId="7" borderId="1219" xfId="0" applyNumberFormat="1" applyFont="1" applyFill="1" applyBorder="1" applyAlignment="1">
      <alignment vertical="center"/>
    </xf>
    <xf numFmtId="0" fontId="65" fillId="7" borderId="1095" xfId="0" applyNumberFormat="1" applyFont="1" applyFill="1" applyBorder="1" applyAlignment="1">
      <alignment vertical="center"/>
    </xf>
    <xf numFmtId="0" fontId="4" fillId="7" borderId="782" xfId="0" applyNumberFormat="1" applyFont="1" applyFill="1" applyBorder="1" applyAlignment="1">
      <alignment vertical="center"/>
    </xf>
    <xf numFmtId="0" fontId="65" fillId="7" borderId="1088" xfId="0" applyNumberFormat="1" applyFont="1" applyFill="1" applyBorder="1" applyAlignment="1">
      <alignment vertical="center"/>
    </xf>
    <xf numFmtId="0" fontId="65" fillId="7" borderId="1220" xfId="0" applyNumberFormat="1" applyFont="1" applyFill="1" applyBorder="1" applyAlignment="1">
      <alignment vertical="center"/>
    </xf>
    <xf numFmtId="1" fontId="80" fillId="7" borderId="1088" xfId="0" applyNumberFormat="1" applyFont="1" applyFill="1" applyBorder="1" applyAlignment="1">
      <alignment horizontal="center" vertical="center"/>
    </xf>
    <xf numFmtId="170" fontId="65" fillId="7" borderId="1094" xfId="0" applyNumberFormat="1" applyFont="1" applyFill="1" applyBorder="1" applyAlignment="1">
      <alignment horizontal="center" vertical="center"/>
    </xf>
    <xf numFmtId="1" fontId="80" fillId="7" borderId="782" xfId="0" applyNumberFormat="1" applyFont="1" applyFill="1" applyBorder="1" applyAlignment="1">
      <alignment horizontal="center" vertical="center"/>
    </xf>
    <xf numFmtId="0" fontId="80" fillId="7" borderId="1221" xfId="0" applyNumberFormat="1" applyFont="1" applyFill="1" applyBorder="1" applyAlignment="1">
      <alignment horizontal="center" vertical="center"/>
    </xf>
    <xf numFmtId="170" fontId="65" fillId="0" borderId="0" xfId="0" applyNumberFormat="1" applyFont="1" applyAlignment="1">
      <alignment horizontal="right" vertical="center"/>
    </xf>
    <xf numFmtId="1" fontId="65" fillId="0" borderId="0" xfId="0" applyNumberFormat="1" applyFont="1" applyAlignment="1">
      <alignment vertical="center"/>
    </xf>
    <xf numFmtId="0" fontId="22" fillId="7" borderId="1238" xfId="0" applyNumberFormat="1" applyFont="1" applyFill="1" applyBorder="1" applyAlignment="1">
      <alignment horizontal="right" vertical="center"/>
    </xf>
    <xf numFmtId="170" fontId="22" fillId="7" borderId="0" xfId="0" applyNumberFormat="1" applyFont="1" applyFill="1" applyAlignment="1">
      <alignment horizontal="left" vertical="center"/>
    </xf>
    <xf numFmtId="1" fontId="80" fillId="7" borderId="0" xfId="0" applyNumberFormat="1" applyFont="1" applyFill="1" applyAlignment="1">
      <alignment horizontal="center" vertical="center"/>
    </xf>
    <xf numFmtId="0" fontId="80" fillId="7" borderId="0" xfId="0" applyNumberFormat="1" applyFont="1" applyFill="1" applyAlignment="1">
      <alignment horizontal="left" vertical="center"/>
    </xf>
    <xf numFmtId="1" fontId="81" fillId="7" borderId="0" xfId="0" applyNumberFormat="1" applyFont="1" applyFill="1" applyAlignment="1">
      <alignment horizontal="center" vertical="center"/>
    </xf>
    <xf numFmtId="0" fontId="4" fillId="7" borderId="18" xfId="0" applyNumberFormat="1" applyFont="1" applyFill="1" applyBorder="1" applyAlignment="1">
      <alignment vertical="center"/>
    </xf>
    <xf numFmtId="0" fontId="65" fillId="7" borderId="15" xfId="0" applyNumberFormat="1" applyFont="1" applyFill="1" applyBorder="1" applyAlignment="1">
      <alignment vertical="center"/>
    </xf>
    <xf numFmtId="0" fontId="65" fillId="7" borderId="12" xfId="0" applyNumberFormat="1" applyFont="1" applyFill="1" applyBorder="1" applyAlignment="1">
      <alignment vertical="center"/>
    </xf>
    <xf numFmtId="1" fontId="80" fillId="7" borderId="15" xfId="0" applyNumberFormat="1" applyFont="1" applyFill="1" applyBorder="1" applyAlignment="1">
      <alignment horizontal="center" vertical="center"/>
    </xf>
    <xf numFmtId="170" fontId="65" fillId="7" borderId="21" xfId="0" applyNumberFormat="1" applyFont="1" applyFill="1" applyBorder="1" applyAlignment="1">
      <alignment horizontal="center" vertical="center"/>
    </xf>
    <xf numFmtId="0" fontId="80" fillId="7" borderId="1239" xfId="0" applyNumberFormat="1" applyFont="1" applyFill="1" applyBorder="1" applyAlignment="1">
      <alignment horizontal="center" vertical="center"/>
    </xf>
    <xf numFmtId="170" fontId="21" fillId="7" borderId="12" xfId="0" applyNumberFormat="1" applyFont="1" applyFill="1" applyBorder="1" applyAlignment="1">
      <alignment horizontal="center" vertical="center" wrapText="1"/>
    </xf>
    <xf numFmtId="170" fontId="97" fillId="0" borderId="0" xfId="0" applyNumberFormat="1" applyFont="1" applyAlignment="1">
      <alignment vertical="center"/>
    </xf>
    <xf numFmtId="0" fontId="22" fillId="7" borderId="1266" xfId="0" applyNumberFormat="1" applyFont="1" applyFill="1" applyBorder="1" applyAlignment="1">
      <alignment horizontal="right" vertical="center"/>
    </xf>
    <xf numFmtId="0" fontId="1" fillId="7" borderId="1087" xfId="0" applyNumberFormat="1" applyFont="1" applyFill="1" applyBorder="1" applyAlignment="1">
      <alignment vertical="center"/>
    </xf>
    <xf numFmtId="0" fontId="22" fillId="7" borderId="1087" xfId="0" applyNumberFormat="1" applyFont="1" applyFill="1" applyBorder="1" applyAlignment="1">
      <alignment horizontal="right" vertical="center"/>
    </xf>
    <xf numFmtId="0" fontId="34" fillId="7" borderId="789" xfId="0" applyNumberFormat="1" applyFont="1" applyFill="1" applyBorder="1" applyAlignment="1">
      <alignment horizontal="right" vertical="center"/>
    </xf>
    <xf numFmtId="0" fontId="52" fillId="7" borderId="789" xfId="0" applyNumberFormat="1" applyFont="1" applyFill="1" applyBorder="1" applyAlignment="1">
      <alignment horizontal="center" vertical="center"/>
    </xf>
    <xf numFmtId="1" fontId="52" fillId="7" borderId="789" xfId="0" applyNumberFormat="1" applyFont="1" applyFill="1" applyBorder="1" applyAlignment="1">
      <alignment horizontal="center" vertical="center"/>
    </xf>
    <xf numFmtId="1" fontId="43" fillId="7" borderId="1267" xfId="0" applyNumberFormat="1" applyFont="1" applyFill="1" applyBorder="1" applyAlignment="1">
      <alignment horizontal="center" vertical="center"/>
    </xf>
    <xf numFmtId="0" fontId="4" fillId="7" borderId="789" xfId="0" applyNumberFormat="1" applyFont="1" applyFill="1" applyBorder="1" applyAlignment="1">
      <alignment vertical="center"/>
    </xf>
    <xf numFmtId="0" fontId="22" fillId="7" borderId="1084" xfId="0" applyNumberFormat="1" applyFont="1" applyFill="1" applyBorder="1" applyAlignment="1">
      <alignment horizontal="center" vertical="center"/>
    </xf>
    <xf numFmtId="0" fontId="65" fillId="7" borderId="1085" xfId="0" applyNumberFormat="1" applyFont="1" applyFill="1" applyBorder="1" applyAlignment="1">
      <alignment vertical="center"/>
    </xf>
    <xf numFmtId="1" fontId="80" fillId="7" borderId="1084" xfId="0" applyNumberFormat="1" applyFont="1" applyFill="1" applyBorder="1" applyAlignment="1">
      <alignment horizontal="center" vertical="center"/>
    </xf>
    <xf numFmtId="170" fontId="65" fillId="7" borderId="1087" xfId="0" applyNumberFormat="1" applyFont="1" applyFill="1" applyBorder="1" applyAlignment="1">
      <alignment horizontal="center" vertical="center"/>
    </xf>
    <xf numFmtId="1" fontId="80" fillId="7" borderId="789" xfId="0" applyNumberFormat="1" applyFont="1" applyFill="1" applyBorder="1" applyAlignment="1">
      <alignment horizontal="center" vertical="center"/>
    </xf>
    <xf numFmtId="0" fontId="80" fillId="7" borderId="1268" xfId="0" applyNumberFormat="1" applyFont="1" applyFill="1" applyBorder="1" applyAlignment="1">
      <alignment horizontal="center" vertical="center"/>
    </xf>
    <xf numFmtId="170" fontId="21" fillId="7" borderId="1267" xfId="0" applyNumberFormat="1" applyFont="1" applyFill="1" applyBorder="1" applyAlignment="1">
      <alignment horizontal="center" vertical="center" wrapText="1"/>
    </xf>
    <xf numFmtId="170" fontId="21" fillId="7" borderId="810" xfId="0" applyNumberFormat="1" applyFont="1" applyFill="1" applyBorder="1" applyAlignment="1">
      <alignment horizontal="center" vertical="center" wrapText="1"/>
    </xf>
    <xf numFmtId="170" fontId="21" fillId="7" borderId="811" xfId="0" applyNumberFormat="1" applyFont="1" applyFill="1" applyBorder="1" applyAlignment="1">
      <alignment horizontal="center" vertical="center" wrapText="1"/>
    </xf>
    <xf numFmtId="170" fontId="75" fillId="0" borderId="0" xfId="0" applyNumberFormat="1" applyFont="1" applyAlignment="1">
      <alignment vertical="center"/>
    </xf>
    <xf numFmtId="170" fontId="75" fillId="0" borderId="0" xfId="0" applyNumberFormat="1" applyFont="1" applyAlignment="1">
      <alignment horizontal="center" vertical="center"/>
    </xf>
    <xf numFmtId="1" fontId="76" fillId="0" borderId="0" xfId="0" applyNumberFormat="1" applyFont="1" applyAlignment="1">
      <alignment horizontal="center" vertical="center"/>
    </xf>
    <xf numFmtId="0" fontId="83" fillId="0" borderId="0" xfId="0" applyNumberFormat="1" applyFont="1" applyAlignment="1">
      <alignment vertical="center"/>
    </xf>
    <xf numFmtId="0" fontId="53" fillId="0" borderId="0" xfId="0" applyNumberFormat="1" applyFont="1" applyAlignment="1">
      <alignment vertical="center"/>
    </xf>
    <xf numFmtId="170" fontId="28" fillId="0" borderId="0" xfId="0" applyNumberFormat="1" applyFont="1" applyAlignment="1">
      <alignment vertical="center"/>
    </xf>
    <xf numFmtId="0" fontId="28" fillId="0" borderId="1288" xfId="0" applyNumberFormat="1" applyFont="1" applyBorder="1" applyAlignment="1">
      <alignment vertical="center" textRotation="90"/>
    </xf>
    <xf numFmtId="170" fontId="85" fillId="0" borderId="1295" xfId="0" applyNumberFormat="1" applyFont="1" applyBorder="1" applyAlignment="1">
      <alignment horizontal="center" vertical="center" wrapText="1"/>
    </xf>
    <xf numFmtId="170" fontId="85" fillId="0" borderId="1316" xfId="0" applyNumberFormat="1" applyFont="1" applyBorder="1" applyAlignment="1">
      <alignment horizontal="center" vertical="center" wrapText="1"/>
    </xf>
    <xf numFmtId="170" fontId="85" fillId="0" borderId="196" xfId="0" applyNumberFormat="1" applyFont="1" applyBorder="1" applyAlignment="1">
      <alignment horizontal="center" vertical="center" wrapText="1"/>
    </xf>
    <xf numFmtId="170" fontId="85" fillId="0" borderId="195" xfId="0" applyNumberFormat="1" applyFont="1" applyBorder="1" applyAlignment="1">
      <alignment horizontal="center" vertical="center" wrapText="1"/>
    </xf>
    <xf numFmtId="170" fontId="85" fillId="0" borderId="1317" xfId="0" applyNumberFormat="1" applyFont="1" applyBorder="1" applyAlignment="1">
      <alignment horizontal="center" vertical="center" wrapText="1"/>
    </xf>
    <xf numFmtId="170" fontId="85" fillId="0" borderId="1318" xfId="0" applyNumberFormat="1" applyFont="1" applyBorder="1" applyAlignment="1">
      <alignment horizontal="center" vertical="center" wrapText="1"/>
    </xf>
    <xf numFmtId="170" fontId="85" fillId="0" borderId="1287" xfId="0" applyNumberFormat="1" applyFont="1" applyBorder="1" applyAlignment="1">
      <alignment horizontal="center" vertical="center" wrapText="1"/>
    </xf>
    <xf numFmtId="170" fontId="85" fillId="0" borderId="1283" xfId="0" applyNumberFormat="1" applyFont="1" applyBorder="1" applyAlignment="1">
      <alignment horizontal="center" vertical="center" wrapText="1"/>
    </xf>
    <xf numFmtId="170" fontId="85" fillId="0" borderId="1319" xfId="0" applyNumberFormat="1" applyFont="1" applyBorder="1" applyAlignment="1">
      <alignment horizontal="center" vertical="center" wrapText="1"/>
    </xf>
    <xf numFmtId="170" fontId="16" fillId="0" borderId="1288" xfId="0" applyNumberFormat="1" applyFont="1" applyBorder="1" applyAlignment="1">
      <alignment horizontal="center" vertical="center"/>
    </xf>
    <xf numFmtId="170" fontId="16" fillId="0" borderId="1283" xfId="0" applyNumberFormat="1" applyFont="1" applyBorder="1" applyAlignment="1">
      <alignment horizontal="center" vertical="center" wrapText="1"/>
    </xf>
    <xf numFmtId="0" fontId="98" fillId="0" borderId="1288" xfId="0" applyNumberFormat="1" applyFont="1" applyBorder="1" applyAlignment="1">
      <alignment horizontal="center" vertical="center" textRotation="90"/>
    </xf>
    <xf numFmtId="170" fontId="16" fillId="0" borderId="197" xfId="0" applyNumberFormat="1" applyFont="1" applyBorder="1" applyAlignment="1">
      <alignment horizontal="center" vertical="center"/>
    </xf>
    <xf numFmtId="0" fontId="98" fillId="0" borderId="1317" xfId="0" applyNumberFormat="1" applyFont="1" applyBorder="1" applyAlignment="1">
      <alignment horizontal="center" vertical="center" textRotation="90"/>
    </xf>
    <xf numFmtId="0" fontId="28" fillId="0" borderId="1088" xfId="0" applyNumberFormat="1" applyFont="1" applyBorder="1" applyAlignment="1">
      <alignment horizontal="right" vertical="center"/>
    </xf>
    <xf numFmtId="0" fontId="13" fillId="0" borderId="1220" xfId="0" applyNumberFormat="1" applyFont="1" applyBorder="1" applyAlignment="1">
      <alignment horizontal="left" vertical="center"/>
    </xf>
    <xf numFmtId="0" fontId="36" fillId="0" borderId="782" xfId="0" applyNumberFormat="1" applyFont="1" applyBorder="1" applyAlignment="1">
      <alignment horizontal="left" vertical="center"/>
    </xf>
    <xf numFmtId="0" fontId="28" fillId="0" borderId="794" xfId="0" applyNumberFormat="1" applyFont="1" applyBorder="1" applyAlignment="1">
      <alignment horizontal="left" vertical="center"/>
    </xf>
    <xf numFmtId="1" fontId="13" fillId="0" borderId="1222" xfId="0" applyNumberFormat="1" applyFont="1" applyBorder="1" applyAlignment="1">
      <alignment horizontal="center" vertical="center"/>
    </xf>
    <xf numFmtId="170" fontId="27" fillId="0" borderId="794" xfId="0" applyNumberFormat="1" applyFont="1" applyBorder="1" applyAlignment="1">
      <alignment horizontal="center" vertical="center"/>
    </xf>
    <xf numFmtId="170" fontId="21" fillId="0" borderId="793" xfId="0" applyNumberFormat="1" applyFont="1" applyBorder="1" applyAlignment="1">
      <alignment vertical="center"/>
    </xf>
    <xf numFmtId="1" fontId="21" fillId="0" borderId="794" xfId="0" applyNumberFormat="1" applyFont="1" applyBorder="1" applyAlignment="1">
      <alignment horizontal="center" vertical="center"/>
    </xf>
    <xf numFmtId="0" fontId="28" fillId="0" borderId="15" xfId="0" applyNumberFormat="1" applyFont="1" applyBorder="1" applyAlignment="1">
      <alignment horizontal="right" vertical="center"/>
    </xf>
    <xf numFmtId="0" fontId="13" fillId="0" borderId="12" xfId="0" applyNumberFormat="1" applyFont="1" applyBorder="1" applyAlignment="1">
      <alignment horizontal="left" vertical="center"/>
    </xf>
    <xf numFmtId="0" fontId="28" fillId="0" borderId="802" xfId="0" applyNumberFormat="1" applyFont="1" applyBorder="1" applyAlignment="1">
      <alignment horizontal="left" vertical="center"/>
    </xf>
    <xf numFmtId="1" fontId="13" fillId="0" borderId="1320" xfId="0" applyNumberFormat="1" applyFont="1" applyBorder="1" applyAlignment="1">
      <alignment horizontal="center" vertical="center"/>
    </xf>
    <xf numFmtId="170" fontId="21" fillId="0" borderId="801" xfId="0" applyNumberFormat="1" applyFont="1" applyBorder="1" applyAlignment="1">
      <alignment vertical="center"/>
    </xf>
    <xf numFmtId="0" fontId="28" fillId="0" borderId="1084" xfId="0" applyNumberFormat="1" applyFont="1" applyBorder="1" applyAlignment="1">
      <alignment horizontal="right" vertical="center"/>
    </xf>
    <xf numFmtId="0" fontId="13" fillId="0" borderId="1085" xfId="0" applyNumberFormat="1" applyFont="1" applyBorder="1" applyAlignment="1">
      <alignment horizontal="left" vertical="center"/>
    </xf>
    <xf numFmtId="0" fontId="28" fillId="0" borderId="1086" xfId="0" applyNumberFormat="1" applyFont="1" applyBorder="1" applyAlignment="1">
      <alignment horizontal="left" vertical="center"/>
    </xf>
    <xf numFmtId="1" fontId="13" fillId="0" borderId="1321" xfId="0" applyNumberFormat="1" applyFont="1" applyBorder="1" applyAlignment="1">
      <alignment horizontal="center" vertical="center"/>
    </xf>
    <xf numFmtId="170" fontId="21" fillId="0" borderId="883" xfId="0" applyNumberFormat="1" applyFont="1" applyBorder="1" applyAlignment="1">
      <alignment vertical="center"/>
    </xf>
    <xf numFmtId="170" fontId="21" fillId="0" borderId="190" xfId="0" applyNumberFormat="1" applyFont="1" applyBorder="1" applyAlignment="1">
      <alignment vertical="center"/>
    </xf>
    <xf numFmtId="170" fontId="27" fillId="0" borderId="883" xfId="0" applyNumberFormat="1" applyFont="1" applyBorder="1" applyAlignment="1">
      <alignment horizontal="center" vertical="center"/>
    </xf>
    <xf numFmtId="170" fontId="27" fillId="0" borderId="190" xfId="0" applyNumberFormat="1" applyFont="1" applyBorder="1" applyAlignment="1">
      <alignment horizontal="center" vertical="center"/>
    </xf>
    <xf numFmtId="170" fontId="21" fillId="0" borderId="191" xfId="0" applyNumberFormat="1" applyFont="1" applyBorder="1" applyAlignment="1">
      <alignment vertical="center"/>
    </xf>
    <xf numFmtId="170" fontId="27" fillId="0" borderId="884" xfId="0" applyNumberFormat="1" applyFont="1" applyBorder="1" applyAlignment="1">
      <alignment horizontal="center" vertical="center"/>
    </xf>
    <xf numFmtId="1" fontId="21" fillId="0" borderId="884" xfId="0" applyNumberFormat="1" applyFont="1" applyBorder="1" applyAlignment="1">
      <alignment horizontal="center" vertical="center"/>
    </xf>
    <xf numFmtId="170" fontId="27" fillId="0" borderId="192" xfId="0" applyNumberFormat="1" applyFont="1" applyBorder="1" applyAlignment="1">
      <alignment horizontal="center" vertical="center"/>
    </xf>
    <xf numFmtId="1" fontId="13" fillId="0" borderId="1090" xfId="0" applyNumberFormat="1" applyFont="1" applyBorder="1" applyAlignment="1">
      <alignment horizontal="right" vertical="center"/>
    </xf>
    <xf numFmtId="0" fontId="36" fillId="0" borderId="1091" xfId="0" applyNumberFormat="1" applyFont="1" applyBorder="1" applyAlignment="1">
      <alignment horizontal="center" vertical="center"/>
    </xf>
    <xf numFmtId="0" fontId="28" fillId="0" borderId="1322" xfId="0" applyNumberFormat="1" applyFont="1" applyBorder="1" applyAlignment="1">
      <alignment horizontal="right" vertical="center"/>
    </xf>
    <xf numFmtId="0" fontId="13" fillId="0" borderId="1093" xfId="0" applyNumberFormat="1" applyFont="1" applyBorder="1" applyAlignment="1">
      <alignment horizontal="left" vertical="center"/>
    </xf>
    <xf numFmtId="0" fontId="36" fillId="0" borderId="1091" xfId="0" applyNumberFormat="1" applyFont="1" applyBorder="1" applyAlignment="1">
      <alignment horizontal="left" vertical="center"/>
    </xf>
    <xf numFmtId="0" fontId="28" fillId="0" borderId="1091" xfId="0" applyNumberFormat="1" applyFont="1" applyBorder="1" applyAlignment="1">
      <alignment horizontal="center" vertical="center"/>
    </xf>
    <xf numFmtId="0" fontId="28" fillId="0" borderId="1092" xfId="0" applyNumberFormat="1" applyFont="1" applyBorder="1" applyAlignment="1">
      <alignment horizontal="left" vertical="center"/>
    </xf>
    <xf numFmtId="170" fontId="27" fillId="0" borderId="1322" xfId="0" applyNumberFormat="1" applyFont="1" applyBorder="1" applyAlignment="1">
      <alignment horizontal="center" vertical="center"/>
    </xf>
    <xf numFmtId="0" fontId="13" fillId="0" borderId="1321" xfId="0" applyNumberFormat="1" applyFont="1" applyBorder="1" applyAlignment="1">
      <alignment horizontal="center" vertical="center"/>
    </xf>
    <xf numFmtId="170" fontId="27" fillId="0" borderId="912" xfId="0" applyNumberFormat="1" applyFont="1" applyBorder="1" applyAlignment="1">
      <alignment horizontal="center" vertical="center" wrapText="1"/>
    </xf>
    <xf numFmtId="1" fontId="27" fillId="0" borderId="1086" xfId="0" applyNumberFormat="1" applyFont="1" applyBorder="1" applyAlignment="1">
      <alignment horizontal="center" vertical="center"/>
    </xf>
    <xf numFmtId="170" fontId="21" fillId="0" borderId="1085" xfId="0" applyNumberFormat="1" applyFont="1" applyBorder="1" applyAlignment="1">
      <alignment horizontal="center" vertical="center"/>
    </xf>
    <xf numFmtId="170" fontId="7" fillId="0" borderId="0" xfId="0" applyNumberFormat="1" applyFont="1" applyAlignment="1">
      <alignment vertical="center" wrapText="1"/>
    </xf>
    <xf numFmtId="0" fontId="74" fillId="0" borderId="0" xfId="0" applyNumberFormat="1" applyFont="1" applyAlignment="1">
      <alignment horizontal="left" vertical="center"/>
    </xf>
    <xf numFmtId="0" fontId="74" fillId="0" borderId="0" xfId="0" applyNumberFormat="1" applyFont="1" applyAlignment="1">
      <alignment horizontal="left" vertical="center" wrapText="1"/>
    </xf>
    <xf numFmtId="0" fontId="22" fillId="0" borderId="0" xfId="0" applyNumberFormat="1" applyFont="1" applyAlignment="1">
      <alignment horizontal="left" vertical="center" wrapText="1"/>
    </xf>
    <xf numFmtId="0" fontId="63" fillId="0" borderId="0" xfId="0" applyNumberFormat="1" applyFont="1" applyAlignment="1">
      <alignment vertical="center" wrapText="1"/>
    </xf>
    <xf numFmtId="0" fontId="72" fillId="0" borderId="0" xfId="0" applyNumberFormat="1" applyFont="1" applyAlignment="1">
      <alignment horizontal="center" vertical="center"/>
    </xf>
    <xf numFmtId="170" fontId="72" fillId="0" borderId="0" xfId="0" applyNumberFormat="1" applyFont="1" applyAlignment="1">
      <alignment vertical="center"/>
    </xf>
    <xf numFmtId="170" fontId="72" fillId="0" borderId="0" xfId="0" applyNumberFormat="1" applyFont="1" applyAlignment="1">
      <alignment horizontal="right" vertical="center"/>
    </xf>
    <xf numFmtId="170" fontId="72" fillId="0" borderId="0" xfId="0" applyNumberFormat="1" applyFont="1" applyAlignment="1">
      <alignment horizontal="center" vertical="center"/>
    </xf>
    <xf numFmtId="170" fontId="37" fillId="0" borderId="0" xfId="0" applyNumberFormat="1" applyFont="1" applyAlignment="1">
      <alignment horizontal="left" vertical="center"/>
    </xf>
    <xf numFmtId="0" fontId="99" fillId="0" borderId="0" xfId="0" applyNumberFormat="1" applyFont="1" applyAlignment="1">
      <alignment vertical="center"/>
    </xf>
    <xf numFmtId="170" fontId="37" fillId="0" borderId="0" xfId="0" applyNumberFormat="1" applyFont="1" applyAlignment="1">
      <alignment horizontal="center" vertical="center"/>
    </xf>
    <xf numFmtId="0" fontId="37" fillId="0" borderId="0" xfId="0" applyNumberFormat="1" applyFont="1" applyAlignment="1">
      <alignment horizontal="center" vertical="center"/>
    </xf>
    <xf numFmtId="0" fontId="43" fillId="0" borderId="0" xfId="0" applyNumberFormat="1" applyFont="1" applyAlignment="1">
      <alignment horizontal="right" vertical="center" wrapText="1"/>
    </xf>
    <xf numFmtId="0" fontId="43" fillId="0" borderId="0" xfId="0" applyNumberFormat="1" applyFont="1" applyAlignment="1">
      <alignment horizontal="center" vertical="center" wrapText="1"/>
    </xf>
    <xf numFmtId="0" fontId="61" fillId="0" borderId="12" xfId="0" applyNumberFormat="1" applyFont="1" applyBorder="1" applyAlignment="1">
      <alignment horizontal="left" vertical="center"/>
    </xf>
    <xf numFmtId="1" fontId="61" fillId="0" borderId="0" xfId="0" applyNumberFormat="1" applyFont="1" applyAlignment="1">
      <alignment horizontal="left" vertical="center"/>
    </xf>
    <xf numFmtId="170" fontId="7" fillId="8" borderId="1039" xfId="0" applyNumberFormat="1" applyFont="1" applyFill="1" applyBorder="1" applyAlignment="1">
      <alignment horizontal="center" vertical="center" wrapText="1"/>
    </xf>
    <xf numFmtId="170" fontId="4" fillId="8" borderId="1051" xfId="0" applyNumberFormat="1" applyFont="1" applyFill="1" applyBorder="1" applyAlignment="1">
      <alignment horizontal="center" vertical="center" wrapText="1"/>
    </xf>
    <xf numFmtId="0" fontId="65" fillId="7" borderId="1094" xfId="0" applyNumberFormat="1" applyFont="1" applyFill="1" applyBorder="1" applyAlignment="1">
      <alignment vertical="center"/>
    </xf>
    <xf numFmtId="1" fontId="80" fillId="7" borderId="1094" xfId="0" applyNumberFormat="1" applyFont="1" applyFill="1" applyBorder="1" applyAlignment="1">
      <alignment horizontal="center" vertical="center"/>
    </xf>
    <xf numFmtId="0" fontId="80" fillId="7" borderId="1094" xfId="0" applyNumberFormat="1" applyFont="1" applyFill="1" applyBorder="1" applyAlignment="1">
      <alignment horizontal="center" vertical="center"/>
    </xf>
    <xf numFmtId="170" fontId="17" fillId="7" borderId="1219" xfId="0" applyNumberFormat="1" applyFont="1" applyFill="1" applyBorder="1" applyAlignment="1">
      <alignment horizontal="center" vertical="center" wrapText="1"/>
    </xf>
    <xf numFmtId="0" fontId="79" fillId="7" borderId="1219" xfId="0" applyNumberFormat="1" applyFont="1" applyFill="1" applyBorder="1" applyAlignment="1">
      <alignment horizontal="center" vertical="center"/>
    </xf>
    <xf numFmtId="170" fontId="65" fillId="7" borderId="0" xfId="0" applyNumberFormat="1" applyFont="1" applyFill="1" applyAlignment="1">
      <alignment vertical="center"/>
    </xf>
    <xf numFmtId="0" fontId="65" fillId="7" borderId="21" xfId="0" applyNumberFormat="1" applyFont="1" applyFill="1" applyBorder="1" applyAlignment="1">
      <alignment vertical="center"/>
    </xf>
    <xf numFmtId="1" fontId="80" fillId="7" borderId="21" xfId="0" applyNumberFormat="1" applyFont="1" applyFill="1" applyBorder="1" applyAlignment="1">
      <alignment horizontal="center" vertical="center"/>
    </xf>
    <xf numFmtId="0" fontId="80" fillId="7" borderId="21" xfId="0" applyNumberFormat="1" applyFont="1" applyFill="1" applyBorder="1" applyAlignment="1">
      <alignment horizontal="center" vertical="center"/>
    </xf>
    <xf numFmtId="170" fontId="21" fillId="7" borderId="15" xfId="0" applyNumberFormat="1" applyFont="1" applyFill="1" applyBorder="1" applyAlignment="1">
      <alignment horizontal="center" vertical="center" wrapText="1"/>
    </xf>
    <xf numFmtId="170" fontId="21" fillId="7" borderId="0" xfId="0" applyNumberFormat="1" applyFont="1" applyFill="1" applyAlignment="1">
      <alignment horizontal="center" vertical="center" wrapText="1"/>
    </xf>
    <xf numFmtId="0" fontId="79" fillId="7" borderId="1267" xfId="0" applyNumberFormat="1" applyFont="1" applyFill="1" applyBorder="1" applyAlignment="1">
      <alignment horizontal="center" vertical="center"/>
    </xf>
    <xf numFmtId="0" fontId="65" fillId="7" borderId="1087" xfId="0" applyNumberFormat="1" applyFont="1" applyFill="1" applyBorder="1" applyAlignment="1">
      <alignment vertical="center"/>
    </xf>
    <xf numFmtId="1" fontId="80" fillId="7" borderId="1087" xfId="0" applyNumberFormat="1" applyFont="1" applyFill="1" applyBorder="1" applyAlignment="1">
      <alignment horizontal="center" vertical="center"/>
    </xf>
    <xf numFmtId="0" fontId="80" fillId="7" borderId="1267" xfId="0" applyNumberFormat="1" applyFont="1" applyFill="1" applyBorder="1" applyAlignment="1">
      <alignment horizontal="center" vertical="center"/>
    </xf>
    <xf numFmtId="170" fontId="21" fillId="7" borderId="1560" xfId="0" applyNumberFormat="1" applyFont="1" applyFill="1" applyBorder="1" applyAlignment="1">
      <alignment horizontal="center" vertical="center" wrapText="1"/>
    </xf>
    <xf numFmtId="170" fontId="22" fillId="7" borderId="0" xfId="0" applyNumberFormat="1" applyFont="1" applyFill="1" applyAlignment="1">
      <alignment vertical="center"/>
    </xf>
    <xf numFmtId="0" fontId="22" fillId="7" borderId="0" xfId="0" applyNumberFormat="1" applyFont="1" applyFill="1" applyAlignment="1">
      <alignment horizontal="left" vertical="center"/>
    </xf>
    <xf numFmtId="0" fontId="72" fillId="7" borderId="0" xfId="0" applyNumberFormat="1" applyFont="1" applyFill="1" applyAlignment="1">
      <alignment vertical="center"/>
    </xf>
    <xf numFmtId="0" fontId="22" fillId="7" borderId="0" xfId="0" applyNumberFormat="1" applyFont="1" applyFill="1" applyAlignment="1">
      <alignment vertical="center"/>
    </xf>
    <xf numFmtId="0" fontId="22" fillId="7" borderId="0" xfId="0" applyNumberFormat="1" applyFont="1" applyFill="1" applyAlignment="1">
      <alignment horizontal="center" vertical="center"/>
    </xf>
    <xf numFmtId="170" fontId="22" fillId="7" borderId="0" xfId="0" applyNumberFormat="1" applyFont="1" applyFill="1" applyAlignment="1">
      <alignment horizontal="center" vertical="center"/>
    </xf>
    <xf numFmtId="170" fontId="85" fillId="0" borderId="0" xfId="0" applyNumberFormat="1" applyFont="1" applyAlignment="1">
      <alignment horizontal="center" vertical="center" wrapText="1"/>
    </xf>
    <xf numFmtId="170" fontId="85" fillId="0" borderId="197" xfId="0" applyNumberFormat="1" applyFont="1" applyBorder="1" applyAlignment="1">
      <alignment horizontal="center" vertical="center" wrapText="1"/>
    </xf>
    <xf numFmtId="170" fontId="16" fillId="0" borderId="1219" xfId="0" applyNumberFormat="1" applyFont="1" applyBorder="1" applyAlignment="1">
      <alignment horizontal="center" vertical="center"/>
    </xf>
    <xf numFmtId="170" fontId="27" fillId="0" borderId="1094" xfId="0" applyNumberFormat="1" applyFont="1" applyBorder="1" applyAlignment="1">
      <alignment horizontal="center" vertical="center"/>
    </xf>
    <xf numFmtId="170" fontId="27" fillId="0" borderId="21" xfId="0" applyNumberFormat="1" applyFont="1" applyBorder="1" applyAlignment="1">
      <alignment horizontal="center" vertical="center"/>
    </xf>
    <xf numFmtId="170" fontId="6" fillId="0" borderId="21" xfId="0" applyNumberFormat="1" applyFont="1" applyBorder="1" applyAlignment="1">
      <alignment horizontal="center" vertical="center"/>
    </xf>
    <xf numFmtId="170" fontId="27" fillId="0" borderId="1087" xfId="0" applyNumberFormat="1" applyFont="1" applyBorder="1" applyAlignment="1">
      <alignment horizontal="center" vertical="center"/>
    </xf>
    <xf numFmtId="170" fontId="6" fillId="0" borderId="71" xfId="0" applyNumberFormat="1" applyFont="1" applyBorder="1" applyAlignment="1">
      <alignment horizontal="center" vertical="center"/>
    </xf>
    <xf numFmtId="170" fontId="21" fillId="0" borderId="192" xfId="0" applyNumberFormat="1" applyFont="1" applyBorder="1" applyAlignment="1">
      <alignment vertical="center"/>
    </xf>
    <xf numFmtId="170" fontId="27" fillId="0" borderId="191" xfId="0" applyNumberFormat="1" applyFont="1" applyBorder="1" applyAlignment="1">
      <alignment horizontal="center" vertical="center"/>
    </xf>
    <xf numFmtId="170" fontId="27" fillId="0" borderId="71" xfId="0" applyNumberFormat="1" applyFont="1" applyBorder="1" applyAlignment="1">
      <alignment horizontal="center" vertical="center"/>
    </xf>
    <xf numFmtId="170" fontId="27" fillId="0" borderId="1" xfId="0" applyNumberFormat="1" applyFont="1" applyBorder="1" applyAlignment="1">
      <alignment horizontal="center" vertical="center"/>
    </xf>
    <xf numFmtId="170" fontId="27" fillId="0" borderId="1085" xfId="0" applyNumberFormat="1" applyFont="1" applyBorder="1" applyAlignment="1">
      <alignment horizontal="center" vertical="center" wrapText="1"/>
    </xf>
    <xf numFmtId="170" fontId="16" fillId="0" borderId="1031" xfId="0" applyNumberFormat="1" applyFont="1" applyBorder="1" applyAlignment="1">
      <alignment horizontal="center" vertical="center"/>
    </xf>
    <xf numFmtId="1" fontId="28" fillId="0" borderId="12" xfId="0" applyNumberFormat="1" applyFont="1" applyBorder="1" applyAlignment="1">
      <alignment horizontal="center" vertical="center"/>
    </xf>
    <xf numFmtId="1" fontId="28" fillId="0" borderId="1085" xfId="0" applyNumberFormat="1" applyFont="1" applyBorder="1" applyAlignment="1">
      <alignment horizontal="center" vertical="center"/>
    </xf>
    <xf numFmtId="1" fontId="28" fillId="0" borderId="1089" xfId="0" applyNumberFormat="1" applyFont="1" applyBorder="1" applyAlignment="1">
      <alignment horizontal="center" vertical="center"/>
    </xf>
    <xf numFmtId="0" fontId="13" fillId="0" borderId="1086" xfId="0" applyNumberFormat="1" applyFont="1" applyBorder="1" applyAlignment="1">
      <alignment horizontal="center" vertical="center"/>
    </xf>
    <xf numFmtId="0" fontId="66" fillId="0" borderId="0" xfId="0" applyNumberFormat="1" applyFont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170" fontId="17" fillId="7" borderId="0" xfId="0" applyNumberFormat="1" applyFont="1" applyFill="1" applyAlignment="1">
      <alignment horizontal="center" vertical="center" wrapText="1"/>
    </xf>
    <xf numFmtId="0" fontId="77" fillId="7" borderId="1219" xfId="0" applyNumberFormat="1" applyFont="1" applyFill="1" applyBorder="1" applyAlignment="1">
      <alignment horizontal="center" vertical="center"/>
    </xf>
    <xf numFmtId="170" fontId="21" fillId="7" borderId="21" xfId="0" applyNumberFormat="1" applyFont="1" applyFill="1" applyBorder="1" applyAlignment="1">
      <alignment horizontal="center" vertical="center" wrapText="1"/>
    </xf>
    <xf numFmtId="0" fontId="77" fillId="7" borderId="0" xfId="0" applyNumberFormat="1" applyFont="1" applyFill="1" applyAlignment="1">
      <alignment horizontal="center" vertical="center"/>
    </xf>
    <xf numFmtId="170" fontId="21" fillId="7" borderId="1087" xfId="0" applyNumberFormat="1" applyFont="1" applyFill="1" applyBorder="1" applyAlignment="1">
      <alignment horizontal="center" vertical="center" wrapText="1"/>
    </xf>
    <xf numFmtId="0" fontId="77" fillId="7" borderId="1267" xfId="0" applyNumberFormat="1" applyFont="1" applyFill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8" fillId="0" borderId="1283" xfId="0" applyNumberFormat="1" applyFont="1" applyBorder="1" applyAlignment="1">
      <alignment vertical="center" textRotation="90"/>
    </xf>
    <xf numFmtId="0" fontId="28" fillId="0" borderId="1318" xfId="0" applyNumberFormat="1" applyFont="1" applyBorder="1" applyAlignment="1">
      <alignment vertical="center" textRotation="90"/>
    </xf>
    <xf numFmtId="170" fontId="27" fillId="0" borderId="197" xfId="0" applyNumberFormat="1" applyFont="1" applyBorder="1" applyAlignment="1">
      <alignment horizontal="center" vertical="center" textRotation="90" wrapText="1"/>
    </xf>
    <xf numFmtId="170" fontId="27" fillId="0" borderId="0" xfId="0" applyNumberFormat="1" applyFont="1" applyAlignment="1">
      <alignment horizontal="center" vertical="center" textRotation="90" wrapText="1"/>
    </xf>
    <xf numFmtId="170" fontId="27" fillId="0" borderId="1318" xfId="0" applyNumberFormat="1" applyFont="1" applyBorder="1" applyAlignment="1">
      <alignment horizontal="center" vertical="center" textRotation="90" wrapText="1"/>
    </xf>
    <xf numFmtId="170" fontId="27" fillId="0" borderId="2934" xfId="0" applyNumberFormat="1" applyFont="1" applyBorder="1" applyAlignment="1">
      <alignment horizontal="center" vertical="center" textRotation="90" wrapText="1"/>
    </xf>
    <xf numFmtId="170" fontId="27" fillId="0" borderId="1081" xfId="0" applyNumberFormat="1" applyFont="1" applyBorder="1" applyAlignment="1">
      <alignment horizontal="center" vertical="center" textRotation="90" wrapText="1"/>
    </xf>
    <xf numFmtId="170" fontId="27" fillId="0" borderId="1039" xfId="0" applyNumberFormat="1" applyFont="1" applyBorder="1" applyAlignment="1">
      <alignment horizontal="center" vertical="center" textRotation="90" wrapText="1"/>
    </xf>
    <xf numFmtId="0" fontId="82" fillId="0" borderId="774" xfId="0" applyNumberFormat="1" applyFont="1" applyBorder="1" applyAlignment="1">
      <alignment horizontal="center" vertical="center" textRotation="90"/>
    </xf>
    <xf numFmtId="0" fontId="28" fillId="0" borderId="782" xfId="0" applyNumberFormat="1" applyFont="1" applyBorder="1" applyAlignment="1">
      <alignment horizontal="left" vertical="center"/>
    </xf>
    <xf numFmtId="1" fontId="28" fillId="0" borderId="794" xfId="0" applyNumberFormat="1" applyFont="1" applyBorder="1" applyAlignment="1">
      <alignment horizontal="center" vertical="center"/>
    </xf>
    <xf numFmtId="1" fontId="13" fillId="0" borderId="793" xfId="0" applyNumberFormat="1" applyFont="1" applyBorder="1" applyAlignment="1">
      <alignment horizontal="center" vertical="center"/>
    </xf>
    <xf numFmtId="1" fontId="13" fillId="0" borderId="1220" xfId="0" applyNumberFormat="1" applyFont="1" applyBorder="1" applyAlignment="1">
      <alignment horizontal="center" vertical="center"/>
    </xf>
    <xf numFmtId="1" fontId="27" fillId="0" borderId="782" xfId="0" applyNumberFormat="1" applyFont="1" applyBorder="1" applyAlignment="1">
      <alignment horizontal="center" vertical="center"/>
    </xf>
    <xf numFmtId="1" fontId="27" fillId="0" borderId="1220" xfId="0" applyNumberFormat="1" applyFont="1" applyBorder="1" applyAlignment="1">
      <alignment horizontal="center" vertical="center"/>
    </xf>
    <xf numFmtId="1" fontId="27" fillId="0" borderId="794" xfId="0" applyNumberFormat="1" applyFont="1" applyBorder="1" applyAlignment="1">
      <alignment horizontal="center" vertical="center"/>
    </xf>
    <xf numFmtId="170" fontId="6" fillId="0" borderId="782" xfId="0" applyNumberFormat="1" applyFont="1" applyBorder="1" applyAlignment="1">
      <alignment horizontal="center" vertical="center"/>
    </xf>
    <xf numFmtId="1" fontId="27" fillId="0" borderId="216" xfId="0" applyNumberFormat="1" applyFont="1" applyBorder="1" applyAlignment="1">
      <alignment horizontal="center" vertical="center"/>
    </xf>
    <xf numFmtId="170" fontId="21" fillId="0" borderId="217" xfId="0" applyNumberFormat="1" applyFont="1" applyBorder="1" applyAlignment="1">
      <alignment vertical="center"/>
    </xf>
    <xf numFmtId="170" fontId="21" fillId="0" borderId="1" xfId="0" applyNumberFormat="1" applyFont="1" applyBorder="1" applyAlignment="1">
      <alignment vertical="center"/>
    </xf>
    <xf numFmtId="1" fontId="27" fillId="0" borderId="1088" xfId="0" applyNumberFormat="1" applyFont="1" applyBorder="1" applyAlignment="1">
      <alignment horizontal="center" vertical="center"/>
    </xf>
    <xf numFmtId="1" fontId="21" fillId="0" borderId="1221" xfId="0" applyNumberFormat="1" applyFont="1" applyBorder="1" applyAlignment="1">
      <alignment horizontal="center" vertical="center"/>
    </xf>
    <xf numFmtId="1" fontId="28" fillId="0" borderId="802" xfId="0" applyNumberFormat="1" applyFont="1" applyBorder="1" applyAlignment="1">
      <alignment horizontal="center" vertical="center"/>
    </xf>
    <xf numFmtId="1" fontId="13" fillId="0" borderId="801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1" fontId="27" fillId="0" borderId="18" xfId="0" applyNumberFormat="1" applyFont="1" applyBorder="1" applyAlignment="1">
      <alignment horizontal="center" vertical="center"/>
    </xf>
    <xf numFmtId="1" fontId="27" fillId="0" borderId="12" xfId="0" applyNumberFormat="1" applyFont="1" applyBorder="1" applyAlignment="1">
      <alignment horizontal="center" vertical="center"/>
    </xf>
    <xf numFmtId="1" fontId="27" fillId="0" borderId="802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21" fillId="0" borderId="1239" xfId="0" applyNumberFormat="1" applyFont="1" applyBorder="1" applyAlignment="1">
      <alignment horizontal="center" vertical="center"/>
    </xf>
    <xf numFmtId="1" fontId="28" fillId="0" borderId="1086" xfId="0" applyNumberFormat="1" applyFont="1" applyBorder="1" applyAlignment="1">
      <alignment horizontal="center" vertical="center"/>
    </xf>
    <xf numFmtId="1" fontId="13" fillId="0" borderId="912" xfId="0" applyNumberFormat="1" applyFont="1" applyBorder="1" applyAlignment="1">
      <alignment horizontal="center" vertical="center"/>
    </xf>
    <xf numFmtId="1" fontId="13" fillId="0" borderId="1085" xfId="0" applyNumberFormat="1" applyFont="1" applyBorder="1" applyAlignment="1">
      <alignment horizontal="center" vertical="center"/>
    </xf>
    <xf numFmtId="1" fontId="27" fillId="0" borderId="789" xfId="0" applyNumberFormat="1" applyFont="1" applyBorder="1" applyAlignment="1">
      <alignment horizontal="center" vertical="center"/>
    </xf>
    <xf numFmtId="1" fontId="27" fillId="0" borderId="1085" xfId="0" applyNumberFormat="1" applyFont="1" applyBorder="1" applyAlignment="1">
      <alignment horizontal="center" vertical="center"/>
    </xf>
    <xf numFmtId="1" fontId="27" fillId="0" borderId="1084" xfId="0" applyNumberFormat="1" applyFont="1" applyBorder="1" applyAlignment="1">
      <alignment horizontal="center" vertical="center"/>
    </xf>
    <xf numFmtId="1" fontId="21" fillId="0" borderId="1268" xfId="0" applyNumberFormat="1" applyFont="1" applyBorder="1" applyAlignment="1">
      <alignment horizontal="center" vertical="center"/>
    </xf>
    <xf numFmtId="0" fontId="33" fillId="0" borderId="0" xfId="0" applyNumberFormat="1" applyFont="1"/>
    <xf numFmtId="0" fontId="52" fillId="0" borderId="0" xfId="0" applyNumberFormat="1" applyFont="1"/>
    <xf numFmtId="0" fontId="38" fillId="0" borderId="0" xfId="0" applyNumberFormat="1" applyFont="1" applyAlignment="1">
      <alignment horizontal="justify"/>
    </xf>
    <xf numFmtId="2" fontId="47" fillId="0" borderId="0" xfId="0" applyNumberFormat="1" applyFont="1"/>
    <xf numFmtId="1" fontId="42" fillId="0" borderId="70" xfId="0" applyNumberFormat="1" applyFont="1" applyBorder="1" applyAlignment="1">
      <alignment horizontal="center"/>
    </xf>
    <xf numFmtId="0" fontId="42" fillId="0" borderId="21" xfId="0" applyNumberFormat="1" applyFont="1" applyBorder="1" applyAlignment="1">
      <alignment horizontal="center"/>
    </xf>
    <xf numFmtId="0" fontId="41" fillId="0" borderId="18" xfId="0" applyNumberFormat="1" applyFont="1" applyBorder="1" applyAlignment="1">
      <alignment horizontal="center"/>
    </xf>
    <xf numFmtId="0" fontId="38" fillId="0" borderId="18" xfId="0" applyNumberFormat="1" applyFont="1" applyBorder="1" applyAlignment="1">
      <alignment horizontal="center"/>
    </xf>
    <xf numFmtId="0" fontId="42" fillId="0" borderId="18" xfId="0" applyNumberFormat="1" applyFont="1" applyBorder="1" applyAlignment="1">
      <alignment horizontal="center" vertical="center" wrapText="1"/>
    </xf>
    <xf numFmtId="1" fontId="47" fillId="0" borderId="70" xfId="0" applyNumberFormat="1" applyFont="1" applyBorder="1" applyAlignment="1">
      <alignment horizontal="center"/>
    </xf>
    <xf numFmtId="0" fontId="47" fillId="0" borderId="21" xfId="0" applyNumberFormat="1" applyFont="1" applyBorder="1" applyAlignment="1">
      <alignment horizontal="center"/>
    </xf>
    <xf numFmtId="1" fontId="47" fillId="0" borderId="21" xfId="0" applyNumberFormat="1" applyFont="1" applyBorder="1" applyAlignment="1">
      <alignment horizontal="center"/>
    </xf>
    <xf numFmtId="0" fontId="1" fillId="0" borderId="0" xfId="0" applyNumberFormat="1" applyFont="1" applyAlignment="1">
      <alignment vertical="center" wrapText="1"/>
    </xf>
    <xf numFmtId="1" fontId="13" fillId="0" borderId="1221" xfId="0" applyNumberFormat="1" applyFont="1" applyBorder="1" applyAlignment="1">
      <alignment horizontal="right" vertical="center" wrapText="1"/>
    </xf>
    <xf numFmtId="0" fontId="43" fillId="0" borderId="1239" xfId="0" applyNumberFormat="1" applyFont="1" applyBorder="1" applyAlignment="1">
      <alignment horizontal="right" vertical="center" wrapText="1"/>
    </xf>
    <xf numFmtId="0" fontId="38" fillId="0" borderId="12" xfId="0" applyNumberFormat="1" applyFont="1" applyBorder="1" applyAlignment="1">
      <alignment vertical="center"/>
    </xf>
    <xf numFmtId="0" fontId="38" fillId="0" borderId="18" xfId="0" applyNumberFormat="1" applyFont="1" applyBorder="1" applyAlignment="1">
      <alignment vertical="center"/>
    </xf>
    <xf numFmtId="0" fontId="43" fillId="0" borderId="18" xfId="0" applyNumberFormat="1" applyFont="1" applyBorder="1" applyAlignment="1">
      <alignment vertical="center"/>
    </xf>
    <xf numFmtId="0" fontId="43" fillId="0" borderId="802" xfId="0" applyNumberFormat="1" applyFont="1" applyBorder="1" applyAlignment="1">
      <alignment vertical="center"/>
    </xf>
    <xf numFmtId="0" fontId="43" fillId="0" borderId="898" xfId="0" applyNumberFormat="1" applyFont="1" applyBorder="1" applyAlignment="1">
      <alignment vertical="center"/>
    </xf>
    <xf numFmtId="0" fontId="43" fillId="0" borderId="21" xfId="0" applyNumberFormat="1" applyFont="1" applyBorder="1" applyAlignment="1">
      <alignment vertical="center"/>
    </xf>
    <xf numFmtId="0" fontId="43" fillId="0" borderId="12" xfId="0" applyNumberFormat="1" applyFont="1" applyBorder="1" applyAlignment="1">
      <alignment vertical="center"/>
    </xf>
    <xf numFmtId="0" fontId="5" fillId="0" borderId="15" xfId="0" applyNumberFormat="1" applyFont="1" applyBorder="1" applyAlignment="1">
      <alignment vertical="center"/>
    </xf>
    <xf numFmtId="0" fontId="5" fillId="0" borderId="21" xfId="0" applyNumberFormat="1" applyFont="1" applyBorder="1" applyAlignment="1">
      <alignment vertical="center"/>
    </xf>
    <xf numFmtId="0" fontId="5" fillId="0" borderId="1320" xfId="0" applyNumberFormat="1" applyFont="1" applyBorder="1" applyAlignment="1">
      <alignment vertical="center"/>
    </xf>
    <xf numFmtId="0" fontId="38" fillId="0" borderId="802" xfId="0" applyNumberFormat="1" applyFont="1" applyBorder="1" applyAlignment="1">
      <alignment vertical="center"/>
    </xf>
    <xf numFmtId="0" fontId="38" fillId="0" borderId="898" xfId="0" applyNumberFormat="1" applyFont="1" applyBorder="1" applyAlignment="1">
      <alignment vertical="center"/>
    </xf>
    <xf numFmtId="0" fontId="38" fillId="0" borderId="21" xfId="0" applyNumberFormat="1" applyFont="1" applyBorder="1" applyAlignment="1">
      <alignment vertical="center"/>
    </xf>
    <xf numFmtId="0" fontId="43" fillId="0" borderId="15" xfId="0" applyNumberFormat="1" applyFont="1" applyBorder="1" applyAlignment="1">
      <alignment vertical="center"/>
    </xf>
    <xf numFmtId="0" fontId="43" fillId="0" borderId="1320" xfId="0" applyNumberFormat="1" applyFont="1" applyBorder="1" applyAlignment="1">
      <alignment vertical="center"/>
    </xf>
    <xf numFmtId="0" fontId="38" fillId="0" borderId="15" xfId="0" applyNumberFormat="1" applyFont="1" applyBorder="1" applyAlignment="1">
      <alignment vertical="center"/>
    </xf>
    <xf numFmtId="0" fontId="38" fillId="0" borderId="1320" xfId="0" applyNumberFormat="1" applyFont="1" applyBorder="1" applyAlignment="1">
      <alignment vertical="center"/>
    </xf>
    <xf numFmtId="0" fontId="36" fillId="0" borderId="1239" xfId="0" applyNumberFormat="1" applyFont="1" applyBorder="1" applyAlignment="1">
      <alignment horizontal="right" vertical="center" wrapText="1"/>
    </xf>
    <xf numFmtId="0" fontId="34" fillId="0" borderId="21" xfId="0" applyNumberFormat="1" applyFont="1" applyBorder="1" applyAlignment="1">
      <alignment vertical="center"/>
    </xf>
    <xf numFmtId="0" fontId="34" fillId="0" borderId="12" xfId="0" applyNumberFormat="1" applyFont="1" applyBorder="1" applyAlignment="1">
      <alignment vertical="center"/>
    </xf>
    <xf numFmtId="0" fontId="34" fillId="0" borderId="898" xfId="0" applyNumberFormat="1" applyFont="1" applyBorder="1" applyAlignment="1">
      <alignment vertical="center"/>
    </xf>
    <xf numFmtId="0" fontId="36" fillId="0" borderId="1239" xfId="0" applyNumberFormat="1" applyFont="1" applyBorder="1" applyAlignment="1">
      <alignment wrapText="1"/>
    </xf>
    <xf numFmtId="1" fontId="65" fillId="0" borderId="1239" xfId="0" applyNumberFormat="1" applyFont="1" applyBorder="1" applyAlignment="1">
      <alignment horizontal="right" vertical="center" wrapText="1"/>
    </xf>
    <xf numFmtId="0" fontId="29" fillId="0" borderId="15" xfId="0" applyNumberFormat="1" applyFont="1" applyBorder="1" applyAlignment="1">
      <alignment vertical="center"/>
    </xf>
    <xf numFmtId="0" fontId="38" fillId="0" borderId="1320" xfId="0" applyNumberFormat="1" applyFont="1" applyBorder="1"/>
    <xf numFmtId="0" fontId="34" fillId="0" borderId="21" xfId="0" applyNumberFormat="1" applyFont="1" applyBorder="1"/>
    <xf numFmtId="0" fontId="34" fillId="0" borderId="1320" xfId="0" applyNumberFormat="1" applyFont="1" applyBorder="1"/>
    <xf numFmtId="0" fontId="26" fillId="0" borderId="0" xfId="0" applyNumberFormat="1" applyFont="1"/>
    <xf numFmtId="0" fontId="101" fillId="0" borderId="0" xfId="0" applyNumberFormat="1" applyFont="1"/>
    <xf numFmtId="0" fontId="33" fillId="0" borderId="898" xfId="0" applyNumberFormat="1" applyFont="1" applyBorder="1"/>
    <xf numFmtId="0" fontId="33" fillId="0" borderId="21" xfId="0" applyNumberFormat="1" applyFont="1" applyBorder="1"/>
    <xf numFmtId="0" fontId="33" fillId="0" borderId="12" xfId="0" applyNumberFormat="1" applyFont="1" applyBorder="1"/>
    <xf numFmtId="0" fontId="33" fillId="0" borderId="15" xfId="0" applyNumberFormat="1" applyFont="1" applyBorder="1"/>
    <xf numFmtId="0" fontId="33" fillId="0" borderId="1320" xfId="0" applyNumberFormat="1" applyFont="1" applyBorder="1"/>
    <xf numFmtId="1" fontId="65" fillId="0" borderId="1268" xfId="0" applyNumberFormat="1" applyFont="1" applyBorder="1" applyAlignment="1">
      <alignment horizontal="right" vertical="center" wrapText="1"/>
    </xf>
    <xf numFmtId="0" fontId="38" fillId="0" borderId="1266" xfId="0" applyNumberFormat="1" applyFont="1" applyBorder="1" applyAlignment="1">
      <alignment vertical="center"/>
    </xf>
    <xf numFmtId="0" fontId="38" fillId="0" borderId="1087" xfId="0" applyNumberFormat="1" applyFont="1" applyBorder="1" applyAlignment="1">
      <alignment vertical="center"/>
    </xf>
    <xf numFmtId="0" fontId="38" fillId="0" borderId="1085" xfId="0" applyNumberFormat="1" applyFont="1" applyBorder="1" applyAlignment="1">
      <alignment vertical="center"/>
    </xf>
    <xf numFmtId="0" fontId="43" fillId="0" borderId="1084" xfId="0" applyNumberFormat="1" applyFont="1" applyBorder="1" applyAlignment="1">
      <alignment vertical="center"/>
    </xf>
    <xf numFmtId="0" fontId="43" fillId="0" borderId="1087" xfId="0" applyNumberFormat="1" applyFont="1" applyBorder="1" applyAlignment="1">
      <alignment vertical="center"/>
    </xf>
    <xf numFmtId="0" fontId="43" fillId="0" borderId="1321" xfId="0" applyNumberFormat="1" applyFont="1" applyBorder="1" applyAlignment="1">
      <alignment vertical="center"/>
    </xf>
    <xf numFmtId="0" fontId="29" fillId="0" borderId="1084" xfId="0" applyNumberFormat="1" applyFont="1" applyBorder="1" applyAlignment="1">
      <alignment vertical="center"/>
    </xf>
    <xf numFmtId="0" fontId="38" fillId="0" borderId="1087" xfId="0" applyNumberFormat="1" applyFont="1" applyBorder="1"/>
    <xf numFmtId="0" fontId="38" fillId="0" borderId="1321" xfId="0" applyNumberFormat="1" applyFont="1" applyBorder="1"/>
    <xf numFmtId="0" fontId="38" fillId="0" borderId="0" xfId="0" applyNumberFormat="1" applyFont="1" applyAlignment="1">
      <alignment vertical="top"/>
    </xf>
    <xf numFmtId="0" fontId="38" fillId="0" borderId="0" xfId="0" applyNumberFormat="1" applyFont="1" applyAlignment="1">
      <alignment horizontal="justify" vertical="top"/>
    </xf>
    <xf numFmtId="0" fontId="38" fillId="0" borderId="70" xfId="0" applyNumberFormat="1" applyFont="1" applyBorder="1" applyAlignment="1">
      <alignment horizontal="justify" vertical="top"/>
    </xf>
    <xf numFmtId="0" fontId="38" fillId="0" borderId="70" xfId="0" applyNumberFormat="1" applyFont="1" applyBorder="1" applyAlignment="1">
      <alignment horizontal="left" vertical="top" wrapText="1"/>
    </xf>
    <xf numFmtId="0" fontId="38" fillId="0" borderId="21" xfId="0" applyNumberFormat="1" applyFont="1" applyBorder="1" applyAlignment="1">
      <alignment horizontal="justify" vertical="top"/>
    </xf>
    <xf numFmtId="0" fontId="38" fillId="0" borderId="21" xfId="0" applyNumberFormat="1" applyFont="1" applyBorder="1" applyAlignment="1">
      <alignment horizontal="left" vertical="top" wrapText="1"/>
    </xf>
    <xf numFmtId="0" fontId="38" fillId="0" borderId="21" xfId="0" applyNumberFormat="1" applyFont="1" applyBorder="1" applyAlignment="1">
      <alignment horizontal="justify"/>
    </xf>
    <xf numFmtId="0" fontId="38" fillId="0" borderId="21" xfId="0" applyNumberFormat="1" applyFont="1" applyBorder="1" applyAlignment="1">
      <alignment horizontal="left" vertical="top"/>
    </xf>
    <xf numFmtId="0" fontId="41" fillId="0" borderId="0" xfId="0" applyNumberFormat="1" applyFont="1" applyAlignment="1">
      <alignment horizontal="left"/>
    </xf>
    <xf numFmtId="0" fontId="41" fillId="0" borderId="0" xfId="0" applyNumberFormat="1" applyFont="1" applyAlignment="1">
      <alignment horizontal="center" wrapText="1"/>
    </xf>
    <xf numFmtId="0" fontId="4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center" vertical="top"/>
    </xf>
    <xf numFmtId="0" fontId="38" fillId="0" borderId="3898" xfId="0" applyNumberFormat="1" applyFont="1" applyBorder="1" applyAlignment="1">
      <alignment vertical="top"/>
    </xf>
    <xf numFmtId="0" fontId="102" fillId="0" borderId="0" xfId="0" applyNumberFormat="1" applyFont="1"/>
    <xf numFmtId="0" fontId="34" fillId="0" borderId="18" xfId="0" applyNumberFormat="1" applyFont="1" applyBorder="1" applyAlignment="1">
      <alignment horizontal="center"/>
    </xf>
    <xf numFmtId="0" fontId="38" fillId="0" borderId="3898" xfId="0" applyNumberFormat="1" applyFont="1" applyBorder="1"/>
    <xf numFmtId="0" fontId="29" fillId="0" borderId="0" xfId="0" applyNumberFormat="1" applyFont="1" applyAlignment="1">
      <alignment vertical="top"/>
    </xf>
    <xf numFmtId="0" fontId="38" fillId="0" borderId="0" xfId="0" applyNumberFormat="1" applyFont="1" applyAlignment="1">
      <alignment horizontal="center" vertical="top"/>
    </xf>
    <xf numFmtId="0" fontId="38" fillId="0" borderId="18" xfId="0" applyNumberFormat="1" applyFont="1" applyBorder="1" applyAlignment="1">
      <alignment horizontal="center" vertical="top"/>
    </xf>
    <xf numFmtId="0" fontId="38" fillId="0" borderId="0" xfId="0" applyNumberFormat="1" applyFont="1" applyAlignment="1">
      <alignment horizontal="right" vertical="top"/>
    </xf>
    <xf numFmtId="0" fontId="38" fillId="0" borderId="70" xfId="0" applyNumberFormat="1" applyFont="1" applyBorder="1" applyAlignment="1">
      <alignment horizontal="center" vertical="top"/>
    </xf>
    <xf numFmtId="0" fontId="38" fillId="0" borderId="18" xfId="0" applyNumberFormat="1" applyFont="1" applyBorder="1"/>
    <xf numFmtId="0" fontId="38" fillId="0" borderId="18" xfId="0" applyNumberFormat="1" applyFont="1" applyBorder="1" applyAlignment="1">
      <alignment vertical="top"/>
    </xf>
    <xf numFmtId="0" fontId="38" fillId="0" borderId="70" xfId="0" applyNumberFormat="1" applyFont="1" applyBorder="1" applyAlignment="1">
      <alignment vertical="center"/>
    </xf>
    <xf numFmtId="0" fontId="38" fillId="0" borderId="70" xfId="0" applyNumberFormat="1" applyFont="1" applyBorder="1" applyAlignment="1">
      <alignment horizontal="right" vertical="center"/>
    </xf>
    <xf numFmtId="0" fontId="38" fillId="0" borderId="3898" xfId="0" applyNumberFormat="1" applyFont="1" applyBorder="1" applyAlignment="1">
      <alignment vertical="center"/>
    </xf>
    <xf numFmtId="0" fontId="38" fillId="0" borderId="3997" xfId="0" applyNumberFormat="1" applyFont="1" applyBorder="1" applyAlignment="1">
      <alignment horizontal="center"/>
    </xf>
    <xf numFmtId="0" fontId="38" fillId="0" borderId="3997" xfId="0" applyNumberFormat="1" applyFont="1" applyBorder="1"/>
    <xf numFmtId="0" fontId="38" fillId="0" borderId="3998" xfId="0" applyNumberFormat="1" applyFont="1" applyBorder="1"/>
    <xf numFmtId="0" fontId="38" fillId="0" borderId="3999" xfId="0" applyNumberFormat="1" applyFont="1" applyBorder="1"/>
    <xf numFmtId="0" fontId="38" fillId="0" borderId="2934" xfId="0" applyNumberFormat="1" applyFont="1" applyBorder="1"/>
    <xf numFmtId="0" fontId="38" fillId="0" borderId="1218" xfId="0" applyNumberFormat="1" applyFont="1" applyBorder="1"/>
    <xf numFmtId="0" fontId="8" fillId="0" borderId="0" xfId="0" applyNumberFormat="1" applyFont="1" applyAlignment="1">
      <alignment horizontal="center"/>
    </xf>
    <xf numFmtId="0" fontId="103" fillId="0" borderId="0" xfId="0" applyNumberFormat="1" applyFont="1"/>
    <xf numFmtId="170" fontId="73" fillId="0" borderId="0" xfId="0" applyNumberFormat="1" applyFont="1"/>
    <xf numFmtId="0" fontId="12" fillId="9" borderId="0" xfId="0" applyNumberFormat="1" applyFont="1" applyFill="1"/>
    <xf numFmtId="0" fontId="33" fillId="9" borderId="0" xfId="0" applyNumberFormat="1" applyFont="1" applyFill="1"/>
    <xf numFmtId="0" fontId="36" fillId="9" borderId="0" xfId="0" applyNumberFormat="1" applyFont="1" applyFill="1"/>
    <xf numFmtId="1" fontId="104" fillId="9" borderId="0" xfId="0" applyNumberFormat="1" applyFont="1" applyFill="1" applyAlignment="1">
      <alignment horizontal="right"/>
    </xf>
    <xf numFmtId="170" fontId="84" fillId="9" borderId="0" xfId="0" applyNumberFormat="1" applyFont="1" applyFill="1"/>
    <xf numFmtId="0" fontId="105" fillId="0" borderId="0" xfId="0" applyNumberFormat="1" applyFont="1"/>
    <xf numFmtId="0" fontId="43" fillId="9" borderId="0" xfId="0" applyNumberFormat="1" applyFont="1" applyFill="1"/>
    <xf numFmtId="170" fontId="94" fillId="9" borderId="0" xfId="0" applyNumberFormat="1" applyFont="1" applyFill="1" applyAlignment="1">
      <alignment horizontal="right"/>
    </xf>
    <xf numFmtId="170" fontId="67" fillId="9" borderId="0" xfId="0" applyNumberFormat="1" applyFont="1" applyFill="1" applyAlignment="1">
      <alignment horizontal="right"/>
    </xf>
    <xf numFmtId="0" fontId="36" fillId="0" borderId="0" xfId="0" applyNumberFormat="1" applyFont="1"/>
    <xf numFmtId="170" fontId="94" fillId="0" borderId="0" xfId="0" applyNumberFormat="1" applyFont="1" applyAlignment="1">
      <alignment horizontal="right"/>
    </xf>
    <xf numFmtId="170" fontId="67" fillId="0" borderId="0" xfId="0" applyNumberFormat="1" applyFont="1" applyAlignment="1">
      <alignment horizontal="right"/>
    </xf>
    <xf numFmtId="170" fontId="106" fillId="0" borderId="0" xfId="0" applyNumberFormat="1" applyFont="1" applyAlignment="1">
      <alignment horizontal="right" vertical="center"/>
    </xf>
    <xf numFmtId="170" fontId="67" fillId="0" borderId="0" xfId="0" applyNumberFormat="1" applyFont="1" applyAlignment="1">
      <alignment horizontal="right" vertical="center"/>
    </xf>
    <xf numFmtId="170" fontId="94" fillId="0" borderId="0" xfId="0" applyNumberFormat="1" applyFont="1" applyAlignment="1">
      <alignment horizontal="right" vertical="center"/>
    </xf>
    <xf numFmtId="170" fontId="96" fillId="0" borderId="0" xfId="0" applyNumberFormat="1" applyFont="1" applyAlignment="1">
      <alignment horizontal="right" vertical="center" wrapText="1"/>
    </xf>
    <xf numFmtId="170" fontId="10" fillId="0" borderId="0" xfId="0" applyNumberFormat="1" applyFont="1" applyAlignment="1">
      <alignment horizontal="center" vertical="center" wrapText="1"/>
    </xf>
    <xf numFmtId="173" fontId="61" fillId="0" borderId="0" xfId="0" applyNumberFormat="1" applyFont="1"/>
    <xf numFmtId="0" fontId="61" fillId="0" borderId="0" xfId="0" applyNumberFormat="1" applyFont="1"/>
    <xf numFmtId="173" fontId="36" fillId="0" borderId="0" xfId="0" applyNumberFormat="1" applyFont="1"/>
    <xf numFmtId="170" fontId="67" fillId="0" borderId="0" xfId="0" applyNumberFormat="1" applyFont="1"/>
    <xf numFmtId="0" fontId="26" fillId="0" borderId="0" xfId="0" applyNumberFormat="1" applyFont="1" applyAlignment="1">
      <alignment horizontal="left"/>
    </xf>
    <xf numFmtId="170" fontId="67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2" fontId="108" fillId="0" borderId="3998" xfId="0" applyNumberFormat="1" applyFont="1" applyBorder="1" applyAlignment="1">
      <alignment horizontal="center" vertical="top" wrapText="1"/>
    </xf>
    <xf numFmtId="2" fontId="96" fillId="0" borderId="3998" xfId="0" applyNumberFormat="1" applyFont="1" applyBorder="1" applyAlignment="1">
      <alignment horizontal="center" vertical="top" wrapText="1"/>
    </xf>
    <xf numFmtId="170" fontId="107" fillId="0" borderId="891" xfId="0" applyNumberFormat="1" applyFont="1" applyBorder="1" applyAlignment="1">
      <alignment horizontal="center" vertical="center"/>
    </xf>
    <xf numFmtId="170" fontId="107" fillId="0" borderId="1221" xfId="0" applyNumberFormat="1" applyFont="1" applyBorder="1" applyAlignment="1">
      <alignment horizontal="center" vertical="center"/>
    </xf>
    <xf numFmtId="170" fontId="107" fillId="6" borderId="1094" xfId="0" applyNumberFormat="1" applyFont="1" applyFill="1" applyBorder="1" applyAlignment="1">
      <alignment horizontal="center" vertical="center"/>
    </xf>
    <xf numFmtId="49" fontId="29" fillId="0" borderId="898" xfId="0" applyNumberFormat="1" applyFont="1" applyBorder="1" applyAlignment="1">
      <alignment horizontal="center" vertical="center"/>
    </xf>
    <xf numFmtId="2" fontId="34" fillId="0" borderId="4114" xfId="0" applyNumberFormat="1" applyFont="1" applyBorder="1" applyAlignment="1">
      <alignment horizontal="center" vertical="top" wrapText="1"/>
    </xf>
    <xf numFmtId="2" fontId="34" fillId="6" borderId="0" xfId="0" applyNumberFormat="1" applyFont="1" applyFill="1" applyAlignment="1">
      <alignment horizontal="center" vertical="top" wrapText="1"/>
    </xf>
    <xf numFmtId="2" fontId="54" fillId="0" borderId="3999" xfId="0" applyNumberFormat="1" applyFont="1" applyBorder="1" applyAlignment="1">
      <alignment horizontal="distributed" vertical="top" wrapText="1" indent="1"/>
    </xf>
    <xf numFmtId="2" fontId="54" fillId="0" borderId="775" xfId="0" applyNumberFormat="1" applyFont="1" applyBorder="1" applyAlignment="1">
      <alignment horizontal="distributed" vertical="top" wrapText="1" indent="1"/>
    </xf>
    <xf numFmtId="2" fontId="54" fillId="6" borderId="4114" xfId="0" applyNumberFormat="1" applyFont="1" applyFill="1" applyBorder="1" applyAlignment="1">
      <alignment horizontal="distributed" vertical="top" wrapText="1" indent="1"/>
    </xf>
    <xf numFmtId="170" fontId="107" fillId="0" borderId="15" xfId="0" applyNumberFormat="1" applyFont="1" applyBorder="1" applyAlignment="1">
      <alignment horizontal="center" vertical="center"/>
    </xf>
    <xf numFmtId="170" fontId="107" fillId="6" borderId="1239" xfId="0" applyNumberFormat="1" applyFont="1" applyFill="1" applyBorder="1" applyAlignment="1">
      <alignment horizontal="center" vertical="center"/>
    </xf>
    <xf numFmtId="170" fontId="107" fillId="6" borderId="21" xfId="0" applyNumberFormat="1" applyFont="1" applyFill="1" applyBorder="1" applyAlignment="1">
      <alignment horizontal="center" vertical="center"/>
    </xf>
    <xf numFmtId="2" fontId="34" fillId="0" borderId="0" xfId="0" applyNumberFormat="1" applyFont="1" applyAlignment="1">
      <alignment horizontal="center" vertical="top" wrapText="1"/>
    </xf>
    <xf numFmtId="2" fontId="34" fillId="6" borderId="4114" xfId="0" applyNumberFormat="1" applyFont="1" applyFill="1" applyBorder="1" applyAlignment="1">
      <alignment horizontal="center" vertical="top" wrapText="1"/>
    </xf>
    <xf numFmtId="2" fontId="54" fillId="0" borderId="1267" xfId="0" applyNumberFormat="1" applyFont="1" applyBorder="1" applyAlignment="1">
      <alignment horizontal="distributed" vertical="top" wrapText="1" indent="1"/>
    </xf>
    <xf numFmtId="2" fontId="54" fillId="6" borderId="775" xfId="0" applyNumberFormat="1" applyFont="1" applyFill="1" applyBorder="1" applyAlignment="1">
      <alignment horizontal="distributed" vertical="top" wrapText="1" indent="1"/>
    </xf>
    <xf numFmtId="170" fontId="107" fillId="6" borderId="15" xfId="0" applyNumberFormat="1" applyFont="1" applyFill="1" applyBorder="1" applyAlignment="1">
      <alignment horizontal="center" vertical="center"/>
    </xf>
    <xf numFmtId="2" fontId="54" fillId="6" borderId="0" xfId="0" applyNumberFormat="1" applyFont="1" applyFill="1" applyAlignment="1">
      <alignment horizontal="distributed" vertical="top" wrapText="1" indent="1"/>
    </xf>
    <xf numFmtId="170" fontId="107" fillId="6" borderId="891" xfId="0" applyNumberFormat="1" applyFont="1" applyFill="1" applyBorder="1" applyAlignment="1">
      <alignment horizontal="center" vertical="center"/>
    </xf>
    <xf numFmtId="170" fontId="107" fillId="6" borderId="1221" xfId="0" applyNumberFormat="1" applyFont="1" applyFill="1" applyBorder="1" applyAlignment="1">
      <alignment horizontal="center" vertical="center"/>
    </xf>
    <xf numFmtId="2" fontId="34" fillId="6" borderId="1238" xfId="0" applyNumberFormat="1" applyFont="1" applyFill="1" applyBorder="1" applyAlignment="1">
      <alignment horizontal="center" vertical="top" wrapText="1"/>
    </xf>
    <xf numFmtId="2" fontId="54" fillId="6" borderId="3999" xfId="0" applyNumberFormat="1" applyFont="1" applyFill="1" applyBorder="1" applyAlignment="1">
      <alignment horizontal="distributed" vertical="top" wrapText="1" indent="1"/>
    </xf>
    <xf numFmtId="2" fontId="54" fillId="6" borderId="1267" xfId="0" applyNumberFormat="1" applyFont="1" applyFill="1" applyBorder="1" applyAlignment="1">
      <alignment horizontal="distributed" vertical="top" wrapText="1" indent="1"/>
    </xf>
    <xf numFmtId="170" fontId="107" fillId="6" borderId="1322" xfId="0" applyNumberFormat="1" applyFont="1" applyFill="1" applyBorder="1" applyAlignment="1">
      <alignment horizontal="center" vertical="center"/>
    </xf>
    <xf numFmtId="170" fontId="107" fillId="0" borderId="4124" xfId="0" applyNumberFormat="1" applyFont="1" applyBorder="1" applyAlignment="1">
      <alignment horizontal="center" vertical="center"/>
    </xf>
    <xf numFmtId="170" fontId="107" fillId="6" borderId="70" xfId="0" applyNumberFormat="1" applyFont="1" applyFill="1" applyBorder="1" applyAlignment="1">
      <alignment horizontal="center" vertical="center"/>
    </xf>
    <xf numFmtId="170" fontId="107" fillId="6" borderId="4124" xfId="0" applyNumberFormat="1" applyFont="1" applyFill="1" applyBorder="1" applyAlignment="1">
      <alignment horizontal="center" vertical="center"/>
    </xf>
    <xf numFmtId="2" fontId="28" fillId="0" borderId="1267" xfId="0" applyNumberFormat="1" applyFont="1" applyBorder="1" applyAlignment="1">
      <alignment horizontal="distributed" vertical="top" wrapText="1" indent="1"/>
    </xf>
    <xf numFmtId="2" fontId="28" fillId="0" borderId="775" xfId="0" applyNumberFormat="1" applyFont="1" applyBorder="1" applyAlignment="1">
      <alignment horizontal="distributed" vertical="top" wrapText="1" indent="1"/>
    </xf>
    <xf numFmtId="2" fontId="28" fillId="6" borderId="3999" xfId="0" applyNumberFormat="1" applyFont="1" applyFill="1" applyBorder="1" applyAlignment="1">
      <alignment horizontal="distributed" vertical="top" wrapText="1" indent="1"/>
    </xf>
    <xf numFmtId="2" fontId="28" fillId="6" borderId="775" xfId="0" applyNumberFormat="1" applyFont="1" applyFill="1" applyBorder="1" applyAlignment="1">
      <alignment horizontal="distributed" vertical="top" wrapText="1" indent="1"/>
    </xf>
    <xf numFmtId="2" fontId="28" fillId="6" borderId="1267" xfId="0" applyNumberFormat="1" applyFont="1" applyFill="1" applyBorder="1" applyAlignment="1">
      <alignment horizontal="distributed" vertical="top" wrapText="1" indent="1"/>
    </xf>
    <xf numFmtId="170" fontId="107" fillId="0" borderId="1322" xfId="0" applyNumberFormat="1" applyFont="1" applyBorder="1" applyAlignment="1">
      <alignment horizontal="center" vertical="center"/>
    </xf>
    <xf numFmtId="170" fontId="107" fillId="0" borderId="1239" xfId="0" applyNumberFormat="1" applyFont="1" applyBorder="1" applyAlignment="1">
      <alignment horizontal="center" vertical="center"/>
    </xf>
    <xf numFmtId="170" fontId="107" fillId="0" borderId="21" xfId="0" applyNumberFormat="1" applyFont="1" applyBorder="1" applyAlignment="1">
      <alignment horizontal="center" vertical="center"/>
    </xf>
    <xf numFmtId="2" fontId="28" fillId="0" borderId="4114" xfId="0" applyNumberFormat="1" applyFont="1" applyBorder="1" applyAlignment="1">
      <alignment horizontal="center" vertical="top" wrapText="1"/>
    </xf>
    <xf numFmtId="2" fontId="28" fillId="0" borderId="4114" xfId="0" applyNumberFormat="1" applyFont="1" applyBorder="1" applyAlignment="1">
      <alignment horizontal="center" vertical="center" wrapText="1"/>
    </xf>
    <xf numFmtId="2" fontId="28" fillId="0" borderId="4114" xfId="0" applyNumberFormat="1" applyFont="1" applyBorder="1" applyAlignment="1">
      <alignment horizontal="center" vertical="center"/>
    </xf>
    <xf numFmtId="2" fontId="54" fillId="0" borderId="775" xfId="0" applyNumberFormat="1" applyFont="1" applyBorder="1" applyAlignment="1">
      <alignment horizontal="distributed" vertical="center" wrapText="1" indent="1"/>
    </xf>
    <xf numFmtId="2" fontId="28" fillId="6" borderId="4114" xfId="0" applyNumberFormat="1" applyFont="1" applyFill="1" applyBorder="1" applyAlignment="1">
      <alignment horizontal="center" vertical="top" wrapText="1"/>
    </xf>
    <xf numFmtId="2" fontId="28" fillId="6" borderId="4114" xfId="0" applyNumberFormat="1" applyFont="1" applyFill="1" applyBorder="1" applyAlignment="1">
      <alignment horizontal="center"/>
    </xf>
    <xf numFmtId="2" fontId="28" fillId="6" borderId="0" xfId="0" applyNumberFormat="1" applyFont="1" applyFill="1" applyAlignment="1">
      <alignment horizontal="center" vertical="top" wrapText="1"/>
    </xf>
    <xf numFmtId="2" fontId="108" fillId="0" borderId="1200" xfId="0" applyNumberFormat="1" applyFont="1" applyBorder="1" applyAlignment="1">
      <alignment horizontal="center" vertical="top" wrapText="1"/>
    </xf>
    <xf numFmtId="2" fontId="108" fillId="0" borderId="1039" xfId="0" applyNumberFormat="1" applyFont="1" applyBorder="1" applyAlignment="1">
      <alignment horizontal="center" vertical="top" wrapText="1"/>
    </xf>
    <xf numFmtId="2" fontId="54" fillId="0" borderId="4114" xfId="0" applyNumberFormat="1" applyFont="1" applyBorder="1" applyAlignment="1">
      <alignment horizontal="distributed" vertical="top" wrapText="1" indent="1"/>
    </xf>
    <xf numFmtId="2" fontId="54" fillId="0" borderId="0" xfId="0" applyNumberFormat="1" applyFont="1" applyAlignment="1">
      <alignment horizontal="distributed" vertical="top" wrapText="1" indent="1"/>
    </xf>
    <xf numFmtId="2" fontId="29" fillId="0" borderId="0" xfId="0" applyNumberFormat="1" applyFont="1" applyAlignment="1">
      <alignment horizontal="center" vertical="top" wrapText="1"/>
    </xf>
    <xf numFmtId="170" fontId="107" fillId="0" borderId="1094" xfId="0" applyNumberFormat="1" applyFont="1" applyBorder="1" applyAlignment="1">
      <alignment horizontal="center" vertical="center"/>
    </xf>
    <xf numFmtId="2" fontId="28" fillId="0" borderId="1238" xfId="0" applyNumberFormat="1" applyFont="1" applyBorder="1" applyAlignment="1">
      <alignment horizontal="center" vertical="top" wrapText="1"/>
    </xf>
    <xf numFmtId="2" fontId="28" fillId="6" borderId="1238" xfId="0" applyNumberFormat="1" applyFont="1" applyFill="1" applyBorder="1" applyAlignment="1">
      <alignment horizontal="center" vertical="top" wrapText="1"/>
    </xf>
    <xf numFmtId="0" fontId="35" fillId="0" borderId="0" xfId="0" applyNumberFormat="1" applyFont="1"/>
    <xf numFmtId="0" fontId="109" fillId="0" borderId="0" xfId="0" applyNumberFormat="1" applyFont="1" applyAlignment="1">
      <alignment horizontal="left" vertical="center" indent="3"/>
    </xf>
    <xf numFmtId="0" fontId="7" fillId="0" borderId="0" xfId="0" applyNumberFormat="1" applyFont="1" applyAlignment="1">
      <alignment vertical="center"/>
    </xf>
    <xf numFmtId="0" fontId="7" fillId="0" borderId="0" xfId="0" applyNumberFormat="1" applyFont="1"/>
    <xf numFmtId="0" fontId="78" fillId="0" borderId="18" xfId="0" applyNumberFormat="1" applyFont="1" applyBorder="1" applyAlignment="1">
      <alignment horizontal="center" vertical="center"/>
    </xf>
    <xf numFmtId="0" fontId="110" fillId="0" borderId="18" xfId="0" applyNumberFormat="1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35" fillId="0" borderId="18" xfId="0" applyNumberFormat="1" applyFont="1" applyBorder="1" applyAlignment="1">
      <alignment horizontal="center" vertical="center"/>
    </xf>
    <xf numFmtId="0" fontId="35" fillId="0" borderId="18" xfId="0" applyNumberFormat="1" applyFont="1" applyBorder="1" applyAlignment="1">
      <alignment vertical="center"/>
    </xf>
    <xf numFmtId="0" fontId="90" fillId="0" borderId="4260" xfId="0" applyNumberFormat="1" applyFont="1" applyBorder="1" applyAlignment="1">
      <alignment horizontal="center" vertical="center"/>
    </xf>
    <xf numFmtId="0" fontId="90" fillId="0" borderId="18" xfId="0" applyNumberFormat="1" applyFont="1" applyBorder="1" applyAlignment="1">
      <alignment horizontal="center" vertical="center"/>
    </xf>
    <xf numFmtId="0" fontId="90" fillId="0" borderId="15" xfId="0" applyNumberFormat="1" applyFont="1" applyBorder="1" applyAlignment="1">
      <alignment horizontal="center" vertical="center"/>
    </xf>
    <xf numFmtId="0" fontId="90" fillId="0" borderId="4261" xfId="0" applyNumberFormat="1" applyFont="1" applyBorder="1" applyAlignment="1">
      <alignment horizontal="center" vertical="center"/>
    </xf>
    <xf numFmtId="0" fontId="90" fillId="0" borderId="18" xfId="0" applyNumberFormat="1" applyFont="1" applyBorder="1" applyAlignment="1">
      <alignment vertical="center"/>
    </xf>
    <xf numFmtId="0" fontId="90" fillId="0" borderId="15" xfId="0" applyNumberFormat="1" applyFont="1" applyBorder="1" applyAlignment="1">
      <alignment vertical="center"/>
    </xf>
    <xf numFmtId="0" fontId="90" fillId="0" borderId="4261" xfId="0" applyNumberFormat="1" applyFont="1" applyBorder="1" applyAlignment="1">
      <alignment vertical="center"/>
    </xf>
    <xf numFmtId="0" fontId="90" fillId="0" borderId="4262" xfId="0" applyNumberFormat="1" applyFont="1" applyBorder="1" applyAlignment="1">
      <alignment horizontal="center" vertical="center"/>
    </xf>
    <xf numFmtId="0" fontId="90" fillId="0" borderId="4263" xfId="0" applyNumberFormat="1" applyFont="1" applyBorder="1" applyAlignment="1">
      <alignment vertical="center"/>
    </xf>
    <xf numFmtId="0" fontId="90" fillId="0" borderId="4263" xfId="0" applyNumberFormat="1" applyFont="1" applyBorder="1" applyAlignment="1">
      <alignment horizontal="center" vertical="center"/>
    </xf>
    <xf numFmtId="0" fontId="90" fillId="0" borderId="4264" xfId="0" applyNumberFormat="1" applyFont="1" applyBorder="1" applyAlignment="1">
      <alignment vertical="center"/>
    </xf>
    <xf numFmtId="0" fontId="90" fillId="0" borderId="4265" xfId="0" applyNumberFormat="1" applyFont="1" applyBorder="1" applyAlignment="1">
      <alignment vertical="center"/>
    </xf>
    <xf numFmtId="0" fontId="90" fillId="0" borderId="4264" xfId="0" applyNumberFormat="1" applyFont="1" applyBorder="1" applyAlignment="1">
      <alignment horizontal="center" vertical="center"/>
    </xf>
    <xf numFmtId="0" fontId="90" fillId="0" borderId="4265" xfId="0" applyNumberFormat="1" applyFont="1" applyBorder="1" applyAlignment="1">
      <alignment horizontal="center" vertical="center"/>
    </xf>
    <xf numFmtId="0" fontId="112" fillId="0" borderId="0" xfId="0" applyNumberFormat="1" applyFont="1"/>
    <xf numFmtId="165" fontId="114" fillId="0" borderId="0" xfId="0" applyNumberFormat="1" applyFont="1"/>
    <xf numFmtId="172" fontId="114" fillId="0" borderId="0" xfId="0" applyNumberFormat="1" applyFont="1"/>
    <xf numFmtId="0" fontId="114" fillId="0" borderId="0" xfId="0" applyNumberFormat="1" applyFont="1"/>
    <xf numFmtId="0" fontId="114" fillId="0" borderId="0" xfId="0" applyNumberFormat="1" applyFont="1" applyAlignment="1">
      <alignment horizontal="right"/>
    </xf>
    <xf numFmtId="1" fontId="115" fillId="0" borderId="0" xfId="0" applyNumberFormat="1" applyFont="1" applyAlignment="1">
      <alignment horizontal="center"/>
    </xf>
    <xf numFmtId="0" fontId="114" fillId="0" borderId="0" xfId="0" applyNumberFormat="1" applyFont="1" applyAlignment="1">
      <alignment vertical="center"/>
    </xf>
    <xf numFmtId="0" fontId="61" fillId="0" borderId="0" xfId="0" applyNumberFormat="1" applyFont="1" applyAlignment="1">
      <alignment horizontal="right" vertical="center"/>
    </xf>
    <xf numFmtId="0" fontId="114" fillId="0" borderId="0" xfId="0" applyNumberFormat="1" applyFont="1" applyAlignment="1">
      <alignment horizontal="right" vertical="center"/>
    </xf>
    <xf numFmtId="0" fontId="118" fillId="0" borderId="0" xfId="0" applyNumberFormat="1" applyFont="1"/>
    <xf numFmtId="0" fontId="72" fillId="0" borderId="0" xfId="0" applyNumberFormat="1" applyFont="1" applyAlignment="1">
      <alignment horizontal="left" indent="4"/>
    </xf>
    <xf numFmtId="0" fontId="72" fillId="0" borderId="0" xfId="0" applyNumberFormat="1" applyFont="1"/>
    <xf numFmtId="0" fontId="72" fillId="0" borderId="0" xfId="0" applyNumberFormat="1" applyFont="1" applyAlignment="1">
      <alignment horizontal="right" indent="3"/>
    </xf>
    <xf numFmtId="0" fontId="119" fillId="0" borderId="0" xfId="0" applyNumberFormat="1" applyFont="1" applyAlignment="1">
      <alignment horizontal="center" vertical="center"/>
    </xf>
    <xf numFmtId="0" fontId="120" fillId="0" borderId="0" xfId="0" applyNumberFormat="1" applyFont="1" applyAlignment="1">
      <alignment horizontal="center" vertical="center"/>
    </xf>
    <xf numFmtId="0" fontId="121" fillId="0" borderId="0" xfId="0" applyNumberFormat="1" applyFont="1" applyAlignment="1">
      <alignment horizontal="left"/>
    </xf>
    <xf numFmtId="0" fontId="122" fillId="0" borderId="0" xfId="0" applyNumberFormat="1" applyFont="1" applyAlignment="1">
      <alignment horizontal="left"/>
    </xf>
    <xf numFmtId="0" fontId="61" fillId="0" borderId="1031" xfId="0" applyNumberFormat="1" applyFont="1" applyBorder="1" applyAlignment="1">
      <alignment horizontal="center" vertical="center" wrapText="1"/>
    </xf>
    <xf numFmtId="0" fontId="122" fillId="0" borderId="1082" xfId="0" applyNumberFormat="1" applyFont="1" applyBorder="1" applyAlignment="1">
      <alignment horizontal="center" vertical="center" wrapText="1"/>
    </xf>
    <xf numFmtId="0" fontId="122" fillId="0" borderId="1032" xfId="0" applyNumberFormat="1" applyFont="1" applyBorder="1" applyAlignment="1">
      <alignment horizontal="center" vertical="center" wrapText="1"/>
    </xf>
    <xf numFmtId="0" fontId="122" fillId="0" borderId="1031" xfId="0" applyNumberFormat="1" applyFont="1" applyBorder="1" applyAlignment="1">
      <alignment horizontal="center" vertical="center" wrapText="1"/>
    </xf>
    <xf numFmtId="0" fontId="61" fillId="0" borderId="1316" xfId="0" applyNumberFormat="1" applyFont="1" applyBorder="1" applyAlignment="1">
      <alignment horizontal="center" vertical="center" wrapText="1"/>
    </xf>
    <xf numFmtId="0" fontId="124" fillId="0" borderId="195" xfId="0" applyNumberFormat="1" applyFont="1" applyBorder="1" applyAlignment="1">
      <alignment horizontal="center" vertical="center" wrapText="1"/>
    </xf>
    <xf numFmtId="0" fontId="61" fillId="0" borderId="1082" xfId="0" applyNumberFormat="1" applyFont="1" applyBorder="1" applyAlignment="1">
      <alignment horizontal="center" vertical="center" wrapText="1"/>
    </xf>
    <xf numFmtId="0" fontId="61" fillId="10" borderId="1082" xfId="0" applyNumberFormat="1" applyFont="1" applyFill="1" applyBorder="1" applyAlignment="1">
      <alignment horizontal="center" vertical="center" wrapText="1"/>
    </xf>
    <xf numFmtId="166" fontId="125" fillId="0" borderId="1082" xfId="0" applyNumberFormat="1" applyFont="1" applyBorder="1" applyAlignment="1">
      <alignment horizontal="center" vertical="center" wrapText="1"/>
    </xf>
    <xf numFmtId="2" fontId="43" fillId="11" borderId="1082" xfId="0" applyNumberFormat="1" applyFont="1" applyFill="1" applyBorder="1" applyAlignment="1">
      <alignment horizontal="center" vertical="center" wrapText="1"/>
    </xf>
    <xf numFmtId="166" fontId="43" fillId="12" borderId="1082" xfId="0" applyNumberFormat="1" applyFont="1" applyFill="1" applyBorder="1" applyAlignment="1">
      <alignment horizontal="center" vertical="center" wrapText="1"/>
    </xf>
    <xf numFmtId="166" fontId="43" fillId="12" borderId="1032" xfId="0" applyNumberFormat="1" applyFont="1" applyFill="1" applyBorder="1" applyAlignment="1">
      <alignment horizontal="center" vertical="center" wrapText="1"/>
    </xf>
    <xf numFmtId="2" fontId="43" fillId="0" borderId="1082" xfId="0" applyNumberFormat="1" applyFont="1" applyBorder="1" applyAlignment="1">
      <alignment horizontal="center" vertical="center" wrapText="1"/>
    </xf>
    <xf numFmtId="2" fontId="43" fillId="2" borderId="1082" xfId="0" applyNumberFormat="1" applyFont="1" applyFill="1" applyBorder="1" applyAlignment="1">
      <alignment horizontal="center" vertical="center" wrapText="1"/>
    </xf>
    <xf numFmtId="0" fontId="125" fillId="0" borderId="782" xfId="0" applyNumberFormat="1" applyFont="1" applyBorder="1" applyAlignment="1">
      <alignment horizontal="center" vertical="center" wrapText="1"/>
    </xf>
    <xf numFmtId="166" fontId="125" fillId="0" borderId="782" xfId="0" applyNumberFormat="1" applyFont="1" applyBorder="1" applyAlignment="1">
      <alignment horizontal="center" vertical="center" wrapText="1"/>
    </xf>
    <xf numFmtId="166" fontId="43" fillId="12" borderId="782" xfId="0" applyNumberFormat="1" applyFont="1" applyFill="1" applyBorder="1" applyAlignment="1">
      <alignment horizontal="center" vertical="center" wrapText="1"/>
    </xf>
    <xf numFmtId="166" fontId="43" fillId="0" borderId="782" xfId="0" applyNumberFormat="1" applyFont="1" applyBorder="1" applyAlignment="1">
      <alignment horizontal="center" vertical="center" wrapText="1"/>
    </xf>
    <xf numFmtId="166" fontId="43" fillId="2" borderId="782" xfId="0" applyNumberFormat="1" applyFont="1" applyFill="1" applyBorder="1" applyAlignment="1">
      <alignment horizontal="center" vertical="center" wrapText="1"/>
    </xf>
    <xf numFmtId="166" fontId="43" fillId="12" borderId="794" xfId="0" applyNumberFormat="1" applyFont="1" applyFill="1" applyBorder="1" applyAlignment="1">
      <alignment horizontal="center" vertical="center" wrapText="1"/>
    </xf>
    <xf numFmtId="0" fontId="125" fillId="0" borderId="810" xfId="0" applyNumberFormat="1" applyFont="1" applyBorder="1" applyAlignment="1">
      <alignment horizontal="center" vertical="center" wrapText="1"/>
    </xf>
    <xf numFmtId="166" fontId="125" fillId="0" borderId="810" xfId="0" applyNumberFormat="1" applyFont="1" applyBorder="1" applyAlignment="1">
      <alignment horizontal="center" vertical="center" wrapText="1"/>
    </xf>
    <xf numFmtId="49" fontId="43" fillId="11" borderId="810" xfId="0" applyNumberFormat="1" applyFont="1" applyFill="1" applyBorder="1" applyAlignment="1">
      <alignment horizontal="center" vertical="center" wrapText="1"/>
    </xf>
    <xf numFmtId="49" fontId="43" fillId="0" borderId="810" xfId="0" applyNumberFormat="1" applyFont="1" applyBorder="1" applyAlignment="1">
      <alignment horizontal="center" vertical="center" wrapText="1"/>
    </xf>
    <xf numFmtId="49" fontId="43" fillId="2" borderId="810" xfId="0" applyNumberFormat="1" applyFont="1" applyFill="1" applyBorder="1" applyAlignment="1">
      <alignment horizontal="center" vertical="center" wrapText="1"/>
    </xf>
    <xf numFmtId="49" fontId="43" fillId="10" borderId="789" xfId="0" applyNumberFormat="1" applyFont="1" applyFill="1" applyBorder="1" applyAlignment="1">
      <alignment horizontal="center" vertical="center" wrapText="1"/>
    </xf>
    <xf numFmtId="49" fontId="43" fillId="10" borderId="1086" xfId="0" applyNumberFormat="1" applyFont="1" applyFill="1" applyBorder="1" applyAlignment="1">
      <alignment horizontal="center" vertical="center" wrapText="1"/>
    </xf>
    <xf numFmtId="166" fontId="43" fillId="11" borderId="782" xfId="0" applyNumberFormat="1" applyFont="1" applyFill="1" applyBorder="1" applyAlignment="1">
      <alignment horizontal="center" vertical="center" wrapText="1"/>
    </xf>
    <xf numFmtId="166" fontId="43" fillId="0" borderId="794" xfId="0" applyNumberFormat="1" applyFont="1" applyBorder="1" applyAlignment="1">
      <alignment horizontal="center" vertical="center" wrapText="1"/>
    </xf>
    <xf numFmtId="49" fontId="43" fillId="0" borderId="1560" xfId="0" applyNumberFormat="1" applyFont="1" applyBorder="1" applyAlignment="1">
      <alignment horizontal="center" vertical="center" wrapText="1"/>
    </xf>
    <xf numFmtId="49" fontId="43" fillId="2" borderId="789" xfId="0" applyNumberFormat="1" applyFont="1" applyFill="1" applyBorder="1" applyAlignment="1">
      <alignment horizontal="center" vertical="center" wrapText="1"/>
    </xf>
    <xf numFmtId="49" fontId="43" fillId="2" borderId="1086" xfId="0" applyNumberFormat="1" applyFont="1" applyFill="1" applyBorder="1" applyAlignment="1">
      <alignment horizontal="center" vertical="center" wrapText="1"/>
    </xf>
    <xf numFmtId="49" fontId="43" fillId="2" borderId="811" xfId="0" applyNumberFormat="1" applyFont="1" applyFill="1" applyBorder="1" applyAlignment="1">
      <alignment horizontal="center" vertical="center" wrapText="1"/>
    </xf>
    <xf numFmtId="49" fontId="43" fillId="10" borderId="810" xfId="0" applyNumberFormat="1" applyFont="1" applyFill="1" applyBorder="1" applyAlignment="1">
      <alignment horizontal="center" vertical="center" wrapText="1"/>
    </xf>
    <xf numFmtId="49" fontId="43" fillId="10" borderId="811" xfId="0" applyNumberFormat="1" applyFont="1" applyFill="1" applyBorder="1" applyAlignment="1">
      <alignment horizontal="center" vertical="center" wrapText="1"/>
    </xf>
    <xf numFmtId="49" fontId="43" fillId="0" borderId="782" xfId="0" applyNumberFormat="1" applyFont="1" applyBorder="1" applyAlignment="1">
      <alignment horizontal="center" vertical="center" wrapText="1"/>
    </xf>
    <xf numFmtId="49" fontId="43" fillId="10" borderId="782" xfId="0" applyNumberFormat="1" applyFont="1" applyFill="1" applyBorder="1" applyAlignment="1">
      <alignment horizontal="center" vertical="center" wrapText="1"/>
    </xf>
    <xf numFmtId="49" fontId="43" fillId="11" borderId="782" xfId="0" applyNumberFormat="1" applyFont="1" applyFill="1" applyBorder="1" applyAlignment="1">
      <alignment horizontal="center" vertical="center" wrapText="1"/>
    </xf>
    <xf numFmtId="49" fontId="43" fillId="0" borderId="794" xfId="0" applyNumberFormat="1" applyFont="1" applyBorder="1" applyAlignment="1">
      <alignment horizontal="center" vertical="center" wrapText="1"/>
    </xf>
    <xf numFmtId="49" fontId="43" fillId="10" borderId="794" xfId="0" applyNumberFormat="1" applyFont="1" applyFill="1" applyBorder="1" applyAlignment="1">
      <alignment horizontal="center" vertical="center" wrapText="1"/>
    </xf>
    <xf numFmtId="0" fontId="125" fillId="0" borderId="1082" xfId="0" applyNumberFormat="1" applyFont="1" applyBorder="1" applyAlignment="1">
      <alignment horizontal="center" vertical="center" wrapText="1"/>
    </xf>
    <xf numFmtId="166" fontId="43" fillId="0" borderId="1082" xfId="0" applyNumberFormat="1" applyFont="1" applyBorder="1" applyAlignment="1">
      <alignment horizontal="center" vertical="center" wrapText="1"/>
    </xf>
    <xf numFmtId="49" fontId="43" fillId="0" borderId="1082" xfId="0" applyNumberFormat="1" applyFont="1" applyBorder="1" applyAlignment="1">
      <alignment horizontal="center" vertical="center" wrapText="1"/>
    </xf>
    <xf numFmtId="49" fontId="43" fillId="0" borderId="1032" xfId="0" applyNumberFormat="1" applyFont="1" applyBorder="1" applyAlignment="1">
      <alignment horizontal="center" vertical="center" wrapText="1"/>
    </xf>
    <xf numFmtId="49" fontId="43" fillId="2" borderId="1082" xfId="0" applyNumberFormat="1" applyFont="1" applyFill="1" applyBorder="1" applyAlignment="1">
      <alignment horizontal="center" vertical="center" wrapText="1"/>
    </xf>
    <xf numFmtId="49" fontId="43" fillId="2" borderId="1032" xfId="0" applyNumberFormat="1" applyFont="1" applyFill="1" applyBorder="1" applyAlignment="1">
      <alignment horizontal="center" vertical="center" wrapText="1"/>
    </xf>
    <xf numFmtId="47" fontId="43" fillId="0" borderId="782" xfId="0" applyNumberFormat="1" applyFont="1" applyBorder="1" applyAlignment="1">
      <alignment horizontal="center" vertical="center" wrapText="1"/>
    </xf>
    <xf numFmtId="47" fontId="43" fillId="12" borderId="782" xfId="0" applyNumberFormat="1" applyFont="1" applyFill="1" applyBorder="1" applyAlignment="1">
      <alignment horizontal="center" vertical="center" wrapText="1"/>
    </xf>
    <xf numFmtId="47" fontId="43" fillId="12" borderId="794" xfId="0" applyNumberFormat="1" applyFont="1" applyFill="1" applyBorder="1" applyAlignment="1">
      <alignment horizontal="center" vertical="center" wrapText="1"/>
    </xf>
    <xf numFmtId="0" fontId="120" fillId="0" borderId="0" xfId="0" applyNumberFormat="1" applyFont="1" applyAlignment="1">
      <alignment horizontal="center"/>
    </xf>
    <xf numFmtId="166" fontId="43" fillId="12" borderId="810" xfId="0" applyNumberFormat="1" applyFont="1" applyFill="1" applyBorder="1" applyAlignment="1">
      <alignment horizontal="center" vertical="center" wrapText="1"/>
    </xf>
    <xf numFmtId="166" fontId="43" fillId="12" borderId="811" xfId="0" applyNumberFormat="1" applyFont="1" applyFill="1" applyBorder="1" applyAlignment="1">
      <alignment horizontal="center" vertical="center" wrapText="1"/>
    </xf>
    <xf numFmtId="166" fontId="43" fillId="10" borderId="782" xfId="0" applyNumberFormat="1" applyFont="1" applyFill="1" applyBorder="1" applyAlignment="1">
      <alignment horizontal="center" vertical="center" wrapText="1"/>
    </xf>
    <xf numFmtId="166" fontId="43" fillId="10" borderId="810" xfId="0" applyNumberFormat="1" applyFont="1" applyFill="1" applyBorder="1" applyAlignment="1">
      <alignment horizontal="center" vertical="center" wrapText="1"/>
    </xf>
    <xf numFmtId="0" fontId="120" fillId="0" borderId="0" xfId="0" applyNumberFormat="1" applyFont="1" applyAlignment="1">
      <alignment horizontal="center" vertical="top"/>
    </xf>
    <xf numFmtId="0" fontId="119" fillId="0" borderId="0" xfId="0" applyNumberFormat="1" applyFont="1" applyAlignment="1">
      <alignment horizontal="left"/>
    </xf>
    <xf numFmtId="49" fontId="120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22" fillId="13" borderId="1082" xfId="0" applyNumberFormat="1" applyFont="1" applyFill="1" applyBorder="1" applyAlignment="1">
      <alignment horizontal="center" vertical="center" wrapText="1"/>
    </xf>
    <xf numFmtId="0" fontId="122" fillId="13" borderId="1032" xfId="0" applyNumberFormat="1" applyFont="1" applyFill="1" applyBorder="1" applyAlignment="1">
      <alignment horizontal="center" vertical="center" wrapText="1"/>
    </xf>
    <xf numFmtId="166" fontId="43" fillId="0" borderId="195" xfId="0" applyNumberFormat="1" applyFont="1" applyBorder="1" applyAlignment="1">
      <alignment vertical="center" wrapText="1"/>
    </xf>
    <xf numFmtId="166" fontId="43" fillId="13" borderId="195" xfId="0" applyNumberFormat="1" applyFont="1" applyFill="1" applyBorder="1" applyAlignment="1">
      <alignment vertical="center" wrapText="1"/>
    </xf>
    <xf numFmtId="166" fontId="43" fillId="13" borderId="1317" xfId="0" applyNumberFormat="1" applyFont="1" applyFill="1" applyBorder="1" applyAlignment="1">
      <alignment vertical="center" wrapText="1"/>
    </xf>
    <xf numFmtId="2" fontId="43" fillId="13" borderId="1082" xfId="0" applyNumberFormat="1" applyFont="1" applyFill="1" applyBorder="1" applyAlignment="1">
      <alignment horizontal="center" vertical="center" wrapText="1"/>
    </xf>
    <xf numFmtId="166" fontId="43" fillId="13" borderId="1082" xfId="0" applyNumberFormat="1" applyFont="1" applyFill="1" applyBorder="1" applyAlignment="1">
      <alignment horizontal="center" vertical="center" wrapText="1"/>
    </xf>
    <xf numFmtId="166" fontId="43" fillId="13" borderId="1032" xfId="0" applyNumberFormat="1" applyFont="1" applyFill="1" applyBorder="1" applyAlignment="1">
      <alignment horizontal="center" vertical="center" wrapText="1"/>
    </xf>
    <xf numFmtId="0" fontId="1" fillId="13" borderId="0" xfId="0" applyNumberFormat="1" applyFont="1" applyFill="1" applyAlignment="1">
      <alignment horizontal="center" vertical="center"/>
    </xf>
    <xf numFmtId="166" fontId="43" fillId="13" borderId="782" xfId="0" applyNumberFormat="1" applyFont="1" applyFill="1" applyBorder="1" applyAlignment="1">
      <alignment horizontal="center" vertical="center" wrapText="1"/>
    </xf>
    <xf numFmtId="166" fontId="43" fillId="13" borderId="794" xfId="0" applyNumberFormat="1" applyFont="1" applyFill="1" applyBorder="1" applyAlignment="1">
      <alignment horizontal="center" vertical="center" wrapText="1"/>
    </xf>
    <xf numFmtId="49" fontId="43" fillId="13" borderId="810" xfId="0" applyNumberFormat="1" applyFont="1" applyFill="1" applyBorder="1" applyAlignment="1">
      <alignment horizontal="center" vertical="center" wrapText="1"/>
    </xf>
    <xf numFmtId="49" fontId="43" fillId="13" borderId="789" xfId="0" applyNumberFormat="1" applyFont="1" applyFill="1" applyBorder="1" applyAlignment="1">
      <alignment horizontal="center" vertical="center" wrapText="1"/>
    </xf>
    <xf numFmtId="49" fontId="43" fillId="13" borderId="1086" xfId="0" applyNumberFormat="1" applyFont="1" applyFill="1" applyBorder="1" applyAlignment="1">
      <alignment horizontal="center" vertical="center" wrapText="1"/>
    </xf>
    <xf numFmtId="49" fontId="43" fillId="13" borderId="1560" xfId="0" applyNumberFormat="1" applyFont="1" applyFill="1" applyBorder="1" applyAlignment="1">
      <alignment horizontal="center" vertical="center" wrapText="1"/>
    </xf>
    <xf numFmtId="166" fontId="43" fillId="0" borderId="216" xfId="0" applyNumberFormat="1" applyFont="1" applyBorder="1" applyAlignment="1">
      <alignment horizontal="center" vertical="center" wrapText="1"/>
    </xf>
    <xf numFmtId="166" fontId="43" fillId="13" borderId="216" xfId="0" applyNumberFormat="1" applyFont="1" applyFill="1" applyBorder="1" applyAlignment="1">
      <alignment horizontal="center" vertical="center" wrapText="1"/>
    </xf>
    <xf numFmtId="166" fontId="43" fillId="13" borderId="4585" xfId="0" applyNumberFormat="1" applyFont="1" applyFill="1" applyBorder="1" applyAlignment="1">
      <alignment horizontal="center" vertical="center" wrapText="1"/>
    </xf>
    <xf numFmtId="49" fontId="43" fillId="13" borderId="811" xfId="0" applyNumberFormat="1" applyFont="1" applyFill="1" applyBorder="1" applyAlignment="1">
      <alignment horizontal="center" vertical="center" wrapText="1"/>
    </xf>
    <xf numFmtId="49" fontId="43" fillId="13" borderId="782" xfId="0" applyNumberFormat="1" applyFont="1" applyFill="1" applyBorder="1" applyAlignment="1">
      <alignment horizontal="center" vertical="center" wrapText="1"/>
    </xf>
    <xf numFmtId="49" fontId="43" fillId="13" borderId="794" xfId="0" applyNumberFormat="1" applyFont="1" applyFill="1" applyBorder="1" applyAlignment="1">
      <alignment horizontal="center" vertical="center" wrapText="1"/>
    </xf>
    <xf numFmtId="49" fontId="43" fillId="13" borderId="1082" xfId="0" applyNumberFormat="1" applyFont="1" applyFill="1" applyBorder="1" applyAlignment="1">
      <alignment horizontal="center" vertical="center" wrapText="1"/>
    </xf>
    <xf numFmtId="49" fontId="43" fillId="13" borderId="1032" xfId="0" applyNumberFormat="1" applyFont="1" applyFill="1" applyBorder="1" applyAlignment="1">
      <alignment horizontal="center" vertical="center" wrapText="1"/>
    </xf>
    <xf numFmtId="47" fontId="43" fillId="13" borderId="782" xfId="0" applyNumberFormat="1" applyFont="1" applyFill="1" applyBorder="1" applyAlignment="1">
      <alignment horizontal="center" vertical="center" wrapText="1"/>
    </xf>
    <xf numFmtId="47" fontId="43" fillId="13" borderId="794" xfId="0" applyNumberFormat="1" applyFont="1" applyFill="1" applyBorder="1" applyAlignment="1">
      <alignment horizontal="center" vertical="center" wrapText="1"/>
    </xf>
    <xf numFmtId="166" fontId="43" fillId="13" borderId="810" xfId="0" applyNumberFormat="1" applyFont="1" applyFill="1" applyBorder="1" applyAlignment="1">
      <alignment horizontal="center" vertical="center" wrapText="1"/>
    </xf>
    <xf numFmtId="166" fontId="43" fillId="13" borderId="811" xfId="0" applyNumberFormat="1" applyFont="1" applyFill="1" applyBorder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/>
    </xf>
    <xf numFmtId="0" fontId="24" fillId="0" borderId="27" xfId="0" applyNumberFormat="1" applyFont="1" applyBorder="1" applyAlignment="1">
      <alignment horizontal="center" vertical="center" wrapText="1"/>
    </xf>
    <xf numFmtId="0" fontId="24" fillId="0" borderId="35" xfId="0" applyNumberFormat="1" applyFont="1" applyBorder="1" applyAlignment="1">
      <alignment horizontal="center" vertical="center" wrapText="1"/>
    </xf>
    <xf numFmtId="0" fontId="24" fillId="0" borderId="21" xfId="0" applyNumberFormat="1" applyFont="1" applyBorder="1" applyAlignment="1">
      <alignment horizontal="center" vertical="center" textRotation="90"/>
    </xf>
    <xf numFmtId="0" fontId="24" fillId="0" borderId="28" xfId="0" applyNumberFormat="1" applyFont="1" applyBorder="1" applyAlignment="1">
      <alignment horizontal="center" vertical="center" textRotation="90"/>
    </xf>
    <xf numFmtId="0" fontId="24" fillId="0" borderId="23" xfId="0" applyNumberFormat="1" applyFont="1" applyBorder="1" applyAlignment="1">
      <alignment horizontal="center" vertical="center"/>
    </xf>
    <xf numFmtId="0" fontId="24" fillId="0" borderId="25" xfId="0" applyNumberFormat="1" applyFont="1" applyBorder="1" applyAlignment="1">
      <alignment horizontal="center" vertical="center"/>
    </xf>
    <xf numFmtId="0" fontId="24" fillId="0" borderId="33" xfId="0" applyNumberFormat="1" applyFont="1" applyBorder="1" applyAlignment="1">
      <alignment horizontal="center" vertical="center"/>
    </xf>
    <xf numFmtId="0" fontId="24" fillId="0" borderId="34" xfId="0" applyNumberFormat="1" applyFont="1" applyBorder="1" applyAlignment="1">
      <alignment horizontal="center" vertical="center"/>
    </xf>
    <xf numFmtId="0" fontId="24" fillId="0" borderId="22" xfId="0" applyNumberFormat="1" applyFont="1" applyBorder="1" applyAlignment="1">
      <alignment horizontal="center" vertical="center" wrapText="1"/>
    </xf>
    <xf numFmtId="0" fontId="24" fillId="0" borderId="32" xfId="0" applyNumberFormat="1" applyFont="1" applyBorder="1" applyAlignment="1">
      <alignment horizontal="center" vertical="center" wrapText="1"/>
    </xf>
    <xf numFmtId="0" fontId="24" fillId="0" borderId="29" xfId="0" applyNumberFormat="1" applyFont="1" applyBorder="1" applyAlignment="1">
      <alignment horizontal="center" vertical="center" wrapText="1"/>
    </xf>
    <xf numFmtId="0" fontId="24" fillId="0" borderId="24" xfId="0" applyNumberFormat="1" applyFont="1" applyBorder="1" applyAlignment="1">
      <alignment horizontal="center" vertical="center"/>
    </xf>
    <xf numFmtId="0" fontId="24" fillId="0" borderId="30" xfId="0" applyNumberFormat="1" applyFont="1" applyBorder="1" applyAlignment="1">
      <alignment horizontal="center" vertical="center"/>
    </xf>
    <xf numFmtId="0" fontId="24" fillId="0" borderId="31" xfId="0" applyNumberFormat="1" applyFont="1" applyBorder="1" applyAlignment="1">
      <alignment horizontal="center" vertical="center"/>
    </xf>
    <xf numFmtId="2" fontId="24" fillId="0" borderId="15" xfId="0" applyNumberFormat="1" applyFont="1" applyBorder="1" applyAlignment="1">
      <alignment horizontal="center" vertical="center"/>
    </xf>
    <xf numFmtId="2" fontId="24" fillId="0" borderId="26" xfId="0" applyNumberFormat="1" applyFont="1" applyBorder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23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left" vertical="center" wrapText="1"/>
    </xf>
    <xf numFmtId="0" fontId="1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 wrapText="1" indent="1"/>
    </xf>
    <xf numFmtId="0" fontId="5" fillId="2" borderId="0" xfId="0" applyNumberFormat="1" applyFont="1" applyFill="1" applyAlignment="1">
      <alignment horizontal="left" vertical="center"/>
    </xf>
    <xf numFmtId="0" fontId="17" fillId="0" borderId="15" xfId="0" applyNumberFormat="1" applyFont="1" applyBorder="1" applyAlignment="1">
      <alignment horizontal="left" vertical="center"/>
    </xf>
    <xf numFmtId="0" fontId="17" fillId="0" borderId="19" xfId="0" applyNumberFormat="1" applyFont="1" applyBorder="1" applyAlignment="1">
      <alignment horizontal="left" vertical="center"/>
    </xf>
    <xf numFmtId="0" fontId="17" fillId="0" borderId="20" xfId="0" applyNumberFormat="1" applyFont="1" applyBorder="1" applyAlignment="1">
      <alignment horizontal="left" vertical="center"/>
    </xf>
    <xf numFmtId="0" fontId="17" fillId="0" borderId="15" xfId="0" applyNumberFormat="1" applyFont="1" applyBorder="1" applyAlignment="1">
      <alignment horizontal="center" vertical="center"/>
    </xf>
    <xf numFmtId="0" fontId="17" fillId="0" borderId="16" xfId="0" applyNumberFormat="1" applyFont="1" applyBorder="1" applyAlignment="1">
      <alignment horizontal="center" vertical="center"/>
    </xf>
    <xf numFmtId="0" fontId="17" fillId="0" borderId="17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center" vertical="center"/>
    </xf>
    <xf numFmtId="0" fontId="17" fillId="0" borderId="13" xfId="0" applyNumberFormat="1" applyFont="1" applyBorder="1" applyAlignment="1">
      <alignment horizontal="center" vertical="center"/>
    </xf>
    <xf numFmtId="0" fontId="17" fillId="0" borderId="14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5" fillId="0" borderId="3" xfId="0" applyNumberFormat="1" applyFont="1" applyBorder="1" applyAlignment="1">
      <alignment horizontal="center" vertical="center"/>
    </xf>
    <xf numFmtId="0" fontId="15" fillId="0" borderId="4" xfId="0" applyNumberFormat="1" applyFont="1" applyBorder="1" applyAlignment="1">
      <alignment horizontal="center" vertical="center"/>
    </xf>
    <xf numFmtId="0" fontId="15" fillId="0" borderId="5" xfId="0" applyNumberFormat="1" applyFont="1" applyBorder="1" applyAlignment="1">
      <alignment horizontal="center" vertical="center"/>
    </xf>
    <xf numFmtId="0" fontId="15" fillId="0" borderId="6" xfId="0" applyNumberFormat="1" applyFont="1" applyBorder="1" applyAlignment="1">
      <alignment horizontal="center" vertical="center"/>
    </xf>
    <xf numFmtId="0" fontId="15" fillId="0" borderId="7" xfId="0" applyNumberFormat="1" applyFont="1" applyBorder="1" applyAlignment="1">
      <alignment horizontal="center" vertical="center"/>
    </xf>
    <xf numFmtId="0" fontId="15" fillId="0" borderId="8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center" vertical="center"/>
    </xf>
    <xf numFmtId="0" fontId="15" fillId="0" borderId="10" xfId="0" applyNumberFormat="1" applyFont="1" applyBorder="1" applyAlignment="1">
      <alignment horizontal="center" vertical="center"/>
    </xf>
    <xf numFmtId="0" fontId="15" fillId="0" borderId="11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0" fontId="37" fillId="0" borderId="0" xfId="0" applyNumberFormat="1" applyFont="1" applyAlignment="1">
      <alignment horizontal="center"/>
    </xf>
    <xf numFmtId="0" fontId="39" fillId="0" borderId="1" xfId="0" applyNumberFormat="1" applyFont="1" applyBorder="1" applyAlignment="1">
      <alignment horizontal="center" vertical="center" wrapText="1"/>
    </xf>
    <xf numFmtId="0" fontId="39" fillId="0" borderId="36" xfId="0" applyNumberFormat="1" applyFont="1" applyBorder="1" applyAlignment="1">
      <alignment horizontal="center" vertical="center" wrapText="1"/>
    </xf>
    <xf numFmtId="0" fontId="39" fillId="0" borderId="37" xfId="0" applyNumberFormat="1" applyFont="1" applyBorder="1" applyAlignment="1">
      <alignment horizontal="center" vertical="center" wrapText="1"/>
    </xf>
    <xf numFmtId="0" fontId="39" fillId="0" borderId="38" xfId="0" applyNumberFormat="1" applyFont="1" applyBorder="1" applyAlignment="1">
      <alignment horizontal="center" vertical="center" wrapText="1"/>
    </xf>
    <xf numFmtId="0" fontId="39" fillId="0" borderId="39" xfId="0" applyNumberFormat="1" applyFont="1" applyBorder="1" applyAlignment="1">
      <alignment horizontal="center" vertical="center" wrapText="1"/>
    </xf>
    <xf numFmtId="0" fontId="39" fillId="0" borderId="40" xfId="0" applyNumberFormat="1" applyFont="1" applyBorder="1" applyAlignment="1">
      <alignment horizontal="center" vertical="center" wrapText="1"/>
    </xf>
    <xf numFmtId="0" fontId="39" fillId="0" borderId="41" xfId="0" applyNumberFormat="1" applyFont="1" applyBorder="1" applyAlignment="1">
      <alignment horizontal="center" vertical="center" wrapText="1"/>
    </xf>
    <xf numFmtId="0" fontId="39" fillId="0" borderId="42" xfId="0" applyNumberFormat="1" applyFont="1" applyBorder="1" applyAlignment="1">
      <alignment horizontal="center" vertical="center" wrapText="1"/>
    </xf>
    <xf numFmtId="0" fontId="39" fillId="0" borderId="43" xfId="0" applyNumberFormat="1" applyFont="1" applyBorder="1" applyAlignment="1">
      <alignment horizontal="center" vertical="center" wrapText="1"/>
    </xf>
    <xf numFmtId="0" fontId="39" fillId="0" borderId="44" xfId="0" applyNumberFormat="1" applyFont="1" applyBorder="1" applyAlignment="1">
      <alignment horizontal="center" vertical="center" wrapText="1"/>
    </xf>
    <xf numFmtId="0" fontId="39" fillId="0" borderId="45" xfId="0" applyNumberFormat="1" applyFont="1" applyBorder="1" applyAlignment="1">
      <alignment horizontal="center" vertical="center" wrapText="1"/>
    </xf>
    <xf numFmtId="0" fontId="39" fillId="0" borderId="46" xfId="0" applyNumberFormat="1" applyFont="1" applyBorder="1" applyAlignment="1">
      <alignment horizontal="center" vertical="center" wrapText="1"/>
    </xf>
    <xf numFmtId="0" fontId="39" fillId="0" borderId="47" xfId="0" applyNumberFormat="1" applyFont="1" applyBorder="1" applyAlignment="1">
      <alignment horizontal="center" vertical="center" wrapText="1"/>
    </xf>
    <xf numFmtId="0" fontId="39" fillId="0" borderId="48" xfId="0" applyNumberFormat="1" applyFont="1" applyBorder="1" applyAlignment="1">
      <alignment horizontal="center" vertical="center" wrapText="1"/>
    </xf>
    <xf numFmtId="0" fontId="39" fillId="0" borderId="49" xfId="0" applyNumberFormat="1" applyFont="1" applyBorder="1" applyAlignment="1">
      <alignment horizontal="center" vertical="center" wrapText="1"/>
    </xf>
    <xf numFmtId="0" fontId="39" fillId="0" borderId="50" xfId="0" applyNumberFormat="1" applyFont="1" applyBorder="1" applyAlignment="1">
      <alignment horizontal="center" vertical="center" wrapText="1"/>
    </xf>
    <xf numFmtId="0" fontId="39" fillId="0" borderId="51" xfId="0" applyNumberFormat="1" applyFont="1" applyBorder="1" applyAlignment="1">
      <alignment horizontal="center" vertical="center" wrapText="1"/>
    </xf>
    <xf numFmtId="0" fontId="39" fillId="0" borderId="52" xfId="0" applyNumberFormat="1" applyFont="1" applyBorder="1" applyAlignment="1">
      <alignment horizontal="center" vertical="center" wrapText="1"/>
    </xf>
    <xf numFmtId="0" fontId="39" fillId="0" borderId="1" xfId="0" applyNumberFormat="1" applyFont="1" applyBorder="1" applyAlignment="1">
      <alignment horizontal="center"/>
    </xf>
    <xf numFmtId="0" fontId="39" fillId="0" borderId="53" xfId="0" applyNumberFormat="1" applyFont="1" applyBorder="1" applyAlignment="1">
      <alignment horizontal="center"/>
    </xf>
    <xf numFmtId="0" fontId="39" fillId="0" borderId="54" xfId="0" applyNumberFormat="1" applyFont="1" applyBorder="1" applyAlignment="1">
      <alignment horizontal="center"/>
    </xf>
    <xf numFmtId="0" fontId="39" fillId="0" borderId="55" xfId="0" applyNumberFormat="1" applyFont="1" applyBorder="1" applyAlignment="1">
      <alignment horizontal="center"/>
    </xf>
    <xf numFmtId="0" fontId="39" fillId="0" borderId="56" xfId="0" applyNumberFormat="1" applyFont="1" applyBorder="1" applyAlignment="1">
      <alignment horizontal="center"/>
    </xf>
    <xf numFmtId="0" fontId="39" fillId="0" borderId="57" xfId="0" applyNumberFormat="1" applyFont="1" applyBorder="1" applyAlignment="1">
      <alignment horizontal="center"/>
    </xf>
    <xf numFmtId="0" fontId="39" fillId="0" borderId="58" xfId="0" applyNumberFormat="1" applyFont="1" applyBorder="1" applyAlignment="1">
      <alignment horizontal="center"/>
    </xf>
    <xf numFmtId="0" fontId="39" fillId="0" borderId="59" xfId="0" applyNumberFormat="1" applyFont="1" applyBorder="1" applyAlignment="1">
      <alignment horizontal="center"/>
    </xf>
    <xf numFmtId="0" fontId="39" fillId="0" borderId="60" xfId="0" applyNumberFormat="1" applyFont="1" applyBorder="1" applyAlignment="1">
      <alignment horizontal="center"/>
    </xf>
    <xf numFmtId="0" fontId="39" fillId="0" borderId="61" xfId="0" applyNumberFormat="1" applyFont="1" applyBorder="1" applyAlignment="1">
      <alignment horizontal="center"/>
    </xf>
    <xf numFmtId="0" fontId="39" fillId="0" borderId="62" xfId="0" applyNumberFormat="1" applyFont="1" applyBorder="1" applyAlignment="1">
      <alignment horizontal="center"/>
    </xf>
    <xf numFmtId="0" fontId="39" fillId="0" borderId="63" xfId="0" applyNumberFormat="1" applyFont="1" applyBorder="1" applyAlignment="1">
      <alignment horizontal="center"/>
    </xf>
    <xf numFmtId="0" fontId="39" fillId="0" borderId="64" xfId="0" applyNumberFormat="1" applyFont="1" applyBorder="1" applyAlignment="1">
      <alignment horizontal="center"/>
    </xf>
    <xf numFmtId="0" fontId="39" fillId="0" borderId="65" xfId="0" applyNumberFormat="1" applyFont="1" applyBorder="1" applyAlignment="1">
      <alignment horizontal="center"/>
    </xf>
    <xf numFmtId="0" fontId="39" fillId="0" borderId="66" xfId="0" applyNumberFormat="1" applyFont="1" applyBorder="1" applyAlignment="1">
      <alignment horizontal="center"/>
    </xf>
    <xf numFmtId="0" fontId="39" fillId="0" borderId="67" xfId="0" applyNumberFormat="1" applyFont="1" applyBorder="1" applyAlignment="1">
      <alignment horizontal="center"/>
    </xf>
    <xf numFmtId="0" fontId="39" fillId="0" borderId="68" xfId="0" applyNumberFormat="1" applyFont="1" applyBorder="1" applyAlignment="1">
      <alignment horizontal="center"/>
    </xf>
    <xf numFmtId="0" fontId="39" fillId="0" borderId="69" xfId="0" applyNumberFormat="1" applyFont="1" applyBorder="1" applyAlignment="1">
      <alignment horizontal="center"/>
    </xf>
    <xf numFmtId="0" fontId="27" fillId="0" borderId="0" xfId="0" applyNumberFormat="1" applyFont="1" applyAlignment="1">
      <alignment horizontal="center" vertical="top"/>
    </xf>
    <xf numFmtId="0" fontId="38" fillId="0" borderId="0" xfId="0" applyNumberFormat="1" applyFont="1" applyAlignment="1">
      <alignment horizontal="left"/>
    </xf>
    <xf numFmtId="0" fontId="40" fillId="0" borderId="0" xfId="0" applyNumberFormat="1" applyFont="1" applyAlignment="1">
      <alignment horizontal="left"/>
    </xf>
    <xf numFmtId="0" fontId="27" fillId="0" borderId="71" xfId="0" applyNumberFormat="1" applyFont="1" applyBorder="1" applyAlignment="1">
      <alignment horizontal="center" vertical="top"/>
    </xf>
    <xf numFmtId="0" fontId="27" fillId="0" borderId="72" xfId="0" applyNumberFormat="1" applyFont="1" applyBorder="1" applyAlignment="1">
      <alignment horizontal="center" vertical="top"/>
    </xf>
    <xf numFmtId="0" fontId="27" fillId="0" borderId="73" xfId="0" applyNumberFormat="1" applyFont="1" applyBorder="1" applyAlignment="1">
      <alignment horizontal="center" vertical="top"/>
    </xf>
    <xf numFmtId="0" fontId="27" fillId="0" borderId="74" xfId="0" applyNumberFormat="1" applyFont="1" applyBorder="1" applyAlignment="1">
      <alignment horizontal="center" vertical="top"/>
    </xf>
    <xf numFmtId="0" fontId="27" fillId="0" borderId="75" xfId="0" applyNumberFormat="1" applyFont="1" applyBorder="1" applyAlignment="1">
      <alignment horizontal="center" vertical="top"/>
    </xf>
    <xf numFmtId="0" fontId="27" fillId="0" borderId="76" xfId="0" applyNumberFormat="1" applyFont="1" applyBorder="1" applyAlignment="1">
      <alignment horizontal="center" vertical="top"/>
    </xf>
    <xf numFmtId="0" fontId="27" fillId="0" borderId="77" xfId="0" applyNumberFormat="1" applyFont="1" applyBorder="1" applyAlignment="1">
      <alignment horizontal="center" vertical="top"/>
    </xf>
    <xf numFmtId="0" fontId="27" fillId="0" borderId="78" xfId="0" applyNumberFormat="1" applyFont="1" applyBorder="1" applyAlignment="1">
      <alignment horizontal="center" vertical="top"/>
    </xf>
    <xf numFmtId="0" fontId="27" fillId="0" borderId="79" xfId="0" applyNumberFormat="1" applyFont="1" applyBorder="1" applyAlignment="1">
      <alignment horizontal="center" vertical="top"/>
    </xf>
    <xf numFmtId="0" fontId="27" fillId="0" borderId="80" xfId="0" applyNumberFormat="1" applyFont="1" applyBorder="1" applyAlignment="1">
      <alignment horizontal="center" vertical="top"/>
    </xf>
    <xf numFmtId="0" fontId="27" fillId="0" borderId="81" xfId="0" applyNumberFormat="1" applyFont="1" applyBorder="1" applyAlignment="1">
      <alignment horizontal="center" vertical="top"/>
    </xf>
    <xf numFmtId="0" fontId="27" fillId="0" borderId="82" xfId="0" applyNumberFormat="1" applyFont="1" applyBorder="1" applyAlignment="1">
      <alignment horizontal="center" vertical="top"/>
    </xf>
    <xf numFmtId="0" fontId="27" fillId="0" borderId="83" xfId="0" applyNumberFormat="1" applyFont="1" applyBorder="1" applyAlignment="1">
      <alignment horizontal="center" vertical="top"/>
    </xf>
    <xf numFmtId="0" fontId="27" fillId="0" borderId="84" xfId="0" applyNumberFormat="1" applyFont="1" applyBorder="1" applyAlignment="1">
      <alignment horizontal="center" vertical="top"/>
    </xf>
    <xf numFmtId="0" fontId="27" fillId="0" borderId="85" xfId="0" applyNumberFormat="1" applyFont="1" applyBorder="1" applyAlignment="1">
      <alignment horizontal="center" vertical="top"/>
    </xf>
    <xf numFmtId="0" fontId="27" fillId="0" borderId="86" xfId="0" applyNumberFormat="1" applyFont="1" applyBorder="1" applyAlignment="1">
      <alignment horizontal="center" vertical="top"/>
    </xf>
    <xf numFmtId="0" fontId="27" fillId="0" borderId="87" xfId="0" applyNumberFormat="1" applyFont="1" applyBorder="1" applyAlignment="1">
      <alignment horizontal="center" vertical="top"/>
    </xf>
    <xf numFmtId="0" fontId="27" fillId="0" borderId="88" xfId="0" applyNumberFormat="1" applyFont="1" applyBorder="1" applyAlignment="1">
      <alignment horizontal="center" vertical="top"/>
    </xf>
    <xf numFmtId="0" fontId="27" fillId="0" borderId="89" xfId="0" applyNumberFormat="1" applyFont="1" applyBorder="1" applyAlignment="1">
      <alignment horizontal="center" vertical="top"/>
    </xf>
    <xf numFmtId="0" fontId="27" fillId="0" borderId="90" xfId="0" applyNumberFormat="1" applyFont="1" applyBorder="1" applyAlignment="1">
      <alignment horizontal="center" vertical="top"/>
    </xf>
    <xf numFmtId="0" fontId="27" fillId="0" borderId="91" xfId="0" applyNumberFormat="1" applyFont="1" applyBorder="1" applyAlignment="1">
      <alignment horizontal="center" vertical="top"/>
    </xf>
    <xf numFmtId="0" fontId="27" fillId="0" borderId="92" xfId="0" applyNumberFormat="1" applyFont="1" applyBorder="1" applyAlignment="1">
      <alignment horizontal="center" vertical="top"/>
    </xf>
    <xf numFmtId="0" fontId="27" fillId="0" borderId="93" xfId="0" applyNumberFormat="1" applyFont="1" applyBorder="1" applyAlignment="1">
      <alignment horizontal="center" vertical="top"/>
    </xf>
    <xf numFmtId="0" fontId="27" fillId="0" borderId="94" xfId="0" applyNumberFormat="1" applyFont="1" applyBorder="1" applyAlignment="1">
      <alignment horizontal="center" vertical="top"/>
    </xf>
    <xf numFmtId="0" fontId="27" fillId="0" borderId="95" xfId="0" applyNumberFormat="1" applyFont="1" applyBorder="1" applyAlignment="1">
      <alignment horizontal="center" vertical="top"/>
    </xf>
    <xf numFmtId="0" fontId="27" fillId="0" borderId="96" xfId="0" applyNumberFormat="1" applyFont="1" applyBorder="1" applyAlignment="1">
      <alignment horizontal="center" vertical="top"/>
    </xf>
    <xf numFmtId="0" fontId="27" fillId="0" borderId="97" xfId="0" applyNumberFormat="1" applyFont="1" applyBorder="1" applyAlignment="1">
      <alignment horizontal="center" vertical="top"/>
    </xf>
    <xf numFmtId="0" fontId="27" fillId="0" borderId="98" xfId="0" applyNumberFormat="1" applyFont="1" applyBorder="1" applyAlignment="1">
      <alignment horizontal="center" vertical="top"/>
    </xf>
    <xf numFmtId="0" fontId="27" fillId="0" borderId="99" xfId="0" applyNumberFormat="1" applyFont="1" applyBorder="1" applyAlignment="1">
      <alignment horizontal="center" vertical="top"/>
    </xf>
    <xf numFmtId="0" fontId="27" fillId="0" borderId="100" xfId="0" applyNumberFormat="1" applyFont="1" applyBorder="1" applyAlignment="1">
      <alignment horizontal="center" vertical="top"/>
    </xf>
    <xf numFmtId="0" fontId="27" fillId="0" borderId="101" xfId="0" applyNumberFormat="1" applyFont="1" applyBorder="1" applyAlignment="1">
      <alignment horizontal="center" vertical="top"/>
    </xf>
    <xf numFmtId="0" fontId="27" fillId="0" borderId="102" xfId="0" applyNumberFormat="1" applyFont="1" applyBorder="1" applyAlignment="1">
      <alignment horizontal="center" vertical="top"/>
    </xf>
    <xf numFmtId="0" fontId="27" fillId="0" borderId="103" xfId="0" applyNumberFormat="1" applyFont="1" applyBorder="1" applyAlignment="1">
      <alignment horizontal="center" vertical="top"/>
    </xf>
    <xf numFmtId="0" fontId="38" fillId="0" borderId="18" xfId="0" applyNumberFormat="1" applyFont="1" applyBorder="1" applyAlignment="1">
      <alignment horizontal="left"/>
    </xf>
    <xf numFmtId="0" fontId="38" fillId="0" borderId="139" xfId="0" applyNumberFormat="1" applyFont="1" applyBorder="1" applyAlignment="1">
      <alignment horizontal="left"/>
    </xf>
    <xf numFmtId="0" fontId="38" fillId="0" borderId="140" xfId="0" applyNumberFormat="1" applyFont="1" applyBorder="1" applyAlignment="1">
      <alignment horizontal="left"/>
    </xf>
    <xf numFmtId="0" fontId="45" fillId="0" borderId="18" xfId="0" applyNumberFormat="1" applyFont="1" applyBorder="1" applyAlignment="1">
      <alignment horizontal="center"/>
    </xf>
    <xf numFmtId="0" fontId="45" fillId="0" borderId="147" xfId="0" applyNumberFormat="1" applyFont="1" applyBorder="1" applyAlignment="1">
      <alignment horizontal="center"/>
    </xf>
    <xf numFmtId="0" fontId="45" fillId="0" borderId="146" xfId="0" applyNumberFormat="1" applyFont="1" applyBorder="1" applyAlignment="1">
      <alignment horizontal="center"/>
    </xf>
    <xf numFmtId="0" fontId="45" fillId="0" borderId="145" xfId="0" applyNumberFormat="1" applyFont="1" applyBorder="1" applyAlignment="1">
      <alignment horizontal="center"/>
    </xf>
    <xf numFmtId="0" fontId="45" fillId="0" borderId="144" xfId="0" applyNumberFormat="1" applyFont="1" applyBorder="1" applyAlignment="1">
      <alignment horizontal="center"/>
    </xf>
    <xf numFmtId="0" fontId="45" fillId="0" borderId="143" xfId="0" applyNumberFormat="1" applyFont="1" applyBorder="1" applyAlignment="1">
      <alignment horizontal="center"/>
    </xf>
    <xf numFmtId="0" fontId="45" fillId="0" borderId="142" xfId="0" applyNumberFormat="1" applyFont="1" applyBorder="1" applyAlignment="1">
      <alignment horizontal="center"/>
    </xf>
    <xf numFmtId="0" fontId="45" fillId="0" borderId="141" xfId="0" applyNumberFormat="1" applyFont="1" applyBorder="1" applyAlignment="1">
      <alignment horizontal="center"/>
    </xf>
    <xf numFmtId="0" fontId="38" fillId="0" borderId="130" xfId="0" applyNumberFormat="1" applyFont="1" applyBorder="1" applyAlignment="1">
      <alignment horizontal="left"/>
    </xf>
    <xf numFmtId="0" fontId="38" fillId="0" borderId="131" xfId="0" applyNumberFormat="1" applyFont="1" applyBorder="1" applyAlignment="1">
      <alignment horizontal="left"/>
    </xf>
    <xf numFmtId="0" fontId="45" fillId="0" borderId="135" xfId="0" applyNumberFormat="1" applyFont="1" applyBorder="1" applyAlignment="1">
      <alignment horizontal="center"/>
    </xf>
    <xf numFmtId="0" fontId="45" fillId="0" borderId="136" xfId="0" applyNumberFormat="1" applyFont="1" applyBorder="1" applyAlignment="1">
      <alignment horizontal="center"/>
    </xf>
    <xf numFmtId="0" fontId="45" fillId="0" borderId="137" xfId="0" applyNumberFormat="1" applyFont="1" applyBorder="1" applyAlignment="1">
      <alignment horizontal="center"/>
    </xf>
    <xf numFmtId="0" fontId="45" fillId="0" borderId="132" xfId="0" applyNumberFormat="1" applyFont="1" applyBorder="1" applyAlignment="1">
      <alignment horizontal="center"/>
    </xf>
    <xf numFmtId="0" fontId="38" fillId="0" borderId="18" xfId="0" applyNumberFormat="1" applyFont="1" applyBorder="1" applyAlignment="1">
      <alignment horizontal="right"/>
    </xf>
    <xf numFmtId="0" fontId="38" fillId="0" borderId="148" xfId="0" applyNumberFormat="1" applyFont="1" applyBorder="1" applyAlignment="1">
      <alignment horizontal="right"/>
    </xf>
    <xf numFmtId="0" fontId="38" fillId="0" borderId="149" xfId="0" applyNumberFormat="1" applyFont="1" applyBorder="1" applyAlignment="1">
      <alignment horizontal="right"/>
    </xf>
    <xf numFmtId="0" fontId="42" fillId="0" borderId="18" xfId="0" applyNumberFormat="1" applyFont="1" applyBorder="1" applyAlignment="1">
      <alignment horizontal="center"/>
    </xf>
    <xf numFmtId="0" fontId="42" fillId="0" borderId="150" xfId="0" applyNumberFormat="1" applyFont="1" applyBorder="1" applyAlignment="1">
      <alignment horizontal="center"/>
    </xf>
    <xf numFmtId="0" fontId="42" fillId="0" borderId="151" xfId="0" applyNumberFormat="1" applyFont="1" applyBorder="1" applyAlignment="1">
      <alignment horizontal="center"/>
    </xf>
    <xf numFmtId="0" fontId="42" fillId="0" borderId="153" xfId="0" applyNumberFormat="1" applyFont="1" applyBorder="1" applyAlignment="1">
      <alignment horizontal="center"/>
    </xf>
    <xf numFmtId="0" fontId="42" fillId="0" borderId="154" xfId="0" applyNumberFormat="1" applyFont="1" applyBorder="1" applyAlignment="1">
      <alignment horizontal="center"/>
    </xf>
    <xf numFmtId="0" fontId="42" fillId="0" borderId="155" xfId="0" applyNumberFormat="1" applyFont="1" applyBorder="1" applyAlignment="1">
      <alignment horizontal="center"/>
    </xf>
    <xf numFmtId="0" fontId="38" fillId="0" borderId="0" xfId="0" applyNumberFormat="1" applyFont="1" applyAlignment="1">
      <alignment horizontal="left" vertical="top" wrapText="1"/>
    </xf>
    <xf numFmtId="0" fontId="38" fillId="0" borderId="18" xfId="0" applyNumberFormat="1" applyFont="1" applyBorder="1" applyAlignment="1">
      <alignment horizontal="center" vertical="center" textRotation="90"/>
    </xf>
    <xf numFmtId="0" fontId="38" fillId="0" borderId="172" xfId="0" applyNumberFormat="1" applyFont="1" applyBorder="1" applyAlignment="1">
      <alignment horizontal="center" vertical="center" textRotation="90"/>
    </xf>
    <xf numFmtId="0" fontId="38" fillId="0" borderId="18" xfId="0" applyNumberFormat="1" applyFont="1" applyBorder="1" applyAlignment="1">
      <alignment horizontal="center" vertical="center"/>
    </xf>
    <xf numFmtId="0" fontId="38" fillId="0" borderId="157" xfId="0" applyNumberFormat="1" applyFont="1" applyBorder="1" applyAlignment="1">
      <alignment horizontal="center" vertical="center"/>
    </xf>
    <xf numFmtId="0" fontId="38" fillId="0" borderId="158" xfId="0" applyNumberFormat="1" applyFont="1" applyBorder="1" applyAlignment="1">
      <alignment horizontal="center" vertical="center"/>
    </xf>
    <xf numFmtId="0" fontId="38" fillId="0" borderId="159" xfId="0" applyNumberFormat="1" applyFont="1" applyBorder="1" applyAlignment="1">
      <alignment horizontal="center" vertical="center"/>
    </xf>
    <xf numFmtId="0" fontId="38" fillId="0" borderId="160" xfId="0" applyNumberFormat="1" applyFont="1" applyBorder="1" applyAlignment="1">
      <alignment horizontal="center" vertical="center"/>
    </xf>
    <xf numFmtId="0" fontId="38" fillId="0" borderId="161" xfId="0" applyNumberFormat="1" applyFont="1" applyBorder="1" applyAlignment="1">
      <alignment horizontal="center" vertical="center"/>
    </xf>
    <xf numFmtId="0" fontId="38" fillId="0" borderId="162" xfId="0" applyNumberFormat="1" applyFont="1" applyBorder="1" applyAlignment="1">
      <alignment horizontal="center" vertical="center"/>
    </xf>
    <xf numFmtId="0" fontId="38" fillId="0" borderId="163" xfId="0" applyNumberFormat="1" applyFont="1" applyBorder="1" applyAlignment="1">
      <alignment horizontal="center" vertical="center"/>
    </xf>
    <xf numFmtId="0" fontId="38" fillId="0" borderId="173" xfId="0" applyNumberFormat="1" applyFont="1" applyBorder="1" applyAlignment="1">
      <alignment horizontal="center" vertical="center"/>
    </xf>
    <xf numFmtId="0" fontId="38" fillId="0" borderId="174" xfId="0" applyNumberFormat="1" applyFont="1" applyBorder="1" applyAlignment="1">
      <alignment horizontal="center" vertical="center"/>
    </xf>
    <xf numFmtId="0" fontId="38" fillId="0" borderId="175" xfId="0" applyNumberFormat="1" applyFont="1" applyBorder="1" applyAlignment="1">
      <alignment horizontal="center" vertical="center"/>
    </xf>
    <xf numFmtId="0" fontId="38" fillId="0" borderId="176" xfId="0" applyNumberFormat="1" applyFont="1" applyBorder="1" applyAlignment="1">
      <alignment horizontal="center" vertical="center"/>
    </xf>
    <xf numFmtId="0" fontId="38" fillId="0" borderId="177" xfId="0" applyNumberFormat="1" applyFont="1" applyBorder="1" applyAlignment="1">
      <alignment horizontal="center" vertical="center"/>
    </xf>
    <xf numFmtId="0" fontId="38" fillId="0" borderId="178" xfId="0" applyNumberFormat="1" applyFont="1" applyBorder="1" applyAlignment="1">
      <alignment horizontal="center" vertical="center"/>
    </xf>
    <xf numFmtId="0" fontId="38" fillId="0" borderId="179" xfId="0" applyNumberFormat="1" applyFont="1" applyBorder="1" applyAlignment="1">
      <alignment horizontal="center" vertical="center"/>
    </xf>
    <xf numFmtId="0" fontId="38" fillId="0" borderId="180" xfId="0" applyNumberFormat="1" applyFont="1" applyBorder="1" applyAlignment="1">
      <alignment horizontal="center" vertical="center"/>
    </xf>
    <xf numFmtId="0" fontId="38" fillId="0" borderId="164" xfId="0" applyNumberFormat="1" applyFont="1" applyBorder="1" applyAlignment="1">
      <alignment horizontal="center" vertical="center"/>
    </xf>
    <xf numFmtId="0" fontId="38" fillId="0" borderId="165" xfId="0" applyNumberFormat="1" applyFont="1" applyBorder="1" applyAlignment="1">
      <alignment horizontal="center" vertical="center"/>
    </xf>
    <xf numFmtId="0" fontId="38" fillId="0" borderId="166" xfId="0" applyNumberFormat="1" applyFont="1" applyBorder="1" applyAlignment="1">
      <alignment horizontal="center" vertical="center"/>
    </xf>
    <xf numFmtId="0" fontId="38" fillId="0" borderId="167" xfId="0" applyNumberFormat="1" applyFont="1" applyBorder="1" applyAlignment="1">
      <alignment horizontal="center" vertical="center"/>
    </xf>
    <xf numFmtId="0" fontId="38" fillId="0" borderId="168" xfId="0" applyNumberFormat="1" applyFont="1" applyBorder="1" applyAlignment="1">
      <alignment horizontal="center" vertical="center"/>
    </xf>
    <xf numFmtId="0" fontId="38" fillId="0" borderId="169" xfId="0" applyNumberFormat="1" applyFont="1" applyBorder="1" applyAlignment="1">
      <alignment horizontal="center" vertical="center"/>
    </xf>
    <xf numFmtId="0" fontId="38" fillId="0" borderId="170" xfId="0" applyNumberFormat="1" applyFont="1" applyBorder="1" applyAlignment="1">
      <alignment horizontal="center" vertical="center"/>
    </xf>
    <xf numFmtId="0" fontId="38" fillId="0" borderId="171" xfId="0" applyNumberFormat="1" applyFont="1" applyBorder="1" applyAlignment="1">
      <alignment horizontal="center" vertical="center"/>
    </xf>
    <xf numFmtId="0" fontId="38" fillId="0" borderId="181" xfId="0" applyNumberFormat="1" applyFont="1" applyBorder="1" applyAlignment="1">
      <alignment horizontal="center" vertical="center"/>
    </xf>
    <xf numFmtId="0" fontId="38" fillId="0" borderId="182" xfId="0" applyNumberFormat="1" applyFont="1" applyBorder="1" applyAlignment="1">
      <alignment horizontal="center" vertical="center"/>
    </xf>
    <xf numFmtId="0" fontId="38" fillId="0" borderId="183" xfId="0" applyNumberFormat="1" applyFont="1" applyBorder="1" applyAlignment="1">
      <alignment horizontal="center" vertical="center"/>
    </xf>
    <xf numFmtId="0" fontId="38" fillId="0" borderId="184" xfId="0" applyNumberFormat="1" applyFont="1" applyBorder="1" applyAlignment="1">
      <alignment horizontal="center" vertical="center"/>
    </xf>
    <xf numFmtId="0" fontId="38" fillId="0" borderId="185" xfId="0" applyNumberFormat="1" applyFont="1" applyBorder="1" applyAlignment="1">
      <alignment horizontal="center" vertical="center"/>
    </xf>
    <xf numFmtId="0" fontId="38" fillId="0" borderId="186" xfId="0" applyNumberFormat="1" applyFont="1" applyBorder="1" applyAlignment="1">
      <alignment horizontal="center" vertical="center"/>
    </xf>
    <xf numFmtId="0" fontId="38" fillId="0" borderId="187" xfId="0" applyNumberFormat="1" applyFont="1" applyBorder="1" applyAlignment="1">
      <alignment horizontal="center" vertical="center"/>
    </xf>
    <xf numFmtId="0" fontId="38" fillId="0" borderId="188" xfId="0" applyNumberFormat="1" applyFont="1" applyBorder="1" applyAlignment="1">
      <alignment horizontal="center" vertical="center"/>
    </xf>
    <xf numFmtId="0" fontId="38" fillId="0" borderId="189" xfId="0" applyNumberFormat="1" applyFont="1" applyBorder="1" applyAlignment="1">
      <alignment horizontal="center" vertical="center"/>
    </xf>
    <xf numFmtId="0" fontId="41" fillId="0" borderId="193" xfId="0" applyNumberFormat="1" applyFont="1" applyBorder="1" applyAlignment="1">
      <alignment horizontal="center" vertical="center"/>
    </xf>
    <xf numFmtId="0" fontId="41" fillId="0" borderId="0" xfId="0" applyNumberFormat="1" applyFont="1" applyAlignment="1">
      <alignment horizontal="center" vertical="center"/>
    </xf>
    <xf numFmtId="0" fontId="41" fillId="0" borderId="194" xfId="0" applyNumberFormat="1" applyFont="1" applyBorder="1" applyAlignment="1">
      <alignment horizontal="center" vertical="center"/>
    </xf>
    <xf numFmtId="0" fontId="41" fillId="0" borderId="198" xfId="0" applyNumberFormat="1" applyFont="1" applyBorder="1" applyAlignment="1">
      <alignment horizontal="center" vertical="center"/>
    </xf>
    <xf numFmtId="0" fontId="41" fillId="0" borderId="199" xfId="0" applyNumberFormat="1" applyFont="1" applyBorder="1" applyAlignment="1">
      <alignment horizontal="center" vertical="center"/>
    </xf>
    <xf numFmtId="0" fontId="41" fillId="0" borderId="200" xfId="0" applyNumberFormat="1" applyFont="1" applyBorder="1" applyAlignment="1">
      <alignment horizontal="center" vertical="center"/>
    </xf>
    <xf numFmtId="0" fontId="41" fillId="0" borderId="201" xfId="0" applyNumberFormat="1" applyFont="1" applyBorder="1" applyAlignment="1">
      <alignment horizontal="center" vertical="center"/>
    </xf>
    <xf numFmtId="0" fontId="41" fillId="0" borderId="202" xfId="0" applyNumberFormat="1" applyFont="1" applyBorder="1" applyAlignment="1">
      <alignment horizontal="center" vertical="center"/>
    </xf>
    <xf numFmtId="0" fontId="41" fillId="0" borderId="203" xfId="0" applyNumberFormat="1" applyFont="1" applyBorder="1" applyAlignment="1">
      <alignment horizontal="center" vertical="center"/>
    </xf>
    <xf numFmtId="0" fontId="41" fillId="0" borderId="204" xfId="0" applyNumberFormat="1" applyFont="1" applyBorder="1" applyAlignment="1">
      <alignment horizontal="center" vertical="center"/>
    </xf>
    <xf numFmtId="0" fontId="41" fillId="0" borderId="205" xfId="0" applyNumberFormat="1" applyFont="1" applyBorder="1" applyAlignment="1">
      <alignment horizontal="center" vertical="center"/>
    </xf>
    <xf numFmtId="0" fontId="41" fillId="0" borderId="206" xfId="0" applyNumberFormat="1" applyFont="1" applyBorder="1" applyAlignment="1">
      <alignment horizontal="center" vertical="center"/>
    </xf>
    <xf numFmtId="0" fontId="41" fillId="0" borderId="207" xfId="0" applyNumberFormat="1" applyFont="1" applyBorder="1" applyAlignment="1">
      <alignment horizontal="center" vertical="center"/>
    </xf>
    <xf numFmtId="0" fontId="41" fillId="0" borderId="208" xfId="0" applyNumberFormat="1" applyFont="1" applyBorder="1" applyAlignment="1">
      <alignment horizontal="center" vertical="center"/>
    </xf>
    <xf numFmtId="0" fontId="41" fillId="0" borderId="209" xfId="0" applyNumberFormat="1" applyFont="1" applyBorder="1" applyAlignment="1">
      <alignment horizontal="center" vertical="center"/>
    </xf>
    <xf numFmtId="0" fontId="41" fillId="0" borderId="210" xfId="0" applyNumberFormat="1" applyFont="1" applyBorder="1" applyAlignment="1">
      <alignment horizontal="center" vertical="center"/>
    </xf>
    <xf numFmtId="0" fontId="41" fillId="0" borderId="211" xfId="0" applyNumberFormat="1" applyFont="1" applyBorder="1" applyAlignment="1">
      <alignment horizontal="center" vertical="center"/>
    </xf>
    <xf numFmtId="0" fontId="41" fillId="0" borderId="212" xfId="0" applyNumberFormat="1" applyFont="1" applyBorder="1" applyAlignment="1">
      <alignment horizontal="center" vertical="center"/>
    </xf>
    <xf numFmtId="0" fontId="41" fillId="0" borderId="213" xfId="0" applyNumberFormat="1" applyFont="1" applyBorder="1" applyAlignment="1">
      <alignment horizontal="center" vertical="center"/>
    </xf>
    <xf numFmtId="0" fontId="41" fillId="0" borderId="214" xfId="0" applyNumberFormat="1" applyFont="1" applyBorder="1" applyAlignment="1">
      <alignment horizontal="center" vertical="center"/>
    </xf>
    <xf numFmtId="0" fontId="41" fillId="0" borderId="215" xfId="0" applyNumberFormat="1" applyFont="1" applyBorder="1" applyAlignment="1">
      <alignment horizontal="center" vertical="center"/>
    </xf>
    <xf numFmtId="0" fontId="41" fillId="0" borderId="218" xfId="0" applyNumberFormat="1" applyFont="1" applyBorder="1" applyAlignment="1">
      <alignment horizontal="center" vertical="center"/>
    </xf>
    <xf numFmtId="0" fontId="41" fillId="0" borderId="219" xfId="0" applyNumberFormat="1" applyFont="1" applyBorder="1" applyAlignment="1">
      <alignment horizontal="center" vertical="center"/>
    </xf>
    <xf numFmtId="0" fontId="41" fillId="0" borderId="220" xfId="0" applyNumberFormat="1" applyFont="1" applyBorder="1" applyAlignment="1">
      <alignment horizontal="center" vertical="center"/>
    </xf>
    <xf numFmtId="0" fontId="41" fillId="0" borderId="221" xfId="0" applyNumberFormat="1" applyFont="1" applyBorder="1" applyAlignment="1">
      <alignment horizontal="center" vertical="center"/>
    </xf>
    <xf numFmtId="0" fontId="41" fillId="0" borderId="222" xfId="0" applyNumberFormat="1" applyFont="1" applyBorder="1" applyAlignment="1">
      <alignment horizontal="center" vertical="center"/>
    </xf>
    <xf numFmtId="0" fontId="41" fillId="0" borderId="223" xfId="0" applyNumberFormat="1" applyFont="1" applyBorder="1" applyAlignment="1">
      <alignment horizontal="center" vertical="center"/>
    </xf>
    <xf numFmtId="0" fontId="41" fillId="0" borderId="224" xfId="0" applyNumberFormat="1" applyFont="1" applyBorder="1" applyAlignment="1">
      <alignment horizontal="center" vertical="center"/>
    </xf>
    <xf numFmtId="0" fontId="41" fillId="0" borderId="225" xfId="0" applyNumberFormat="1" applyFont="1" applyBorder="1" applyAlignment="1">
      <alignment horizontal="center" vertical="center"/>
    </xf>
    <xf numFmtId="0" fontId="41" fillId="0" borderId="226" xfId="0" applyNumberFormat="1" applyFont="1" applyBorder="1" applyAlignment="1">
      <alignment horizontal="center" vertical="center"/>
    </xf>
    <xf numFmtId="0" fontId="38" fillId="0" borderId="0" xfId="0" applyNumberFormat="1" applyFont="1" applyAlignment="1">
      <alignment horizontal="left" wrapText="1"/>
    </xf>
    <xf numFmtId="1" fontId="42" fillId="0" borderId="0" xfId="0" applyNumberFormat="1" applyFont="1" applyAlignment="1">
      <alignment horizontal="center"/>
    </xf>
    <xf numFmtId="0" fontId="42" fillId="0" borderId="156" xfId="0" applyNumberFormat="1" applyFont="1" applyBorder="1" applyAlignment="1">
      <alignment horizontal="center"/>
    </xf>
    <xf numFmtId="0" fontId="42" fillId="0" borderId="152" xfId="0" applyNumberFormat="1" applyFont="1" applyBorder="1" applyAlignment="1">
      <alignment horizontal="center"/>
    </xf>
    <xf numFmtId="0" fontId="43" fillId="0" borderId="18" xfId="0" applyNumberFormat="1" applyFont="1" applyBorder="1" applyAlignment="1">
      <alignment horizontal="center" vertical="center"/>
    </xf>
    <xf numFmtId="0" fontId="43" fillId="0" borderId="106" xfId="0" applyNumberFormat="1" applyFont="1" applyBorder="1" applyAlignment="1">
      <alignment horizontal="center" vertical="center"/>
    </xf>
    <xf numFmtId="0" fontId="43" fillId="0" borderId="107" xfId="0" applyNumberFormat="1" applyFont="1" applyBorder="1" applyAlignment="1">
      <alignment horizontal="center" vertical="center"/>
    </xf>
    <xf numFmtId="0" fontId="43" fillId="0" borderId="108" xfId="0" applyNumberFormat="1" applyFont="1" applyBorder="1" applyAlignment="1">
      <alignment horizontal="center" vertical="center"/>
    </xf>
    <xf numFmtId="0" fontId="43" fillId="0" borderId="109" xfId="0" applyNumberFormat="1" applyFont="1" applyBorder="1" applyAlignment="1">
      <alignment horizontal="center" vertical="center"/>
    </xf>
    <xf numFmtId="0" fontId="43" fillId="0" borderId="110" xfId="0" applyNumberFormat="1" applyFont="1" applyBorder="1" applyAlignment="1">
      <alignment horizontal="center" vertical="center"/>
    </xf>
    <xf numFmtId="0" fontId="43" fillId="0" borderId="111" xfId="0" applyNumberFormat="1" applyFont="1" applyBorder="1" applyAlignment="1">
      <alignment horizontal="center" vertical="center"/>
    </xf>
    <xf numFmtId="0" fontId="43" fillId="0" borderId="112" xfId="0" applyNumberFormat="1" applyFont="1" applyBorder="1" applyAlignment="1">
      <alignment horizontal="center" vertical="center"/>
    </xf>
    <xf numFmtId="0" fontId="43" fillId="0" borderId="113" xfId="0" applyNumberFormat="1" applyFont="1" applyBorder="1" applyAlignment="1">
      <alignment horizontal="center" vertical="center"/>
    </xf>
    <xf numFmtId="0" fontId="43" fillId="0" borderId="114" xfId="0" applyNumberFormat="1" applyFont="1" applyBorder="1" applyAlignment="1">
      <alignment horizontal="center" vertical="center"/>
    </xf>
    <xf numFmtId="0" fontId="43" fillId="0" borderId="115" xfId="0" applyNumberFormat="1" applyFont="1" applyBorder="1" applyAlignment="1">
      <alignment horizontal="center" vertical="center"/>
    </xf>
    <xf numFmtId="0" fontId="43" fillId="0" borderId="116" xfId="0" applyNumberFormat="1" applyFont="1" applyBorder="1" applyAlignment="1">
      <alignment horizontal="center" vertical="center"/>
    </xf>
    <xf numFmtId="0" fontId="43" fillId="0" borderId="117" xfId="0" applyNumberFormat="1" applyFont="1" applyBorder="1" applyAlignment="1">
      <alignment horizontal="center" vertical="center"/>
    </xf>
    <xf numFmtId="0" fontId="43" fillId="0" borderId="118" xfId="0" applyNumberFormat="1" applyFont="1" applyBorder="1" applyAlignment="1">
      <alignment horizontal="center" vertical="center"/>
    </xf>
    <xf numFmtId="0" fontId="45" fillId="0" borderId="134" xfId="0" applyNumberFormat="1" applyFont="1" applyBorder="1" applyAlignment="1">
      <alignment horizontal="center"/>
    </xf>
    <xf numFmtId="0" fontId="45" fillId="0" borderId="133" xfId="0" applyNumberFormat="1" applyFont="1" applyBorder="1" applyAlignment="1">
      <alignment horizontal="center"/>
    </xf>
    <xf numFmtId="0" fontId="45" fillId="0" borderId="138" xfId="0" applyNumberFormat="1" applyFont="1" applyBorder="1" applyAlignment="1">
      <alignment horizontal="center"/>
    </xf>
    <xf numFmtId="0" fontId="38" fillId="0" borderId="122" xfId="0" applyNumberFormat="1" applyFont="1" applyBorder="1" applyAlignment="1">
      <alignment horizontal="center" vertical="center"/>
    </xf>
    <xf numFmtId="0" fontId="38" fillId="0" borderId="104" xfId="0" applyNumberFormat="1" applyFont="1" applyBorder="1" applyAlignment="1">
      <alignment horizontal="center" vertical="center"/>
    </xf>
    <xf numFmtId="0" fontId="38" fillId="0" borderId="105" xfId="0" applyNumberFormat="1" applyFont="1" applyBorder="1" applyAlignment="1">
      <alignment horizontal="center" vertical="center"/>
    </xf>
    <xf numFmtId="0" fontId="38" fillId="0" borderId="119" xfId="0" applyNumberFormat="1" applyFont="1" applyBorder="1" applyAlignment="1">
      <alignment horizontal="center" vertical="center"/>
    </xf>
    <xf numFmtId="0" fontId="38" fillId="0" borderId="120" xfId="0" applyNumberFormat="1" applyFont="1" applyBorder="1" applyAlignment="1">
      <alignment horizontal="center" vertical="center"/>
    </xf>
    <xf numFmtId="0" fontId="38" fillId="0" borderId="121" xfId="0" applyNumberFormat="1" applyFont="1" applyBorder="1" applyAlignment="1">
      <alignment horizontal="center" vertical="center"/>
    </xf>
    <xf numFmtId="0" fontId="34" fillId="0" borderId="18" xfId="0" applyNumberFormat="1" applyFont="1" applyBorder="1" applyAlignment="1">
      <alignment horizontal="center" vertical="center" wrapText="1"/>
    </xf>
    <xf numFmtId="0" fontId="34" fillId="0" borderId="129" xfId="0" applyNumberFormat="1" applyFont="1" applyBorder="1" applyAlignment="1">
      <alignment horizontal="center" vertical="center" wrapText="1"/>
    </xf>
    <xf numFmtId="0" fontId="43" fillId="0" borderId="123" xfId="0" applyNumberFormat="1" applyFont="1" applyBorder="1" applyAlignment="1">
      <alignment horizontal="center" vertical="center"/>
    </xf>
    <xf numFmtId="0" fontId="38" fillId="0" borderId="124" xfId="0" applyNumberFormat="1" applyFont="1" applyBorder="1" applyAlignment="1">
      <alignment horizontal="center" vertical="center"/>
    </xf>
    <xf numFmtId="0" fontId="38" fillId="0" borderId="125" xfId="0" applyNumberFormat="1" applyFont="1" applyBorder="1" applyAlignment="1">
      <alignment horizontal="center" vertical="center"/>
    </xf>
    <xf numFmtId="0" fontId="38" fillId="0" borderId="126" xfId="0" applyNumberFormat="1" applyFont="1" applyBorder="1" applyAlignment="1">
      <alignment horizontal="center" vertical="center"/>
    </xf>
    <xf numFmtId="0" fontId="38" fillId="0" borderId="127" xfId="0" applyNumberFormat="1" applyFont="1" applyBorder="1" applyAlignment="1">
      <alignment horizontal="center" vertical="center"/>
    </xf>
    <xf numFmtId="0" fontId="38" fillId="0" borderId="128" xfId="0" applyNumberFormat="1" applyFont="1" applyBorder="1" applyAlignment="1">
      <alignment horizontal="center" vertical="center"/>
    </xf>
    <xf numFmtId="0" fontId="38" fillId="0" borderId="18" xfId="0" applyNumberFormat="1" applyFont="1" applyBorder="1" applyAlignment="1">
      <alignment horizontal="center" vertical="center" wrapText="1"/>
    </xf>
    <xf numFmtId="0" fontId="38" fillId="0" borderId="737" xfId="0" applyNumberFormat="1" applyFont="1" applyBorder="1" applyAlignment="1">
      <alignment horizontal="center" vertical="center" wrapText="1"/>
    </xf>
    <xf numFmtId="0" fontId="38" fillId="0" borderId="724" xfId="0" applyNumberFormat="1" applyFont="1" applyBorder="1" applyAlignment="1">
      <alignment horizontal="center" vertical="center" wrapText="1"/>
    </xf>
    <xf numFmtId="0" fontId="38" fillId="0" borderId="711" xfId="0" applyNumberFormat="1" applyFont="1" applyBorder="1" applyAlignment="1">
      <alignment horizontal="center" vertical="center" wrapText="1"/>
    </xf>
    <xf numFmtId="0" fontId="38" fillId="0" borderId="698" xfId="0" applyNumberFormat="1" applyFont="1" applyBorder="1" applyAlignment="1">
      <alignment horizontal="center" vertical="center" wrapText="1"/>
    </xf>
    <xf numFmtId="0" fontId="38" fillId="0" borderId="685" xfId="0" applyNumberFormat="1" applyFont="1" applyBorder="1" applyAlignment="1">
      <alignment horizontal="center" vertical="center" wrapText="1"/>
    </xf>
    <xf numFmtId="0" fontId="38" fillId="0" borderId="672" xfId="0" applyNumberFormat="1" applyFont="1" applyBorder="1" applyAlignment="1">
      <alignment horizontal="center" vertical="center" wrapText="1"/>
    </xf>
    <xf numFmtId="0" fontId="38" fillId="0" borderId="659" xfId="0" applyNumberFormat="1" applyFont="1" applyBorder="1" applyAlignment="1">
      <alignment horizontal="center" vertical="center" wrapText="1"/>
    </xf>
    <xf numFmtId="0" fontId="38" fillId="0" borderId="646" xfId="0" applyNumberFormat="1" applyFont="1" applyBorder="1" applyAlignment="1">
      <alignment horizontal="center" vertical="center" wrapText="1"/>
    </xf>
    <xf numFmtId="0" fontId="38" fillId="0" borderId="633" xfId="0" applyNumberFormat="1" applyFont="1" applyBorder="1" applyAlignment="1">
      <alignment horizontal="center" vertical="center" wrapText="1"/>
    </xf>
    <xf numFmtId="0" fontId="38" fillId="0" borderId="620" xfId="0" applyNumberFormat="1" applyFont="1" applyBorder="1" applyAlignment="1">
      <alignment horizontal="center" vertical="center" wrapText="1"/>
    </xf>
    <xf numFmtId="0" fontId="38" fillId="0" borderId="607" xfId="0" applyNumberFormat="1" applyFont="1" applyBorder="1" applyAlignment="1">
      <alignment horizontal="center" vertical="center" wrapText="1"/>
    </xf>
    <xf numFmtId="0" fontId="38" fillId="0" borderId="594" xfId="0" applyNumberFormat="1" applyFont="1" applyBorder="1" applyAlignment="1">
      <alignment horizontal="center" vertical="center" wrapText="1"/>
    </xf>
    <xf numFmtId="0" fontId="38" fillId="0" borderId="581" xfId="0" applyNumberFormat="1" applyFont="1" applyBorder="1" applyAlignment="1">
      <alignment horizontal="center" vertical="center" wrapText="1"/>
    </xf>
    <xf numFmtId="0" fontId="38" fillId="0" borderId="707" xfId="0" applyNumberFormat="1" applyFont="1" applyBorder="1" applyAlignment="1">
      <alignment horizontal="center" vertical="center" wrapText="1"/>
    </xf>
    <xf numFmtId="0" fontId="38" fillId="0" borderId="708" xfId="0" applyNumberFormat="1" applyFont="1" applyBorder="1" applyAlignment="1">
      <alignment horizontal="center" vertical="center" wrapText="1"/>
    </xf>
    <xf numFmtId="0" fontId="38" fillId="0" borderId="709" xfId="0" applyNumberFormat="1" applyFont="1" applyBorder="1" applyAlignment="1">
      <alignment horizontal="center" vertical="center" wrapText="1"/>
    </xf>
    <xf numFmtId="0" fontId="38" fillId="0" borderId="710" xfId="0" applyNumberFormat="1" applyFont="1" applyBorder="1" applyAlignment="1">
      <alignment horizontal="center" vertical="center" wrapText="1"/>
    </xf>
    <xf numFmtId="0" fontId="38" fillId="0" borderId="720" xfId="0" applyNumberFormat="1" applyFont="1" applyBorder="1" applyAlignment="1">
      <alignment horizontal="center" vertical="center" wrapText="1"/>
    </xf>
    <xf numFmtId="0" fontId="38" fillId="0" borderId="721" xfId="0" applyNumberFormat="1" applyFont="1" applyBorder="1" applyAlignment="1">
      <alignment horizontal="center" vertical="center" wrapText="1"/>
    </xf>
    <xf numFmtId="0" fontId="38" fillId="0" borderId="722" xfId="0" applyNumberFormat="1" applyFont="1" applyBorder="1" applyAlignment="1">
      <alignment horizontal="center" vertical="center" wrapText="1"/>
    </xf>
    <xf numFmtId="0" fontId="38" fillId="0" borderId="723" xfId="0" applyNumberFormat="1" applyFont="1" applyBorder="1" applyAlignment="1">
      <alignment horizontal="center" vertical="center" wrapText="1"/>
    </xf>
    <xf numFmtId="0" fontId="38" fillId="0" borderId="733" xfId="0" applyNumberFormat="1" applyFont="1" applyBorder="1" applyAlignment="1">
      <alignment horizontal="center" vertical="center" wrapText="1"/>
    </xf>
    <xf numFmtId="0" fontId="38" fillId="0" borderId="734" xfId="0" applyNumberFormat="1" applyFont="1" applyBorder="1" applyAlignment="1">
      <alignment horizontal="center" vertical="center" wrapText="1"/>
    </xf>
    <xf numFmtId="0" fontId="38" fillId="0" borderId="735" xfId="0" applyNumberFormat="1" applyFont="1" applyBorder="1" applyAlignment="1">
      <alignment horizontal="center" vertical="center" wrapText="1"/>
    </xf>
    <xf numFmtId="0" fontId="38" fillId="0" borderId="736" xfId="0" applyNumberFormat="1" applyFont="1" applyBorder="1" applyAlignment="1">
      <alignment horizontal="center" vertical="center" wrapText="1"/>
    </xf>
    <xf numFmtId="2" fontId="38" fillId="0" borderId="18" xfId="0" applyNumberFormat="1" applyFont="1" applyBorder="1" applyAlignment="1">
      <alignment horizontal="center" vertical="center" wrapText="1"/>
    </xf>
    <xf numFmtId="2" fontId="38" fillId="0" borderId="706" xfId="0" applyNumberFormat="1" applyFont="1" applyBorder="1" applyAlignment="1">
      <alignment horizontal="center" vertical="center" wrapText="1"/>
    </xf>
    <xf numFmtId="2" fontId="38" fillId="0" borderId="719" xfId="0" applyNumberFormat="1" applyFont="1" applyBorder="1" applyAlignment="1">
      <alignment horizontal="center" vertical="center" wrapText="1"/>
    </xf>
    <xf numFmtId="2" fontId="38" fillId="0" borderId="732" xfId="0" applyNumberFormat="1" applyFont="1" applyBorder="1" applyAlignment="1">
      <alignment horizontal="center" vertical="center" wrapText="1"/>
    </xf>
    <xf numFmtId="0" fontId="38" fillId="0" borderId="18" xfId="0" applyNumberFormat="1" applyFont="1" applyBorder="1" applyAlignment="1">
      <alignment horizontal="left" vertical="center" wrapText="1"/>
    </xf>
    <xf numFmtId="0" fontId="38" fillId="0" borderId="699" xfId="0" applyNumberFormat="1" applyFont="1" applyBorder="1" applyAlignment="1">
      <alignment horizontal="left" vertical="center" wrapText="1"/>
    </xf>
    <xf numFmtId="0" fontId="38" fillId="0" borderId="700" xfId="0" applyNumberFormat="1" applyFont="1" applyBorder="1" applyAlignment="1">
      <alignment horizontal="left" vertical="center" wrapText="1"/>
    </xf>
    <xf numFmtId="0" fontId="38" fillId="0" borderId="701" xfId="0" applyNumberFormat="1" applyFont="1" applyBorder="1" applyAlignment="1">
      <alignment horizontal="left" vertical="center" wrapText="1"/>
    </xf>
    <xf numFmtId="0" fontId="38" fillId="0" borderId="702" xfId="0" applyNumberFormat="1" applyFont="1" applyBorder="1" applyAlignment="1">
      <alignment horizontal="left" vertical="center" wrapText="1"/>
    </xf>
    <xf numFmtId="0" fontId="38" fillId="0" borderId="703" xfId="0" applyNumberFormat="1" applyFont="1" applyBorder="1" applyAlignment="1">
      <alignment horizontal="left" vertical="center" wrapText="1"/>
    </xf>
    <xf numFmtId="0" fontId="38" fillId="0" borderId="704" xfId="0" applyNumberFormat="1" applyFont="1" applyBorder="1" applyAlignment="1">
      <alignment horizontal="left" vertical="center" wrapText="1"/>
    </xf>
    <xf numFmtId="0" fontId="38" fillId="0" borderId="705" xfId="0" applyNumberFormat="1" applyFont="1" applyBorder="1" applyAlignment="1">
      <alignment horizontal="left" vertical="center" wrapText="1"/>
    </xf>
    <xf numFmtId="0" fontId="38" fillId="0" borderId="712" xfId="0" applyNumberFormat="1" applyFont="1" applyBorder="1" applyAlignment="1">
      <alignment horizontal="left" vertical="center" wrapText="1"/>
    </xf>
    <xf numFmtId="0" fontId="38" fillId="0" borderId="713" xfId="0" applyNumberFormat="1" applyFont="1" applyBorder="1" applyAlignment="1">
      <alignment horizontal="left" vertical="center" wrapText="1"/>
    </xf>
    <xf numFmtId="0" fontId="38" fillId="0" borderId="714" xfId="0" applyNumberFormat="1" applyFont="1" applyBorder="1" applyAlignment="1">
      <alignment horizontal="left" vertical="center" wrapText="1"/>
    </xf>
    <xf numFmtId="0" fontId="38" fillId="0" borderId="715" xfId="0" applyNumberFormat="1" applyFont="1" applyBorder="1" applyAlignment="1">
      <alignment horizontal="left" vertical="center" wrapText="1"/>
    </xf>
    <xf numFmtId="0" fontId="38" fillId="0" borderId="716" xfId="0" applyNumberFormat="1" applyFont="1" applyBorder="1" applyAlignment="1">
      <alignment horizontal="left" vertical="center" wrapText="1"/>
    </xf>
    <xf numFmtId="0" fontId="38" fillId="0" borderId="717" xfId="0" applyNumberFormat="1" applyFont="1" applyBorder="1" applyAlignment="1">
      <alignment horizontal="left" vertical="center" wrapText="1"/>
    </xf>
    <xf numFmtId="0" fontId="38" fillId="0" borderId="718" xfId="0" applyNumberFormat="1" applyFont="1" applyBorder="1" applyAlignment="1">
      <alignment horizontal="left" vertical="center" wrapText="1"/>
    </xf>
    <xf numFmtId="0" fontId="38" fillId="0" borderId="725" xfId="0" applyNumberFormat="1" applyFont="1" applyBorder="1" applyAlignment="1">
      <alignment horizontal="left" vertical="center" wrapText="1"/>
    </xf>
    <xf numFmtId="0" fontId="38" fillId="0" borderId="726" xfId="0" applyNumberFormat="1" applyFont="1" applyBorder="1" applyAlignment="1">
      <alignment horizontal="left" vertical="center" wrapText="1"/>
    </xf>
    <xf numFmtId="0" fontId="38" fillId="0" borderId="727" xfId="0" applyNumberFormat="1" applyFont="1" applyBorder="1" applyAlignment="1">
      <alignment horizontal="left" vertical="center" wrapText="1"/>
    </xf>
    <xf numFmtId="0" fontId="38" fillId="0" borderId="728" xfId="0" applyNumberFormat="1" applyFont="1" applyBorder="1" applyAlignment="1">
      <alignment horizontal="left" vertical="center" wrapText="1"/>
    </xf>
    <xf numFmtId="0" fontId="38" fillId="0" borderId="729" xfId="0" applyNumberFormat="1" applyFont="1" applyBorder="1" applyAlignment="1">
      <alignment horizontal="left" vertical="center" wrapText="1"/>
    </xf>
    <xf numFmtId="0" fontId="38" fillId="0" borderId="730" xfId="0" applyNumberFormat="1" applyFont="1" applyBorder="1" applyAlignment="1">
      <alignment horizontal="left" vertical="center" wrapText="1"/>
    </xf>
    <xf numFmtId="0" fontId="38" fillId="0" borderId="731" xfId="0" applyNumberFormat="1" applyFont="1" applyBorder="1" applyAlignment="1">
      <alignment horizontal="left" vertical="center" wrapText="1"/>
    </xf>
    <xf numFmtId="0" fontId="27" fillId="0" borderId="744" xfId="0" applyNumberFormat="1" applyFont="1" applyBorder="1" applyAlignment="1">
      <alignment horizontal="center" vertical="top"/>
    </xf>
    <xf numFmtId="0" fontId="27" fillId="0" borderId="745" xfId="0" applyNumberFormat="1" applyFont="1" applyBorder="1" applyAlignment="1">
      <alignment horizontal="center" vertical="top"/>
    </xf>
    <xf numFmtId="0" fontId="27" fillId="0" borderId="746" xfId="0" applyNumberFormat="1" applyFont="1" applyBorder="1" applyAlignment="1">
      <alignment horizontal="center" vertical="top"/>
    </xf>
    <xf numFmtId="0" fontId="27" fillId="0" borderId="747" xfId="0" applyNumberFormat="1" applyFont="1" applyBorder="1" applyAlignment="1">
      <alignment horizontal="center" vertical="top"/>
    </xf>
    <xf numFmtId="0" fontId="47" fillId="0" borderId="70" xfId="0" applyNumberFormat="1" applyFont="1" applyBorder="1" applyAlignment="1">
      <alignment horizontal="center"/>
    </xf>
    <xf numFmtId="0" fontId="47" fillId="0" borderId="738" xfId="0" applyNumberFormat="1" applyFont="1" applyBorder="1" applyAlignment="1">
      <alignment horizontal="center"/>
    </xf>
    <xf numFmtId="0" fontId="47" fillId="0" borderId="739" xfId="0" applyNumberFormat="1" applyFont="1" applyBorder="1" applyAlignment="1">
      <alignment horizontal="center"/>
    </xf>
    <xf numFmtId="0" fontId="47" fillId="0" borderId="740" xfId="0" applyNumberFormat="1" applyFont="1" applyBorder="1" applyAlignment="1">
      <alignment horizontal="center"/>
    </xf>
    <xf numFmtId="0" fontId="41" fillId="0" borderId="0" xfId="0" applyNumberFormat="1" applyFont="1" applyAlignment="1">
      <alignment horizontal="left" wrapText="1"/>
    </xf>
    <xf numFmtId="0" fontId="27" fillId="0" borderId="741" xfId="0" applyNumberFormat="1" applyFont="1" applyBorder="1" applyAlignment="1">
      <alignment horizontal="center" vertical="top"/>
    </xf>
    <xf numFmtId="0" fontId="27" fillId="0" borderId="742" xfId="0" applyNumberFormat="1" applyFont="1" applyBorder="1" applyAlignment="1">
      <alignment horizontal="center" vertical="top"/>
    </xf>
    <xf numFmtId="0" fontId="27" fillId="0" borderId="743" xfId="0" applyNumberFormat="1" applyFont="1" applyBorder="1" applyAlignment="1">
      <alignment horizontal="center" vertical="top"/>
    </xf>
    <xf numFmtId="0" fontId="38" fillId="0" borderId="647" xfId="0" applyNumberFormat="1" applyFont="1" applyBorder="1" applyAlignment="1">
      <alignment horizontal="left" vertical="center" wrapText="1"/>
    </xf>
    <xf numFmtId="0" fontId="38" fillId="0" borderId="648" xfId="0" applyNumberFormat="1" applyFont="1" applyBorder="1" applyAlignment="1">
      <alignment horizontal="left" vertical="center" wrapText="1"/>
    </xf>
    <xf numFmtId="0" fontId="38" fillId="0" borderId="649" xfId="0" applyNumberFormat="1" applyFont="1" applyBorder="1" applyAlignment="1">
      <alignment horizontal="left" vertical="center" wrapText="1"/>
    </xf>
    <xf numFmtId="0" fontId="38" fillId="0" borderId="650" xfId="0" applyNumberFormat="1" applyFont="1" applyBorder="1" applyAlignment="1">
      <alignment horizontal="left" vertical="center" wrapText="1"/>
    </xf>
    <xf numFmtId="0" fontId="38" fillId="0" borderId="651" xfId="0" applyNumberFormat="1" applyFont="1" applyBorder="1" applyAlignment="1">
      <alignment horizontal="left" vertical="center" wrapText="1"/>
    </xf>
    <xf numFmtId="0" fontId="38" fillId="0" borderId="652" xfId="0" applyNumberFormat="1" applyFont="1" applyBorder="1" applyAlignment="1">
      <alignment horizontal="left" vertical="center" wrapText="1"/>
    </xf>
    <xf numFmtId="0" fontId="38" fillId="0" borderId="653" xfId="0" applyNumberFormat="1" applyFont="1" applyBorder="1" applyAlignment="1">
      <alignment horizontal="left" vertical="center" wrapText="1"/>
    </xf>
    <xf numFmtId="0" fontId="38" fillId="0" borderId="660" xfId="0" applyNumberFormat="1" applyFont="1" applyBorder="1" applyAlignment="1">
      <alignment horizontal="left" vertical="center" wrapText="1"/>
    </xf>
    <xf numFmtId="0" fontId="38" fillId="0" borderId="661" xfId="0" applyNumberFormat="1" applyFont="1" applyBorder="1" applyAlignment="1">
      <alignment horizontal="left" vertical="center" wrapText="1"/>
    </xf>
    <xf numFmtId="0" fontId="38" fillId="0" borderId="662" xfId="0" applyNumberFormat="1" applyFont="1" applyBorder="1" applyAlignment="1">
      <alignment horizontal="left" vertical="center" wrapText="1"/>
    </xf>
    <xf numFmtId="0" fontId="38" fillId="0" borderId="663" xfId="0" applyNumberFormat="1" applyFont="1" applyBorder="1" applyAlignment="1">
      <alignment horizontal="left" vertical="center" wrapText="1"/>
    </xf>
    <xf numFmtId="0" fontId="38" fillId="0" borderId="664" xfId="0" applyNumberFormat="1" applyFont="1" applyBorder="1" applyAlignment="1">
      <alignment horizontal="left" vertical="center" wrapText="1"/>
    </xf>
    <xf numFmtId="0" fontId="38" fillId="0" borderId="665" xfId="0" applyNumberFormat="1" applyFont="1" applyBorder="1" applyAlignment="1">
      <alignment horizontal="left" vertical="center" wrapText="1"/>
    </xf>
    <xf numFmtId="0" fontId="38" fillId="0" borderId="666" xfId="0" applyNumberFormat="1" applyFont="1" applyBorder="1" applyAlignment="1">
      <alignment horizontal="left" vertical="center" wrapText="1"/>
    </xf>
    <xf numFmtId="0" fontId="38" fillId="0" borderId="673" xfId="0" applyNumberFormat="1" applyFont="1" applyBorder="1" applyAlignment="1">
      <alignment horizontal="left" vertical="center" wrapText="1"/>
    </xf>
    <xf numFmtId="0" fontId="38" fillId="0" borderId="674" xfId="0" applyNumberFormat="1" applyFont="1" applyBorder="1" applyAlignment="1">
      <alignment horizontal="left" vertical="center" wrapText="1"/>
    </xf>
    <xf numFmtId="0" fontId="38" fillId="0" borderId="675" xfId="0" applyNumberFormat="1" applyFont="1" applyBorder="1" applyAlignment="1">
      <alignment horizontal="left" vertical="center" wrapText="1"/>
    </xf>
    <xf numFmtId="0" fontId="38" fillId="0" borderId="676" xfId="0" applyNumberFormat="1" applyFont="1" applyBorder="1" applyAlignment="1">
      <alignment horizontal="left" vertical="center" wrapText="1"/>
    </xf>
    <xf numFmtId="0" fontId="38" fillId="0" borderId="677" xfId="0" applyNumberFormat="1" applyFont="1" applyBorder="1" applyAlignment="1">
      <alignment horizontal="left" vertical="center" wrapText="1"/>
    </xf>
    <xf numFmtId="0" fontId="38" fillId="0" borderId="678" xfId="0" applyNumberFormat="1" applyFont="1" applyBorder="1" applyAlignment="1">
      <alignment horizontal="left" vertical="center" wrapText="1"/>
    </xf>
    <xf numFmtId="0" fontId="38" fillId="0" borderId="679" xfId="0" applyNumberFormat="1" applyFont="1" applyBorder="1" applyAlignment="1">
      <alignment horizontal="left" vertical="center" wrapText="1"/>
    </xf>
    <xf numFmtId="2" fontId="38" fillId="0" borderId="654" xfId="0" applyNumberFormat="1" applyFont="1" applyBorder="1" applyAlignment="1">
      <alignment horizontal="center" vertical="center" wrapText="1"/>
    </xf>
    <xf numFmtId="2" fontId="38" fillId="0" borderId="667" xfId="0" applyNumberFormat="1" applyFont="1" applyBorder="1" applyAlignment="1">
      <alignment horizontal="center" vertical="center" wrapText="1"/>
    </xf>
    <xf numFmtId="0" fontId="38" fillId="0" borderId="686" xfId="0" applyNumberFormat="1" applyFont="1" applyBorder="1" applyAlignment="1">
      <alignment horizontal="left" vertical="center" wrapText="1"/>
    </xf>
    <xf numFmtId="0" fontId="38" fillId="0" borderId="687" xfId="0" applyNumberFormat="1" applyFont="1" applyBorder="1" applyAlignment="1">
      <alignment horizontal="left" vertical="center" wrapText="1"/>
    </xf>
    <xf numFmtId="0" fontId="38" fillId="0" borderId="688" xfId="0" applyNumberFormat="1" applyFont="1" applyBorder="1" applyAlignment="1">
      <alignment horizontal="left" vertical="center" wrapText="1"/>
    </xf>
    <xf numFmtId="0" fontId="38" fillId="0" borderId="689" xfId="0" applyNumberFormat="1" applyFont="1" applyBorder="1" applyAlignment="1">
      <alignment horizontal="left" vertical="center" wrapText="1"/>
    </xf>
    <xf numFmtId="0" fontId="38" fillId="0" borderId="690" xfId="0" applyNumberFormat="1" applyFont="1" applyBorder="1" applyAlignment="1">
      <alignment horizontal="left" vertical="center" wrapText="1"/>
    </xf>
    <xf numFmtId="0" fontId="38" fillId="0" borderId="691" xfId="0" applyNumberFormat="1" applyFont="1" applyBorder="1" applyAlignment="1">
      <alignment horizontal="left" vertical="center" wrapText="1"/>
    </xf>
    <xf numFmtId="0" fontId="38" fillId="0" borderId="692" xfId="0" applyNumberFormat="1" applyFont="1" applyBorder="1" applyAlignment="1">
      <alignment horizontal="left" vertical="center" wrapText="1"/>
    </xf>
    <xf numFmtId="2" fontId="38" fillId="0" borderId="680" xfId="0" applyNumberFormat="1" applyFont="1" applyBorder="1" applyAlignment="1">
      <alignment horizontal="center" vertical="center" wrapText="1"/>
    </xf>
    <xf numFmtId="2" fontId="38" fillId="0" borderId="693" xfId="0" applyNumberFormat="1" applyFont="1" applyBorder="1" applyAlignment="1">
      <alignment horizontal="center" vertical="center" wrapText="1"/>
    </xf>
    <xf numFmtId="0" fontId="38" fillId="0" borderId="655" xfId="0" applyNumberFormat="1" applyFont="1" applyBorder="1" applyAlignment="1">
      <alignment horizontal="center" vertical="center" wrapText="1"/>
    </xf>
    <xf numFmtId="0" fontId="38" fillId="0" borderId="656" xfId="0" applyNumberFormat="1" applyFont="1" applyBorder="1" applyAlignment="1">
      <alignment horizontal="center" vertical="center" wrapText="1"/>
    </xf>
    <xf numFmtId="0" fontId="38" fillId="0" borderId="657" xfId="0" applyNumberFormat="1" applyFont="1" applyBorder="1" applyAlignment="1">
      <alignment horizontal="center" vertical="center" wrapText="1"/>
    </xf>
    <xf numFmtId="0" fontId="38" fillId="0" borderId="658" xfId="0" applyNumberFormat="1" applyFont="1" applyBorder="1" applyAlignment="1">
      <alignment horizontal="center" vertical="center" wrapText="1"/>
    </xf>
    <xf numFmtId="0" fontId="38" fillId="0" borderId="668" xfId="0" applyNumberFormat="1" applyFont="1" applyBorder="1" applyAlignment="1">
      <alignment horizontal="center" vertical="center" wrapText="1"/>
    </xf>
    <xf numFmtId="0" fontId="38" fillId="0" borderId="669" xfId="0" applyNumberFormat="1" applyFont="1" applyBorder="1" applyAlignment="1">
      <alignment horizontal="center" vertical="center" wrapText="1"/>
    </xf>
    <xf numFmtId="0" fontId="38" fillId="0" borderId="670" xfId="0" applyNumberFormat="1" applyFont="1" applyBorder="1" applyAlignment="1">
      <alignment horizontal="center" vertical="center" wrapText="1"/>
    </xf>
    <xf numFmtId="0" fontId="38" fillId="0" borderId="671" xfId="0" applyNumberFormat="1" applyFont="1" applyBorder="1" applyAlignment="1">
      <alignment horizontal="center" vertical="center" wrapText="1"/>
    </xf>
    <xf numFmtId="0" fontId="38" fillId="0" borderId="681" xfId="0" applyNumberFormat="1" applyFont="1" applyBorder="1" applyAlignment="1">
      <alignment horizontal="center" vertical="center" wrapText="1"/>
    </xf>
    <xf numFmtId="0" fontId="38" fillId="0" borderId="682" xfId="0" applyNumberFormat="1" applyFont="1" applyBorder="1" applyAlignment="1">
      <alignment horizontal="center" vertical="center" wrapText="1"/>
    </xf>
    <xf numFmtId="0" fontId="38" fillId="0" borderId="683" xfId="0" applyNumberFormat="1" applyFont="1" applyBorder="1" applyAlignment="1">
      <alignment horizontal="center" vertical="center" wrapText="1"/>
    </xf>
    <xf numFmtId="0" fontId="38" fillId="0" borderId="684" xfId="0" applyNumberFormat="1" applyFont="1" applyBorder="1" applyAlignment="1">
      <alignment horizontal="center" vertical="center" wrapText="1"/>
    </xf>
    <xf numFmtId="0" fontId="38" fillId="0" borderId="694" xfId="0" applyNumberFormat="1" applyFont="1" applyBorder="1" applyAlignment="1">
      <alignment horizontal="center" vertical="center" wrapText="1"/>
    </xf>
    <xf numFmtId="0" fontId="38" fillId="0" borderId="695" xfId="0" applyNumberFormat="1" applyFont="1" applyBorder="1" applyAlignment="1">
      <alignment horizontal="center" vertical="center" wrapText="1"/>
    </xf>
    <xf numFmtId="0" fontId="38" fillId="0" borderId="696" xfId="0" applyNumberFormat="1" applyFont="1" applyBorder="1" applyAlignment="1">
      <alignment horizontal="center" vertical="center" wrapText="1"/>
    </xf>
    <xf numFmtId="0" fontId="38" fillId="0" borderId="697" xfId="0" applyNumberFormat="1" applyFont="1" applyBorder="1" applyAlignment="1">
      <alignment horizontal="center" vertical="center" wrapText="1"/>
    </xf>
    <xf numFmtId="0" fontId="38" fillId="0" borderId="595" xfId="0" applyNumberFormat="1" applyFont="1" applyBorder="1" applyAlignment="1">
      <alignment horizontal="left" vertical="center" wrapText="1"/>
    </xf>
    <xf numFmtId="0" fontId="38" fillId="0" borderId="596" xfId="0" applyNumberFormat="1" applyFont="1" applyBorder="1" applyAlignment="1">
      <alignment horizontal="left" vertical="center" wrapText="1"/>
    </xf>
    <xf numFmtId="0" fontId="38" fillId="0" borderId="597" xfId="0" applyNumberFormat="1" applyFont="1" applyBorder="1" applyAlignment="1">
      <alignment horizontal="left" vertical="center" wrapText="1"/>
    </xf>
    <xf numFmtId="0" fontId="38" fillId="0" borderId="598" xfId="0" applyNumberFormat="1" applyFont="1" applyBorder="1" applyAlignment="1">
      <alignment horizontal="left" vertical="center" wrapText="1"/>
    </xf>
    <xf numFmtId="0" fontId="38" fillId="0" borderId="599" xfId="0" applyNumberFormat="1" applyFont="1" applyBorder="1" applyAlignment="1">
      <alignment horizontal="left" vertical="center" wrapText="1"/>
    </xf>
    <xf numFmtId="0" fontId="38" fillId="0" borderId="600" xfId="0" applyNumberFormat="1" applyFont="1" applyBorder="1" applyAlignment="1">
      <alignment horizontal="left" vertical="center" wrapText="1"/>
    </xf>
    <xf numFmtId="0" fontId="38" fillId="0" borderId="601" xfId="0" applyNumberFormat="1" applyFont="1" applyBorder="1" applyAlignment="1">
      <alignment horizontal="left" vertical="center" wrapText="1"/>
    </xf>
    <xf numFmtId="0" fontId="38" fillId="0" borderId="608" xfId="0" applyNumberFormat="1" applyFont="1" applyBorder="1" applyAlignment="1">
      <alignment horizontal="left" vertical="center" wrapText="1"/>
    </xf>
    <xf numFmtId="0" fontId="38" fillId="0" borderId="609" xfId="0" applyNumberFormat="1" applyFont="1" applyBorder="1" applyAlignment="1">
      <alignment horizontal="left" vertical="center" wrapText="1"/>
    </xf>
    <xf numFmtId="0" fontId="38" fillId="0" borderId="610" xfId="0" applyNumberFormat="1" applyFont="1" applyBorder="1" applyAlignment="1">
      <alignment horizontal="left" vertical="center" wrapText="1"/>
    </xf>
    <xf numFmtId="0" fontId="38" fillId="0" borderId="611" xfId="0" applyNumberFormat="1" applyFont="1" applyBorder="1" applyAlignment="1">
      <alignment horizontal="left" vertical="center" wrapText="1"/>
    </xf>
    <xf numFmtId="0" fontId="38" fillId="0" borderId="612" xfId="0" applyNumberFormat="1" applyFont="1" applyBorder="1" applyAlignment="1">
      <alignment horizontal="left" vertical="center" wrapText="1"/>
    </xf>
    <xf numFmtId="0" fontId="38" fillId="0" borderId="613" xfId="0" applyNumberFormat="1" applyFont="1" applyBorder="1" applyAlignment="1">
      <alignment horizontal="left" vertical="center" wrapText="1"/>
    </xf>
    <xf numFmtId="0" fontId="38" fillId="0" borderId="614" xfId="0" applyNumberFormat="1" applyFont="1" applyBorder="1" applyAlignment="1">
      <alignment horizontal="left" vertical="center" wrapText="1"/>
    </xf>
    <xf numFmtId="0" fontId="38" fillId="0" borderId="621" xfId="0" applyNumberFormat="1" applyFont="1" applyBorder="1" applyAlignment="1">
      <alignment horizontal="left" vertical="center" wrapText="1"/>
    </xf>
    <xf numFmtId="0" fontId="38" fillId="0" borderId="622" xfId="0" applyNumberFormat="1" applyFont="1" applyBorder="1" applyAlignment="1">
      <alignment horizontal="left" vertical="center" wrapText="1"/>
    </xf>
    <xf numFmtId="0" fontId="38" fillId="0" borderId="623" xfId="0" applyNumberFormat="1" applyFont="1" applyBorder="1" applyAlignment="1">
      <alignment horizontal="left" vertical="center" wrapText="1"/>
    </xf>
    <xf numFmtId="0" fontId="38" fillId="0" borderId="624" xfId="0" applyNumberFormat="1" applyFont="1" applyBorder="1" applyAlignment="1">
      <alignment horizontal="left" vertical="center" wrapText="1"/>
    </xf>
    <xf numFmtId="0" fontId="38" fillId="0" borderId="625" xfId="0" applyNumberFormat="1" applyFont="1" applyBorder="1" applyAlignment="1">
      <alignment horizontal="left" vertical="center" wrapText="1"/>
    </xf>
    <xf numFmtId="0" fontId="38" fillId="0" borderId="626" xfId="0" applyNumberFormat="1" applyFont="1" applyBorder="1" applyAlignment="1">
      <alignment horizontal="left" vertical="center" wrapText="1"/>
    </xf>
    <xf numFmtId="0" fontId="38" fillId="0" borderId="627" xfId="0" applyNumberFormat="1" applyFont="1" applyBorder="1" applyAlignment="1">
      <alignment horizontal="left" vertical="center" wrapText="1"/>
    </xf>
    <xf numFmtId="0" fontId="38" fillId="0" borderId="634" xfId="0" applyNumberFormat="1" applyFont="1" applyBorder="1" applyAlignment="1">
      <alignment horizontal="left" vertical="center" wrapText="1"/>
    </xf>
    <xf numFmtId="0" fontId="38" fillId="0" borderId="635" xfId="0" applyNumberFormat="1" applyFont="1" applyBorder="1" applyAlignment="1">
      <alignment horizontal="left" vertical="center" wrapText="1"/>
    </xf>
    <xf numFmtId="0" fontId="38" fillId="0" borderId="636" xfId="0" applyNumberFormat="1" applyFont="1" applyBorder="1" applyAlignment="1">
      <alignment horizontal="left" vertical="center" wrapText="1"/>
    </xf>
    <xf numFmtId="0" fontId="38" fillId="0" borderId="637" xfId="0" applyNumberFormat="1" applyFont="1" applyBorder="1" applyAlignment="1">
      <alignment horizontal="left" vertical="center" wrapText="1"/>
    </xf>
    <xf numFmtId="0" fontId="38" fillId="0" borderId="638" xfId="0" applyNumberFormat="1" applyFont="1" applyBorder="1" applyAlignment="1">
      <alignment horizontal="left" vertical="center" wrapText="1"/>
    </xf>
    <xf numFmtId="0" fontId="38" fillId="0" borderId="639" xfId="0" applyNumberFormat="1" applyFont="1" applyBorder="1" applyAlignment="1">
      <alignment horizontal="left" vertical="center" wrapText="1"/>
    </xf>
    <xf numFmtId="0" fontId="38" fillId="0" borderId="640" xfId="0" applyNumberFormat="1" applyFont="1" applyBorder="1" applyAlignment="1">
      <alignment horizontal="left" vertical="center" wrapText="1"/>
    </xf>
    <xf numFmtId="2" fontId="38" fillId="0" borderId="641" xfId="0" applyNumberFormat="1" applyFont="1" applyBorder="1" applyAlignment="1">
      <alignment horizontal="center" vertical="center" wrapText="1"/>
    </xf>
    <xf numFmtId="2" fontId="38" fillId="0" borderId="628" xfId="0" applyNumberFormat="1" applyFont="1" applyBorder="1" applyAlignment="1">
      <alignment horizontal="center" vertical="center" wrapText="1"/>
    </xf>
    <xf numFmtId="2" fontId="38" fillId="0" borderId="615" xfId="0" applyNumberFormat="1" applyFont="1" applyBorder="1" applyAlignment="1">
      <alignment horizontal="center" vertical="center" wrapText="1"/>
    </xf>
    <xf numFmtId="2" fontId="38" fillId="0" borderId="602" xfId="0" applyNumberFormat="1" applyFont="1" applyBorder="1" applyAlignment="1">
      <alignment horizontal="center" vertical="center" wrapText="1"/>
    </xf>
    <xf numFmtId="0" fontId="38" fillId="0" borderId="642" xfId="0" applyNumberFormat="1" applyFont="1" applyBorder="1" applyAlignment="1">
      <alignment horizontal="center" vertical="center" wrapText="1"/>
    </xf>
    <xf numFmtId="0" fontId="38" fillId="0" borderId="643" xfId="0" applyNumberFormat="1" applyFont="1" applyBorder="1" applyAlignment="1">
      <alignment horizontal="center" vertical="center" wrapText="1"/>
    </xf>
    <xf numFmtId="0" fontId="38" fillId="0" borderId="644" xfId="0" applyNumberFormat="1" applyFont="1" applyBorder="1" applyAlignment="1">
      <alignment horizontal="center" vertical="center" wrapText="1"/>
    </xf>
    <xf numFmtId="0" fontId="38" fillId="0" borderId="645" xfId="0" applyNumberFormat="1" applyFont="1" applyBorder="1" applyAlignment="1">
      <alignment horizontal="center" vertical="center" wrapText="1"/>
    </xf>
    <xf numFmtId="0" fontId="38" fillId="0" borderId="629" xfId="0" applyNumberFormat="1" applyFont="1" applyBorder="1" applyAlignment="1">
      <alignment horizontal="center" vertical="center" wrapText="1"/>
    </xf>
    <xf numFmtId="0" fontId="38" fillId="0" borderId="630" xfId="0" applyNumberFormat="1" applyFont="1" applyBorder="1" applyAlignment="1">
      <alignment horizontal="center" vertical="center" wrapText="1"/>
    </xf>
    <xf numFmtId="0" fontId="38" fillId="0" borderId="631" xfId="0" applyNumberFormat="1" applyFont="1" applyBorder="1" applyAlignment="1">
      <alignment horizontal="center" vertical="center" wrapText="1"/>
    </xf>
    <xf numFmtId="0" fontId="38" fillId="0" borderId="632" xfId="0" applyNumberFormat="1" applyFont="1" applyBorder="1" applyAlignment="1">
      <alignment horizontal="center" vertical="center" wrapText="1"/>
    </xf>
    <xf numFmtId="0" fontId="38" fillId="0" borderId="616" xfId="0" applyNumberFormat="1" applyFont="1" applyBorder="1" applyAlignment="1">
      <alignment horizontal="center" vertical="center" wrapText="1"/>
    </xf>
    <xf numFmtId="0" fontId="38" fillId="0" borderId="617" xfId="0" applyNumberFormat="1" applyFont="1" applyBorder="1" applyAlignment="1">
      <alignment horizontal="center" vertical="center" wrapText="1"/>
    </xf>
    <xf numFmtId="0" fontId="38" fillId="0" borderId="618" xfId="0" applyNumberFormat="1" applyFont="1" applyBorder="1" applyAlignment="1">
      <alignment horizontal="center" vertical="center" wrapText="1"/>
    </xf>
    <xf numFmtId="0" fontId="38" fillId="0" borderId="619" xfId="0" applyNumberFormat="1" applyFont="1" applyBorder="1" applyAlignment="1">
      <alignment horizontal="center" vertical="center" wrapText="1"/>
    </xf>
    <xf numFmtId="0" fontId="38" fillId="0" borderId="603" xfId="0" applyNumberFormat="1" applyFont="1" applyBorder="1" applyAlignment="1">
      <alignment horizontal="center" vertical="center" wrapText="1"/>
    </xf>
    <xf numFmtId="0" fontId="38" fillId="0" borderId="604" xfId="0" applyNumberFormat="1" applyFont="1" applyBorder="1" applyAlignment="1">
      <alignment horizontal="center" vertical="center" wrapText="1"/>
    </xf>
    <xf numFmtId="0" fontId="38" fillId="0" borderId="605" xfId="0" applyNumberFormat="1" applyFont="1" applyBorder="1" applyAlignment="1">
      <alignment horizontal="center" vertical="center" wrapText="1"/>
    </xf>
    <xf numFmtId="0" fontId="38" fillId="0" borderId="606" xfId="0" applyNumberFormat="1" applyFont="1" applyBorder="1" applyAlignment="1">
      <alignment horizontal="center" vertical="center" wrapText="1"/>
    </xf>
    <xf numFmtId="0" fontId="38" fillId="0" borderId="543" xfId="0" applyNumberFormat="1" applyFont="1" applyBorder="1" applyAlignment="1">
      <alignment horizontal="left" vertical="center" wrapText="1"/>
    </xf>
    <xf numFmtId="0" fontId="38" fillId="0" borderId="544" xfId="0" applyNumberFormat="1" applyFont="1" applyBorder="1" applyAlignment="1">
      <alignment horizontal="left" vertical="center" wrapText="1"/>
    </xf>
    <xf numFmtId="0" fontId="38" fillId="0" borderId="545" xfId="0" applyNumberFormat="1" applyFont="1" applyBorder="1" applyAlignment="1">
      <alignment horizontal="left" vertical="center" wrapText="1"/>
    </xf>
    <xf numFmtId="0" fontId="38" fillId="0" borderId="546" xfId="0" applyNumberFormat="1" applyFont="1" applyBorder="1" applyAlignment="1">
      <alignment horizontal="left" vertical="center" wrapText="1"/>
    </xf>
    <xf numFmtId="0" fontId="38" fillId="0" borderId="547" xfId="0" applyNumberFormat="1" applyFont="1" applyBorder="1" applyAlignment="1">
      <alignment horizontal="left" vertical="center" wrapText="1"/>
    </xf>
    <xf numFmtId="0" fontId="38" fillId="0" borderId="548" xfId="0" applyNumberFormat="1" applyFont="1" applyBorder="1" applyAlignment="1">
      <alignment horizontal="left" vertical="center" wrapText="1"/>
    </xf>
    <xf numFmtId="0" fontId="38" fillId="0" borderId="549" xfId="0" applyNumberFormat="1" applyFont="1" applyBorder="1" applyAlignment="1">
      <alignment horizontal="left" vertical="center" wrapText="1"/>
    </xf>
    <xf numFmtId="0" fontId="38" fillId="0" borderId="556" xfId="0" applyNumberFormat="1" applyFont="1" applyBorder="1" applyAlignment="1">
      <alignment horizontal="left" vertical="center" wrapText="1"/>
    </xf>
    <xf numFmtId="0" fontId="38" fillId="0" borderId="557" xfId="0" applyNumberFormat="1" applyFont="1" applyBorder="1" applyAlignment="1">
      <alignment horizontal="left" vertical="center" wrapText="1"/>
    </xf>
    <xf numFmtId="0" fontId="38" fillId="0" borderId="558" xfId="0" applyNumberFormat="1" applyFont="1" applyBorder="1" applyAlignment="1">
      <alignment horizontal="left" vertical="center" wrapText="1"/>
    </xf>
    <xf numFmtId="0" fontId="38" fillId="0" borderId="559" xfId="0" applyNumberFormat="1" applyFont="1" applyBorder="1" applyAlignment="1">
      <alignment horizontal="left" vertical="center" wrapText="1"/>
    </xf>
    <xf numFmtId="0" fontId="38" fillId="0" borderId="560" xfId="0" applyNumberFormat="1" applyFont="1" applyBorder="1" applyAlignment="1">
      <alignment horizontal="left" vertical="center" wrapText="1"/>
    </xf>
    <xf numFmtId="0" fontId="38" fillId="0" borderId="561" xfId="0" applyNumberFormat="1" applyFont="1" applyBorder="1" applyAlignment="1">
      <alignment horizontal="left" vertical="center" wrapText="1"/>
    </xf>
    <xf numFmtId="0" fontId="38" fillId="0" borderId="562" xfId="0" applyNumberFormat="1" applyFont="1" applyBorder="1" applyAlignment="1">
      <alignment horizontal="left" vertical="center" wrapText="1"/>
    </xf>
    <xf numFmtId="0" fontId="38" fillId="0" borderId="569" xfId="0" applyNumberFormat="1" applyFont="1" applyBorder="1" applyAlignment="1">
      <alignment horizontal="left" vertical="center" wrapText="1"/>
    </xf>
    <xf numFmtId="0" fontId="38" fillId="0" borderId="570" xfId="0" applyNumberFormat="1" applyFont="1" applyBorder="1" applyAlignment="1">
      <alignment horizontal="left" vertical="center" wrapText="1"/>
    </xf>
    <xf numFmtId="0" fontId="38" fillId="0" borderId="571" xfId="0" applyNumberFormat="1" applyFont="1" applyBorder="1" applyAlignment="1">
      <alignment horizontal="left" vertical="center" wrapText="1"/>
    </xf>
    <xf numFmtId="0" fontId="38" fillId="0" borderId="572" xfId="0" applyNumberFormat="1" applyFont="1" applyBorder="1" applyAlignment="1">
      <alignment horizontal="left" vertical="center" wrapText="1"/>
    </xf>
    <xf numFmtId="0" fontId="38" fillId="0" borderId="573" xfId="0" applyNumberFormat="1" applyFont="1" applyBorder="1" applyAlignment="1">
      <alignment horizontal="left" vertical="center" wrapText="1"/>
    </xf>
    <xf numFmtId="0" fontId="38" fillId="0" borderId="574" xfId="0" applyNumberFormat="1" applyFont="1" applyBorder="1" applyAlignment="1">
      <alignment horizontal="left" vertical="center" wrapText="1"/>
    </xf>
    <xf numFmtId="0" fontId="38" fillId="0" borderId="575" xfId="0" applyNumberFormat="1" applyFont="1" applyBorder="1" applyAlignment="1">
      <alignment horizontal="left" vertical="center" wrapText="1"/>
    </xf>
    <xf numFmtId="2" fontId="38" fillId="0" borderId="550" xfId="0" applyNumberFormat="1" applyFont="1" applyBorder="1" applyAlignment="1">
      <alignment horizontal="center" vertical="center" wrapText="1"/>
    </xf>
    <xf numFmtId="2" fontId="38" fillId="0" borderId="563" xfId="0" applyNumberFormat="1" applyFont="1" applyBorder="1" applyAlignment="1">
      <alignment horizontal="center" vertical="center" wrapText="1"/>
    </xf>
    <xf numFmtId="0" fontId="38" fillId="0" borderId="551" xfId="0" applyNumberFormat="1" applyFont="1" applyBorder="1" applyAlignment="1">
      <alignment horizontal="center" vertical="center" wrapText="1"/>
    </xf>
    <xf numFmtId="0" fontId="38" fillId="0" borderId="552" xfId="0" applyNumberFormat="1" applyFont="1" applyBorder="1" applyAlignment="1">
      <alignment horizontal="center" vertical="center" wrapText="1"/>
    </xf>
    <xf numFmtId="0" fontId="38" fillId="0" borderId="553" xfId="0" applyNumberFormat="1" applyFont="1" applyBorder="1" applyAlignment="1">
      <alignment horizontal="center" vertical="center" wrapText="1"/>
    </xf>
    <xf numFmtId="0" fontId="38" fillId="0" borderId="554" xfId="0" applyNumberFormat="1" applyFont="1" applyBorder="1" applyAlignment="1">
      <alignment horizontal="center" vertical="center" wrapText="1"/>
    </xf>
    <xf numFmtId="0" fontId="38" fillId="0" borderId="564" xfId="0" applyNumberFormat="1" applyFont="1" applyBorder="1" applyAlignment="1">
      <alignment horizontal="center" vertical="center" wrapText="1"/>
    </xf>
    <xf numFmtId="0" fontId="38" fillId="0" borderId="565" xfId="0" applyNumberFormat="1" applyFont="1" applyBorder="1" applyAlignment="1">
      <alignment horizontal="center" vertical="center" wrapText="1"/>
    </xf>
    <xf numFmtId="0" fontId="38" fillId="0" borderId="566" xfId="0" applyNumberFormat="1" applyFont="1" applyBorder="1" applyAlignment="1">
      <alignment horizontal="center" vertical="center" wrapText="1"/>
    </xf>
    <xf numFmtId="0" fontId="38" fillId="0" borderId="567" xfId="0" applyNumberFormat="1" applyFont="1" applyBorder="1" applyAlignment="1">
      <alignment horizontal="center" vertical="center" wrapText="1"/>
    </xf>
    <xf numFmtId="2" fontId="38" fillId="0" borderId="576" xfId="0" applyNumberFormat="1" applyFont="1" applyBorder="1" applyAlignment="1">
      <alignment horizontal="center" vertical="center" wrapText="1"/>
    </xf>
    <xf numFmtId="0" fontId="38" fillId="0" borderId="577" xfId="0" applyNumberFormat="1" applyFont="1" applyBorder="1" applyAlignment="1">
      <alignment horizontal="center" vertical="center" wrapText="1"/>
    </xf>
    <xf numFmtId="0" fontId="38" fillId="0" borderId="578" xfId="0" applyNumberFormat="1" applyFont="1" applyBorder="1" applyAlignment="1">
      <alignment horizontal="center" vertical="center" wrapText="1"/>
    </xf>
    <xf numFmtId="0" fontId="38" fillId="0" borderId="579" xfId="0" applyNumberFormat="1" applyFont="1" applyBorder="1" applyAlignment="1">
      <alignment horizontal="center" vertical="center" wrapText="1"/>
    </xf>
    <xf numFmtId="0" fontId="38" fillId="0" borderId="580" xfId="0" applyNumberFormat="1" applyFont="1" applyBorder="1" applyAlignment="1">
      <alignment horizontal="center" vertical="center" wrapText="1"/>
    </xf>
    <xf numFmtId="0" fontId="38" fillId="0" borderId="582" xfId="0" applyNumberFormat="1" applyFont="1" applyBorder="1" applyAlignment="1">
      <alignment horizontal="left" vertical="center" wrapText="1"/>
    </xf>
    <xf numFmtId="0" fontId="38" fillId="0" borderId="583" xfId="0" applyNumberFormat="1" applyFont="1" applyBorder="1" applyAlignment="1">
      <alignment horizontal="left" vertical="center" wrapText="1"/>
    </xf>
    <xf numFmtId="0" fontId="38" fillId="0" borderId="584" xfId="0" applyNumberFormat="1" applyFont="1" applyBorder="1" applyAlignment="1">
      <alignment horizontal="left" vertical="center" wrapText="1"/>
    </xf>
    <xf numFmtId="0" fontId="38" fillId="0" borderId="585" xfId="0" applyNumberFormat="1" applyFont="1" applyBorder="1" applyAlignment="1">
      <alignment horizontal="left" vertical="center" wrapText="1"/>
    </xf>
    <xf numFmtId="0" fontId="38" fillId="0" borderId="586" xfId="0" applyNumberFormat="1" applyFont="1" applyBorder="1" applyAlignment="1">
      <alignment horizontal="left" vertical="center" wrapText="1"/>
    </xf>
    <xf numFmtId="0" fontId="38" fillId="0" borderId="587" xfId="0" applyNumberFormat="1" applyFont="1" applyBorder="1" applyAlignment="1">
      <alignment horizontal="left" vertical="center" wrapText="1"/>
    </xf>
    <xf numFmtId="0" fontId="38" fillId="0" borderId="588" xfId="0" applyNumberFormat="1" applyFont="1" applyBorder="1" applyAlignment="1">
      <alignment horizontal="left" vertical="center" wrapText="1"/>
    </xf>
    <xf numFmtId="2" fontId="38" fillId="0" borderId="589" xfId="0" applyNumberFormat="1" applyFont="1" applyBorder="1" applyAlignment="1">
      <alignment horizontal="center" vertical="center" wrapText="1"/>
    </xf>
    <xf numFmtId="0" fontId="38" fillId="0" borderId="590" xfId="0" applyNumberFormat="1" applyFont="1" applyBorder="1" applyAlignment="1">
      <alignment horizontal="center" vertical="center" wrapText="1"/>
    </xf>
    <xf numFmtId="0" fontId="38" fillId="0" borderId="591" xfId="0" applyNumberFormat="1" applyFont="1" applyBorder="1" applyAlignment="1">
      <alignment horizontal="center" vertical="center" wrapText="1"/>
    </xf>
    <xf numFmtId="0" fontId="38" fillId="0" borderId="592" xfId="0" applyNumberFormat="1" applyFont="1" applyBorder="1" applyAlignment="1">
      <alignment horizontal="center" vertical="center" wrapText="1"/>
    </xf>
    <xf numFmtId="0" fontId="38" fillId="0" borderId="593" xfId="0" applyNumberFormat="1" applyFont="1" applyBorder="1" applyAlignment="1">
      <alignment horizontal="center" vertical="center" wrapText="1"/>
    </xf>
    <xf numFmtId="0" fontId="38" fillId="0" borderId="491" xfId="0" applyNumberFormat="1" applyFont="1" applyBorder="1" applyAlignment="1">
      <alignment horizontal="left" vertical="center" wrapText="1"/>
    </xf>
    <xf numFmtId="0" fontId="38" fillId="0" borderId="492" xfId="0" applyNumberFormat="1" applyFont="1" applyBorder="1" applyAlignment="1">
      <alignment horizontal="left" vertical="center" wrapText="1"/>
    </xf>
    <xf numFmtId="0" fontId="38" fillId="0" borderId="493" xfId="0" applyNumberFormat="1" applyFont="1" applyBorder="1" applyAlignment="1">
      <alignment horizontal="left" vertical="center" wrapText="1"/>
    </xf>
    <xf numFmtId="0" fontId="38" fillId="0" borderId="494" xfId="0" applyNumberFormat="1" applyFont="1" applyBorder="1" applyAlignment="1">
      <alignment horizontal="left" vertical="center" wrapText="1"/>
    </xf>
    <xf numFmtId="0" fontId="38" fillId="0" borderId="495" xfId="0" applyNumberFormat="1" applyFont="1" applyBorder="1" applyAlignment="1">
      <alignment horizontal="left" vertical="center" wrapText="1"/>
    </xf>
    <xf numFmtId="0" fontId="38" fillId="0" borderId="496" xfId="0" applyNumberFormat="1" applyFont="1" applyBorder="1" applyAlignment="1">
      <alignment horizontal="left" vertical="center" wrapText="1"/>
    </xf>
    <xf numFmtId="0" fontId="38" fillId="0" borderId="497" xfId="0" applyNumberFormat="1" applyFont="1" applyBorder="1" applyAlignment="1">
      <alignment horizontal="left" vertical="center" wrapText="1"/>
    </xf>
    <xf numFmtId="0" fontId="38" fillId="0" borderId="504" xfId="0" applyNumberFormat="1" applyFont="1" applyBorder="1" applyAlignment="1">
      <alignment horizontal="left" vertical="center" wrapText="1"/>
    </xf>
    <xf numFmtId="0" fontId="38" fillId="0" borderId="505" xfId="0" applyNumberFormat="1" applyFont="1" applyBorder="1" applyAlignment="1">
      <alignment horizontal="left" vertical="center" wrapText="1"/>
    </xf>
    <xf numFmtId="0" fontId="38" fillId="0" borderId="506" xfId="0" applyNumberFormat="1" applyFont="1" applyBorder="1" applyAlignment="1">
      <alignment horizontal="left" vertical="center" wrapText="1"/>
    </xf>
    <xf numFmtId="0" fontId="38" fillId="0" borderId="507" xfId="0" applyNumberFormat="1" applyFont="1" applyBorder="1" applyAlignment="1">
      <alignment horizontal="left" vertical="center" wrapText="1"/>
    </xf>
    <xf numFmtId="0" fontId="38" fillId="0" borderId="508" xfId="0" applyNumberFormat="1" applyFont="1" applyBorder="1" applyAlignment="1">
      <alignment horizontal="left" vertical="center" wrapText="1"/>
    </xf>
    <xf numFmtId="0" fontId="38" fillId="0" borderId="509" xfId="0" applyNumberFormat="1" applyFont="1" applyBorder="1" applyAlignment="1">
      <alignment horizontal="left" vertical="center" wrapText="1"/>
    </xf>
    <xf numFmtId="0" fontId="38" fillId="0" borderId="510" xfId="0" applyNumberFormat="1" applyFont="1" applyBorder="1" applyAlignment="1">
      <alignment horizontal="left" vertical="center" wrapText="1"/>
    </xf>
    <xf numFmtId="0" fontId="38" fillId="0" borderId="517" xfId="0" applyNumberFormat="1" applyFont="1" applyBorder="1" applyAlignment="1">
      <alignment horizontal="left" vertical="center" wrapText="1"/>
    </xf>
    <xf numFmtId="0" fontId="38" fillId="0" borderId="518" xfId="0" applyNumberFormat="1" applyFont="1" applyBorder="1" applyAlignment="1">
      <alignment horizontal="left" vertical="center" wrapText="1"/>
    </xf>
    <xf numFmtId="0" fontId="38" fillId="0" borderId="519" xfId="0" applyNumberFormat="1" applyFont="1" applyBorder="1" applyAlignment="1">
      <alignment horizontal="left" vertical="center" wrapText="1"/>
    </xf>
    <xf numFmtId="0" fontId="38" fillId="0" borderId="520" xfId="0" applyNumberFormat="1" applyFont="1" applyBorder="1" applyAlignment="1">
      <alignment horizontal="left" vertical="center" wrapText="1"/>
    </xf>
    <xf numFmtId="0" fontId="38" fillId="0" borderId="521" xfId="0" applyNumberFormat="1" applyFont="1" applyBorder="1" applyAlignment="1">
      <alignment horizontal="left" vertical="center" wrapText="1"/>
    </xf>
    <xf numFmtId="0" fontId="38" fillId="0" borderId="522" xfId="0" applyNumberFormat="1" applyFont="1" applyBorder="1" applyAlignment="1">
      <alignment horizontal="left" vertical="center" wrapText="1"/>
    </xf>
    <xf numFmtId="0" fontId="38" fillId="0" borderId="523" xfId="0" applyNumberFormat="1" applyFont="1" applyBorder="1" applyAlignment="1">
      <alignment horizontal="left" vertical="center" wrapText="1"/>
    </xf>
    <xf numFmtId="0" fontId="38" fillId="0" borderId="530" xfId="0" applyNumberFormat="1" applyFont="1" applyBorder="1" applyAlignment="1">
      <alignment horizontal="left" vertical="center" wrapText="1"/>
    </xf>
    <xf numFmtId="0" fontId="38" fillId="0" borderId="531" xfId="0" applyNumberFormat="1" applyFont="1" applyBorder="1" applyAlignment="1">
      <alignment horizontal="left" vertical="center" wrapText="1"/>
    </xf>
    <xf numFmtId="0" fontId="38" fillId="0" borderId="532" xfId="0" applyNumberFormat="1" applyFont="1" applyBorder="1" applyAlignment="1">
      <alignment horizontal="left" vertical="center" wrapText="1"/>
    </xf>
    <xf numFmtId="0" fontId="38" fillId="0" borderId="533" xfId="0" applyNumberFormat="1" applyFont="1" applyBorder="1" applyAlignment="1">
      <alignment horizontal="left" vertical="center" wrapText="1"/>
    </xf>
    <xf numFmtId="0" fontId="38" fillId="0" borderId="534" xfId="0" applyNumberFormat="1" applyFont="1" applyBorder="1" applyAlignment="1">
      <alignment horizontal="left" vertical="center" wrapText="1"/>
    </xf>
    <xf numFmtId="0" fontId="38" fillId="0" borderId="535" xfId="0" applyNumberFormat="1" applyFont="1" applyBorder="1" applyAlignment="1">
      <alignment horizontal="left" vertical="center" wrapText="1"/>
    </xf>
    <xf numFmtId="0" fontId="38" fillId="0" borderId="536" xfId="0" applyNumberFormat="1" applyFont="1" applyBorder="1" applyAlignment="1">
      <alignment horizontal="left" vertical="center" wrapText="1"/>
    </xf>
    <xf numFmtId="2" fontId="38" fillId="0" borderId="537" xfId="0" applyNumberFormat="1" applyFont="1" applyBorder="1" applyAlignment="1">
      <alignment horizontal="center" vertical="center" wrapText="1"/>
    </xf>
    <xf numFmtId="2" fontId="38" fillId="0" borderId="524" xfId="0" applyNumberFormat="1" applyFont="1" applyBorder="1" applyAlignment="1">
      <alignment horizontal="center" vertical="center" wrapText="1"/>
    </xf>
    <xf numFmtId="2" fontId="38" fillId="0" borderId="511" xfId="0" applyNumberFormat="1" applyFont="1" applyBorder="1" applyAlignment="1">
      <alignment horizontal="center" vertical="center" wrapText="1"/>
    </xf>
    <xf numFmtId="2" fontId="38" fillId="0" borderId="498" xfId="0" applyNumberFormat="1" applyFont="1" applyBorder="1" applyAlignment="1">
      <alignment horizontal="center" vertical="center" wrapText="1"/>
    </xf>
    <xf numFmtId="0" fontId="38" fillId="0" borderId="538" xfId="0" applyNumberFormat="1" applyFont="1" applyBorder="1" applyAlignment="1">
      <alignment horizontal="center" vertical="center" wrapText="1"/>
    </xf>
    <xf numFmtId="0" fontId="38" fillId="0" borderId="539" xfId="0" applyNumberFormat="1" applyFont="1" applyBorder="1" applyAlignment="1">
      <alignment horizontal="center" vertical="center" wrapText="1"/>
    </xf>
    <xf numFmtId="0" fontId="38" fillId="0" borderId="540" xfId="0" applyNumberFormat="1" applyFont="1" applyBorder="1" applyAlignment="1">
      <alignment horizontal="center" vertical="center" wrapText="1"/>
    </xf>
    <xf numFmtId="0" fontId="38" fillId="0" borderId="541" xfId="0" applyNumberFormat="1" applyFont="1" applyBorder="1" applyAlignment="1">
      <alignment horizontal="center" vertical="center" wrapText="1"/>
    </xf>
    <xf numFmtId="0" fontId="38" fillId="0" borderId="525" xfId="0" applyNumberFormat="1" applyFont="1" applyBorder="1" applyAlignment="1">
      <alignment horizontal="center" vertical="center" wrapText="1"/>
    </xf>
    <xf numFmtId="0" fontId="38" fillId="0" borderId="526" xfId="0" applyNumberFormat="1" applyFont="1" applyBorder="1" applyAlignment="1">
      <alignment horizontal="center" vertical="center" wrapText="1"/>
    </xf>
    <xf numFmtId="0" fontId="38" fillId="0" borderId="527" xfId="0" applyNumberFormat="1" applyFont="1" applyBorder="1" applyAlignment="1">
      <alignment horizontal="center" vertical="center" wrapText="1"/>
    </xf>
    <xf numFmtId="0" fontId="38" fillId="0" borderId="528" xfId="0" applyNumberFormat="1" applyFont="1" applyBorder="1" applyAlignment="1">
      <alignment horizontal="center" vertical="center" wrapText="1"/>
    </xf>
    <xf numFmtId="0" fontId="38" fillId="0" borderId="512" xfId="0" applyNumberFormat="1" applyFont="1" applyBorder="1" applyAlignment="1">
      <alignment horizontal="center" vertical="center" wrapText="1"/>
    </xf>
    <xf numFmtId="0" fontId="38" fillId="0" borderId="513" xfId="0" applyNumberFormat="1" applyFont="1" applyBorder="1" applyAlignment="1">
      <alignment horizontal="center" vertical="center" wrapText="1"/>
    </xf>
    <xf numFmtId="0" fontId="38" fillId="0" borderId="514" xfId="0" applyNumberFormat="1" applyFont="1" applyBorder="1" applyAlignment="1">
      <alignment horizontal="center" vertical="center" wrapText="1"/>
    </xf>
    <xf numFmtId="0" fontId="38" fillId="0" borderId="515" xfId="0" applyNumberFormat="1" applyFont="1" applyBorder="1" applyAlignment="1">
      <alignment horizontal="center" vertical="center" wrapText="1"/>
    </xf>
    <xf numFmtId="0" fontId="38" fillId="0" borderId="499" xfId="0" applyNumberFormat="1" applyFont="1" applyBorder="1" applyAlignment="1">
      <alignment horizontal="center" vertical="center" wrapText="1"/>
    </xf>
    <xf numFmtId="0" fontId="38" fillId="0" borderId="500" xfId="0" applyNumberFormat="1" applyFont="1" applyBorder="1" applyAlignment="1">
      <alignment horizontal="center" vertical="center" wrapText="1"/>
    </xf>
    <xf numFmtId="0" fontId="38" fillId="0" borderId="501" xfId="0" applyNumberFormat="1" applyFont="1" applyBorder="1" applyAlignment="1">
      <alignment horizontal="center" vertical="center" wrapText="1"/>
    </xf>
    <xf numFmtId="0" fontId="38" fillId="0" borderId="502" xfId="0" applyNumberFormat="1" applyFont="1" applyBorder="1" applyAlignment="1">
      <alignment horizontal="center" vertical="center" wrapText="1"/>
    </xf>
    <xf numFmtId="0" fontId="38" fillId="0" borderId="568" xfId="0" applyNumberFormat="1" applyFont="1" applyBorder="1" applyAlignment="1">
      <alignment horizontal="center" vertical="center" wrapText="1"/>
    </xf>
    <xf numFmtId="0" fontId="38" fillId="0" borderId="555" xfId="0" applyNumberFormat="1" applyFont="1" applyBorder="1" applyAlignment="1">
      <alignment horizontal="center" vertical="center" wrapText="1"/>
    </xf>
    <xf numFmtId="0" fontId="38" fillId="0" borderId="542" xfId="0" applyNumberFormat="1" applyFont="1" applyBorder="1" applyAlignment="1">
      <alignment horizontal="center" vertical="center" wrapText="1"/>
    </xf>
    <xf numFmtId="0" fontId="38" fillId="0" borderId="529" xfId="0" applyNumberFormat="1" applyFont="1" applyBorder="1" applyAlignment="1">
      <alignment horizontal="center" vertical="center" wrapText="1"/>
    </xf>
    <xf numFmtId="0" fontId="38" fillId="0" borderId="516" xfId="0" applyNumberFormat="1" applyFont="1" applyBorder="1" applyAlignment="1">
      <alignment horizontal="center" vertical="center" wrapText="1"/>
    </xf>
    <xf numFmtId="0" fontId="38" fillId="0" borderId="503" xfId="0" applyNumberFormat="1" applyFont="1" applyBorder="1" applyAlignment="1">
      <alignment horizontal="center" vertical="center" wrapText="1"/>
    </xf>
    <xf numFmtId="0" fontId="38" fillId="0" borderId="490" xfId="0" applyNumberFormat="1" applyFont="1" applyBorder="1" applyAlignment="1">
      <alignment horizontal="center" vertical="center" wrapText="1"/>
    </xf>
    <xf numFmtId="0" fontId="38" fillId="0" borderId="477" xfId="0" applyNumberFormat="1" applyFont="1" applyBorder="1" applyAlignment="1">
      <alignment horizontal="center" vertical="center" wrapText="1"/>
    </xf>
    <xf numFmtId="0" fontId="38" fillId="0" borderId="464" xfId="0" applyNumberFormat="1" applyFont="1" applyBorder="1" applyAlignment="1">
      <alignment horizontal="center" vertical="center" wrapText="1"/>
    </xf>
    <xf numFmtId="0" fontId="38" fillId="0" borderId="451" xfId="0" applyNumberFormat="1" applyFont="1" applyBorder="1" applyAlignment="1">
      <alignment horizontal="center" vertical="center" wrapText="1"/>
    </xf>
    <xf numFmtId="0" fontId="38" fillId="0" borderId="438" xfId="0" applyNumberFormat="1" applyFont="1" applyBorder="1" applyAlignment="1">
      <alignment horizontal="center" vertical="center" wrapText="1"/>
    </xf>
    <xf numFmtId="0" fontId="38" fillId="0" borderId="425" xfId="0" applyNumberFormat="1" applyFont="1" applyBorder="1" applyAlignment="1">
      <alignment horizontal="center" vertical="center" wrapText="1"/>
    </xf>
    <xf numFmtId="0" fontId="38" fillId="0" borderId="412" xfId="0" applyNumberFormat="1" applyFont="1" applyBorder="1" applyAlignment="1">
      <alignment horizontal="center" vertical="center" wrapText="1"/>
    </xf>
    <xf numFmtId="0" fontId="38" fillId="0" borderId="439" xfId="0" applyNumberFormat="1" applyFont="1" applyBorder="1" applyAlignment="1">
      <alignment horizontal="left" vertical="center" wrapText="1"/>
    </xf>
    <xf numFmtId="0" fontId="38" fillId="0" borderId="440" xfId="0" applyNumberFormat="1" applyFont="1" applyBorder="1" applyAlignment="1">
      <alignment horizontal="left" vertical="center" wrapText="1"/>
    </xf>
    <xf numFmtId="0" fontId="38" fillId="0" borderId="441" xfId="0" applyNumberFormat="1" applyFont="1" applyBorder="1" applyAlignment="1">
      <alignment horizontal="left" vertical="center" wrapText="1"/>
    </xf>
    <xf numFmtId="0" fontId="38" fillId="0" borderId="442" xfId="0" applyNumberFormat="1" applyFont="1" applyBorder="1" applyAlignment="1">
      <alignment horizontal="left" vertical="center" wrapText="1"/>
    </xf>
    <xf numFmtId="0" fontId="38" fillId="0" borderId="443" xfId="0" applyNumberFormat="1" applyFont="1" applyBorder="1" applyAlignment="1">
      <alignment horizontal="left" vertical="center" wrapText="1"/>
    </xf>
    <xf numFmtId="0" fontId="38" fillId="0" borderId="444" xfId="0" applyNumberFormat="1" applyFont="1" applyBorder="1" applyAlignment="1">
      <alignment horizontal="left" vertical="center" wrapText="1"/>
    </xf>
    <xf numFmtId="0" fontId="38" fillId="0" borderId="445" xfId="0" applyNumberFormat="1" applyFont="1" applyBorder="1" applyAlignment="1">
      <alignment horizontal="left" vertical="center" wrapText="1"/>
    </xf>
    <xf numFmtId="0" fontId="38" fillId="0" borderId="452" xfId="0" applyNumberFormat="1" applyFont="1" applyBorder="1" applyAlignment="1">
      <alignment horizontal="left" vertical="center" wrapText="1"/>
    </xf>
    <xf numFmtId="0" fontId="38" fillId="0" borderId="453" xfId="0" applyNumberFormat="1" applyFont="1" applyBorder="1" applyAlignment="1">
      <alignment horizontal="left" vertical="center" wrapText="1"/>
    </xf>
    <xf numFmtId="0" fontId="38" fillId="0" borderId="454" xfId="0" applyNumberFormat="1" applyFont="1" applyBorder="1" applyAlignment="1">
      <alignment horizontal="left" vertical="center" wrapText="1"/>
    </xf>
    <xf numFmtId="0" fontId="38" fillId="0" borderId="455" xfId="0" applyNumberFormat="1" applyFont="1" applyBorder="1" applyAlignment="1">
      <alignment horizontal="left" vertical="center" wrapText="1"/>
    </xf>
    <xf numFmtId="0" fontId="38" fillId="0" borderId="456" xfId="0" applyNumberFormat="1" applyFont="1" applyBorder="1" applyAlignment="1">
      <alignment horizontal="left" vertical="center" wrapText="1"/>
    </xf>
    <xf numFmtId="0" fontId="38" fillId="0" borderId="457" xfId="0" applyNumberFormat="1" applyFont="1" applyBorder="1" applyAlignment="1">
      <alignment horizontal="left" vertical="center" wrapText="1"/>
    </xf>
    <xf numFmtId="0" fontId="38" fillId="0" borderId="458" xfId="0" applyNumberFormat="1" applyFont="1" applyBorder="1" applyAlignment="1">
      <alignment horizontal="left" vertical="center" wrapText="1"/>
    </xf>
    <xf numFmtId="0" fontId="38" fillId="0" borderId="465" xfId="0" applyNumberFormat="1" applyFont="1" applyBorder="1" applyAlignment="1">
      <alignment horizontal="left" vertical="center" wrapText="1"/>
    </xf>
    <xf numFmtId="0" fontId="38" fillId="0" borderId="466" xfId="0" applyNumberFormat="1" applyFont="1" applyBorder="1" applyAlignment="1">
      <alignment horizontal="left" vertical="center" wrapText="1"/>
    </xf>
    <xf numFmtId="0" fontId="38" fillId="0" borderId="467" xfId="0" applyNumberFormat="1" applyFont="1" applyBorder="1" applyAlignment="1">
      <alignment horizontal="left" vertical="center" wrapText="1"/>
    </xf>
    <xf numFmtId="0" fontId="38" fillId="0" borderId="468" xfId="0" applyNumberFormat="1" applyFont="1" applyBorder="1" applyAlignment="1">
      <alignment horizontal="left" vertical="center" wrapText="1"/>
    </xf>
    <xf numFmtId="0" fontId="38" fillId="0" borderId="469" xfId="0" applyNumberFormat="1" applyFont="1" applyBorder="1" applyAlignment="1">
      <alignment horizontal="left" vertical="center" wrapText="1"/>
    </xf>
    <xf numFmtId="0" fontId="38" fillId="0" borderId="470" xfId="0" applyNumberFormat="1" applyFont="1" applyBorder="1" applyAlignment="1">
      <alignment horizontal="left" vertical="center" wrapText="1"/>
    </xf>
    <xf numFmtId="0" fontId="38" fillId="0" borderId="471" xfId="0" applyNumberFormat="1" applyFont="1" applyBorder="1" applyAlignment="1">
      <alignment horizontal="left" vertical="center" wrapText="1"/>
    </xf>
    <xf numFmtId="2" fontId="38" fillId="0" borderId="446" xfId="0" applyNumberFormat="1" applyFont="1" applyBorder="1" applyAlignment="1">
      <alignment horizontal="center" vertical="center" wrapText="1"/>
    </xf>
    <xf numFmtId="2" fontId="38" fillId="0" borderId="459" xfId="0" applyNumberFormat="1" applyFont="1" applyBorder="1" applyAlignment="1">
      <alignment horizontal="center" vertical="center" wrapText="1"/>
    </xf>
    <xf numFmtId="0" fontId="38" fillId="0" borderId="447" xfId="0" applyNumberFormat="1" applyFont="1" applyBorder="1" applyAlignment="1">
      <alignment horizontal="center" vertical="center" wrapText="1"/>
    </xf>
    <xf numFmtId="0" fontId="38" fillId="0" borderId="448" xfId="0" applyNumberFormat="1" applyFont="1" applyBorder="1" applyAlignment="1">
      <alignment horizontal="center" vertical="center" wrapText="1"/>
    </xf>
    <xf numFmtId="0" fontId="38" fillId="0" borderId="449" xfId="0" applyNumberFormat="1" applyFont="1" applyBorder="1" applyAlignment="1">
      <alignment horizontal="center" vertical="center" wrapText="1"/>
    </xf>
    <xf numFmtId="0" fontId="38" fillId="0" borderId="450" xfId="0" applyNumberFormat="1" applyFont="1" applyBorder="1" applyAlignment="1">
      <alignment horizontal="center" vertical="center" wrapText="1"/>
    </xf>
    <xf numFmtId="0" fontId="38" fillId="0" borderId="460" xfId="0" applyNumberFormat="1" applyFont="1" applyBorder="1" applyAlignment="1">
      <alignment horizontal="center" vertical="center" wrapText="1"/>
    </xf>
    <xf numFmtId="0" fontId="38" fillId="0" borderId="461" xfId="0" applyNumberFormat="1" applyFont="1" applyBorder="1" applyAlignment="1">
      <alignment horizontal="center" vertical="center" wrapText="1"/>
    </xf>
    <xf numFmtId="0" fontId="38" fillId="0" borderId="462" xfId="0" applyNumberFormat="1" applyFont="1" applyBorder="1" applyAlignment="1">
      <alignment horizontal="center" vertical="center" wrapText="1"/>
    </xf>
    <xf numFmtId="0" fontId="38" fillId="0" borderId="463" xfId="0" applyNumberFormat="1" applyFont="1" applyBorder="1" applyAlignment="1">
      <alignment horizontal="center" vertical="center" wrapText="1"/>
    </xf>
    <xf numFmtId="0" fontId="38" fillId="0" borderId="473" xfId="0" applyNumberFormat="1" applyFont="1" applyBorder="1" applyAlignment="1">
      <alignment horizontal="center" vertical="center" wrapText="1"/>
    </xf>
    <xf numFmtId="0" fontId="38" fillId="0" borderId="474" xfId="0" applyNumberFormat="1" applyFont="1" applyBorder="1" applyAlignment="1">
      <alignment horizontal="center" vertical="center" wrapText="1"/>
    </xf>
    <xf numFmtId="0" fontId="38" fillId="0" borderId="475" xfId="0" applyNumberFormat="1" applyFont="1" applyBorder="1" applyAlignment="1">
      <alignment horizontal="center" vertical="center" wrapText="1"/>
    </xf>
    <xf numFmtId="0" fontId="38" fillId="0" borderId="476" xfId="0" applyNumberFormat="1" applyFont="1" applyBorder="1" applyAlignment="1">
      <alignment horizontal="center" vertical="center" wrapText="1"/>
    </xf>
    <xf numFmtId="2" fontId="38" fillId="0" borderId="472" xfId="0" applyNumberFormat="1" applyFont="1" applyBorder="1" applyAlignment="1">
      <alignment horizontal="center" vertical="center" wrapText="1"/>
    </xf>
    <xf numFmtId="0" fontId="38" fillId="0" borderId="478" xfId="0" applyNumberFormat="1" applyFont="1" applyBorder="1" applyAlignment="1">
      <alignment horizontal="left" vertical="center" wrapText="1"/>
    </xf>
    <xf numFmtId="0" fontId="38" fillId="0" borderId="479" xfId="0" applyNumberFormat="1" applyFont="1" applyBorder="1" applyAlignment="1">
      <alignment horizontal="left" vertical="center" wrapText="1"/>
    </xf>
    <xf numFmtId="0" fontId="38" fillId="0" borderId="480" xfId="0" applyNumberFormat="1" applyFont="1" applyBorder="1" applyAlignment="1">
      <alignment horizontal="left" vertical="center" wrapText="1"/>
    </xf>
    <xf numFmtId="0" fontId="38" fillId="0" borderId="481" xfId="0" applyNumberFormat="1" applyFont="1" applyBorder="1" applyAlignment="1">
      <alignment horizontal="left" vertical="center" wrapText="1"/>
    </xf>
    <xf numFmtId="0" fontId="38" fillId="0" borderId="482" xfId="0" applyNumberFormat="1" applyFont="1" applyBorder="1" applyAlignment="1">
      <alignment horizontal="left" vertical="center" wrapText="1"/>
    </xf>
    <xf numFmtId="0" fontId="38" fillId="0" borderId="483" xfId="0" applyNumberFormat="1" applyFont="1" applyBorder="1" applyAlignment="1">
      <alignment horizontal="left" vertical="center" wrapText="1"/>
    </xf>
    <xf numFmtId="0" fontId="38" fillId="0" borderId="484" xfId="0" applyNumberFormat="1" applyFont="1" applyBorder="1" applyAlignment="1">
      <alignment horizontal="left" vertical="center" wrapText="1"/>
    </xf>
    <xf numFmtId="2" fontId="38" fillId="0" borderId="485" xfId="0" applyNumberFormat="1" applyFont="1" applyBorder="1" applyAlignment="1">
      <alignment horizontal="center" vertical="center" wrapText="1"/>
    </xf>
    <xf numFmtId="0" fontId="38" fillId="0" borderId="486" xfId="0" applyNumberFormat="1" applyFont="1" applyBorder="1" applyAlignment="1">
      <alignment horizontal="center" vertical="center" wrapText="1"/>
    </xf>
    <xf numFmtId="0" fontId="38" fillId="0" borderId="487" xfId="0" applyNumberFormat="1" applyFont="1" applyBorder="1" applyAlignment="1">
      <alignment horizontal="center" vertical="center" wrapText="1"/>
    </xf>
    <xf numFmtId="0" fontId="38" fillId="0" borderId="488" xfId="0" applyNumberFormat="1" applyFont="1" applyBorder="1" applyAlignment="1">
      <alignment horizontal="center" vertical="center" wrapText="1"/>
    </xf>
    <xf numFmtId="0" fontId="38" fillId="0" borderId="489" xfId="0" applyNumberFormat="1" applyFont="1" applyBorder="1" applyAlignment="1">
      <alignment horizontal="center" vertical="center" wrapText="1"/>
    </xf>
    <xf numFmtId="0" fontId="38" fillId="0" borderId="387" xfId="0" applyNumberFormat="1" applyFont="1" applyBorder="1" applyAlignment="1">
      <alignment horizontal="left" vertical="center" wrapText="1"/>
    </xf>
    <xf numFmtId="0" fontId="38" fillId="0" borderId="388" xfId="0" applyNumberFormat="1" applyFont="1" applyBorder="1" applyAlignment="1">
      <alignment horizontal="left" vertical="center" wrapText="1"/>
    </xf>
    <xf numFmtId="0" fontId="38" fillId="0" borderId="389" xfId="0" applyNumberFormat="1" applyFont="1" applyBorder="1" applyAlignment="1">
      <alignment horizontal="left" vertical="center" wrapText="1"/>
    </xf>
    <xf numFmtId="0" fontId="38" fillId="0" borderId="390" xfId="0" applyNumberFormat="1" applyFont="1" applyBorder="1" applyAlignment="1">
      <alignment horizontal="left" vertical="center" wrapText="1"/>
    </xf>
    <xf numFmtId="0" fontId="38" fillId="0" borderId="391" xfId="0" applyNumberFormat="1" applyFont="1" applyBorder="1" applyAlignment="1">
      <alignment horizontal="left" vertical="center" wrapText="1"/>
    </xf>
    <xf numFmtId="0" fontId="38" fillId="0" borderId="392" xfId="0" applyNumberFormat="1" applyFont="1" applyBorder="1" applyAlignment="1">
      <alignment horizontal="left" vertical="center" wrapText="1"/>
    </xf>
    <xf numFmtId="0" fontId="38" fillId="0" borderId="393" xfId="0" applyNumberFormat="1" applyFont="1" applyBorder="1" applyAlignment="1">
      <alignment horizontal="left" vertical="center" wrapText="1"/>
    </xf>
    <xf numFmtId="0" fontId="38" fillId="0" borderId="400" xfId="0" applyNumberFormat="1" applyFont="1" applyBorder="1" applyAlignment="1">
      <alignment horizontal="left" vertical="center" wrapText="1"/>
    </xf>
    <xf numFmtId="0" fontId="38" fillId="0" borderId="401" xfId="0" applyNumberFormat="1" applyFont="1" applyBorder="1" applyAlignment="1">
      <alignment horizontal="left" vertical="center" wrapText="1"/>
    </xf>
    <xf numFmtId="0" fontId="38" fillId="0" borderId="402" xfId="0" applyNumberFormat="1" applyFont="1" applyBorder="1" applyAlignment="1">
      <alignment horizontal="left" vertical="center" wrapText="1"/>
    </xf>
    <xf numFmtId="0" fontId="38" fillId="0" borderId="403" xfId="0" applyNumberFormat="1" applyFont="1" applyBorder="1" applyAlignment="1">
      <alignment horizontal="left" vertical="center" wrapText="1"/>
    </xf>
    <xf numFmtId="0" fontId="38" fillId="0" borderId="404" xfId="0" applyNumberFormat="1" applyFont="1" applyBorder="1" applyAlignment="1">
      <alignment horizontal="left" vertical="center" wrapText="1"/>
    </xf>
    <xf numFmtId="0" fontId="38" fillId="0" borderId="405" xfId="0" applyNumberFormat="1" applyFont="1" applyBorder="1" applyAlignment="1">
      <alignment horizontal="left" vertical="center" wrapText="1"/>
    </xf>
    <xf numFmtId="0" fontId="38" fillId="0" borderId="406" xfId="0" applyNumberFormat="1" applyFont="1" applyBorder="1" applyAlignment="1">
      <alignment horizontal="left" vertical="center" wrapText="1"/>
    </xf>
    <xf numFmtId="0" fontId="38" fillId="0" borderId="413" xfId="0" applyNumberFormat="1" applyFont="1" applyBorder="1" applyAlignment="1">
      <alignment horizontal="left" vertical="center" wrapText="1"/>
    </xf>
    <xf numFmtId="0" fontId="38" fillId="0" borderId="414" xfId="0" applyNumberFormat="1" applyFont="1" applyBorder="1" applyAlignment="1">
      <alignment horizontal="left" vertical="center" wrapText="1"/>
    </xf>
    <xf numFmtId="0" fontId="38" fillId="0" borderId="415" xfId="0" applyNumberFormat="1" applyFont="1" applyBorder="1" applyAlignment="1">
      <alignment horizontal="left" vertical="center" wrapText="1"/>
    </xf>
    <xf numFmtId="0" fontId="38" fillId="0" borderId="416" xfId="0" applyNumberFormat="1" applyFont="1" applyBorder="1" applyAlignment="1">
      <alignment horizontal="left" vertical="center" wrapText="1"/>
    </xf>
    <xf numFmtId="0" fontId="38" fillId="0" borderId="417" xfId="0" applyNumberFormat="1" applyFont="1" applyBorder="1" applyAlignment="1">
      <alignment horizontal="left" vertical="center" wrapText="1"/>
    </xf>
    <xf numFmtId="0" fontId="38" fillId="0" borderId="418" xfId="0" applyNumberFormat="1" applyFont="1" applyBorder="1" applyAlignment="1">
      <alignment horizontal="left" vertical="center" wrapText="1"/>
    </xf>
    <xf numFmtId="0" fontId="38" fillId="0" borderId="419" xfId="0" applyNumberFormat="1" applyFont="1" applyBorder="1" applyAlignment="1">
      <alignment horizontal="left" vertical="center" wrapText="1"/>
    </xf>
    <xf numFmtId="0" fontId="38" fillId="0" borderId="426" xfId="0" applyNumberFormat="1" applyFont="1" applyBorder="1" applyAlignment="1">
      <alignment horizontal="left" vertical="center" wrapText="1"/>
    </xf>
    <xf numFmtId="0" fontId="38" fillId="0" borderId="427" xfId="0" applyNumberFormat="1" applyFont="1" applyBorder="1" applyAlignment="1">
      <alignment horizontal="left" vertical="center" wrapText="1"/>
    </xf>
    <xf numFmtId="0" fontId="38" fillId="0" borderId="428" xfId="0" applyNumberFormat="1" applyFont="1" applyBorder="1" applyAlignment="1">
      <alignment horizontal="left" vertical="center" wrapText="1"/>
    </xf>
    <xf numFmtId="0" fontId="38" fillId="0" borderId="429" xfId="0" applyNumberFormat="1" applyFont="1" applyBorder="1" applyAlignment="1">
      <alignment horizontal="left" vertical="center" wrapText="1"/>
    </xf>
    <xf numFmtId="0" fontId="38" fillId="0" borderId="430" xfId="0" applyNumberFormat="1" applyFont="1" applyBorder="1" applyAlignment="1">
      <alignment horizontal="left" vertical="center" wrapText="1"/>
    </xf>
    <xf numFmtId="0" fontId="38" fillId="0" borderId="431" xfId="0" applyNumberFormat="1" applyFont="1" applyBorder="1" applyAlignment="1">
      <alignment horizontal="left" vertical="center" wrapText="1"/>
    </xf>
    <xf numFmtId="0" fontId="38" fillId="0" borderId="432" xfId="0" applyNumberFormat="1" applyFont="1" applyBorder="1" applyAlignment="1">
      <alignment horizontal="left" vertical="center" wrapText="1"/>
    </xf>
    <xf numFmtId="0" fontId="38" fillId="0" borderId="434" xfId="0" applyNumberFormat="1" applyFont="1" applyBorder="1" applyAlignment="1">
      <alignment horizontal="center" vertical="center" wrapText="1"/>
    </xf>
    <xf numFmtId="0" fontId="38" fillId="0" borderId="435" xfId="0" applyNumberFormat="1" applyFont="1" applyBorder="1" applyAlignment="1">
      <alignment horizontal="center" vertical="center" wrapText="1"/>
    </xf>
    <xf numFmtId="0" fontId="38" fillId="0" borderId="436" xfId="0" applyNumberFormat="1" applyFont="1" applyBorder="1" applyAlignment="1">
      <alignment horizontal="center" vertical="center" wrapText="1"/>
    </xf>
    <xf numFmtId="0" fontId="38" fillId="0" borderId="437" xfId="0" applyNumberFormat="1" applyFont="1" applyBorder="1" applyAlignment="1">
      <alignment horizontal="center" vertical="center" wrapText="1"/>
    </xf>
    <xf numFmtId="0" fontId="38" fillId="0" borderId="421" xfId="0" applyNumberFormat="1" applyFont="1" applyBorder="1" applyAlignment="1">
      <alignment horizontal="center" vertical="center" wrapText="1"/>
    </xf>
    <xf numFmtId="0" fontId="38" fillId="0" borderId="422" xfId="0" applyNumberFormat="1" applyFont="1" applyBorder="1" applyAlignment="1">
      <alignment horizontal="center" vertical="center" wrapText="1"/>
    </xf>
    <xf numFmtId="0" fontId="38" fillId="0" borderId="423" xfId="0" applyNumberFormat="1" applyFont="1" applyBorder="1" applyAlignment="1">
      <alignment horizontal="center" vertical="center" wrapText="1"/>
    </xf>
    <xf numFmtId="0" fontId="38" fillId="0" borderId="424" xfId="0" applyNumberFormat="1" applyFont="1" applyBorder="1" applyAlignment="1">
      <alignment horizontal="center" vertical="center" wrapText="1"/>
    </xf>
    <xf numFmtId="0" fontId="38" fillId="0" borderId="408" xfId="0" applyNumberFormat="1" applyFont="1" applyBorder="1" applyAlignment="1">
      <alignment horizontal="center" vertical="center" wrapText="1"/>
    </xf>
    <xf numFmtId="0" fontId="38" fillId="0" borderId="409" xfId="0" applyNumberFormat="1" applyFont="1" applyBorder="1" applyAlignment="1">
      <alignment horizontal="center" vertical="center" wrapText="1"/>
    </xf>
    <xf numFmtId="0" fontId="38" fillId="0" borderId="410" xfId="0" applyNumberFormat="1" applyFont="1" applyBorder="1" applyAlignment="1">
      <alignment horizontal="center" vertical="center" wrapText="1"/>
    </xf>
    <xf numFmtId="0" fontId="38" fillId="0" borderId="411" xfId="0" applyNumberFormat="1" applyFont="1" applyBorder="1" applyAlignment="1">
      <alignment horizontal="center" vertical="center" wrapText="1"/>
    </xf>
    <xf numFmtId="2" fontId="38" fillId="0" borderId="433" xfId="0" applyNumberFormat="1" applyFont="1" applyBorder="1" applyAlignment="1">
      <alignment horizontal="center" vertical="center" wrapText="1"/>
    </xf>
    <xf numFmtId="2" fontId="38" fillId="0" borderId="420" xfId="0" applyNumberFormat="1" applyFont="1" applyBorder="1" applyAlignment="1">
      <alignment horizontal="center" vertical="center" wrapText="1"/>
    </xf>
    <xf numFmtId="0" fontId="38" fillId="0" borderId="395" xfId="0" applyNumberFormat="1" applyFont="1" applyBorder="1" applyAlignment="1">
      <alignment horizontal="center" vertical="center" wrapText="1"/>
    </xf>
    <xf numFmtId="0" fontId="38" fillId="0" borderId="396" xfId="0" applyNumberFormat="1" applyFont="1" applyBorder="1" applyAlignment="1">
      <alignment horizontal="center" vertical="center" wrapText="1"/>
    </xf>
    <xf numFmtId="0" fontId="38" fillId="0" borderId="397" xfId="0" applyNumberFormat="1" applyFont="1" applyBorder="1" applyAlignment="1">
      <alignment horizontal="center" vertical="center" wrapText="1"/>
    </xf>
    <xf numFmtId="0" fontId="38" fillId="0" borderId="398" xfId="0" applyNumberFormat="1" applyFont="1" applyBorder="1" applyAlignment="1">
      <alignment horizontal="center" vertical="center" wrapText="1"/>
    </xf>
    <xf numFmtId="2" fontId="38" fillId="0" borderId="407" xfId="0" applyNumberFormat="1" applyFont="1" applyBorder="1" applyAlignment="1">
      <alignment horizontal="center" vertical="center" wrapText="1"/>
    </xf>
    <xf numFmtId="2" fontId="38" fillId="0" borderId="394" xfId="0" applyNumberFormat="1" applyFont="1" applyBorder="1" applyAlignment="1">
      <alignment horizontal="center" vertical="center" wrapText="1"/>
    </xf>
    <xf numFmtId="0" fontId="38" fillId="0" borderId="382" xfId="0" applyNumberFormat="1" applyFont="1" applyBorder="1" applyAlignment="1">
      <alignment horizontal="center" vertical="center" wrapText="1"/>
    </xf>
    <xf numFmtId="0" fontId="38" fillId="0" borderId="383" xfId="0" applyNumberFormat="1" applyFont="1" applyBorder="1" applyAlignment="1">
      <alignment horizontal="center" vertical="center" wrapText="1"/>
    </xf>
    <xf numFmtId="0" fontId="38" fillId="0" borderId="384" xfId="0" applyNumberFormat="1" applyFont="1" applyBorder="1" applyAlignment="1">
      <alignment horizontal="center" vertical="center" wrapText="1"/>
    </xf>
    <xf numFmtId="0" fontId="38" fillId="0" borderId="385" xfId="0" applyNumberFormat="1" applyFont="1" applyBorder="1" applyAlignment="1">
      <alignment horizontal="center" vertical="center" wrapText="1"/>
    </xf>
    <xf numFmtId="0" fontId="38" fillId="0" borderId="369" xfId="0" applyNumberFormat="1" applyFont="1" applyBorder="1" applyAlignment="1">
      <alignment horizontal="center" vertical="center" wrapText="1"/>
    </xf>
    <xf numFmtId="0" fontId="38" fillId="0" borderId="370" xfId="0" applyNumberFormat="1" applyFont="1" applyBorder="1" applyAlignment="1">
      <alignment horizontal="center" vertical="center" wrapText="1"/>
    </xf>
    <xf numFmtId="0" fontId="38" fillId="0" borderId="371" xfId="0" applyNumberFormat="1" applyFont="1" applyBorder="1" applyAlignment="1">
      <alignment horizontal="center" vertical="center" wrapText="1"/>
    </xf>
    <xf numFmtId="0" fontId="38" fillId="0" borderId="372" xfId="0" applyNumberFormat="1" applyFont="1" applyBorder="1" applyAlignment="1">
      <alignment horizontal="center" vertical="center" wrapText="1"/>
    </xf>
    <xf numFmtId="0" fontId="38" fillId="0" borderId="356" xfId="0" applyNumberFormat="1" applyFont="1" applyBorder="1" applyAlignment="1">
      <alignment horizontal="center" vertical="center" wrapText="1"/>
    </xf>
    <xf numFmtId="0" fontId="38" fillId="0" borderId="357" xfId="0" applyNumberFormat="1" applyFont="1" applyBorder="1" applyAlignment="1">
      <alignment horizontal="center" vertical="center" wrapText="1"/>
    </xf>
    <xf numFmtId="0" fontId="38" fillId="0" borderId="358" xfId="0" applyNumberFormat="1" applyFont="1" applyBorder="1" applyAlignment="1">
      <alignment horizontal="center" vertical="center" wrapText="1"/>
    </xf>
    <xf numFmtId="0" fontId="38" fillId="0" borderId="359" xfId="0" applyNumberFormat="1" applyFont="1" applyBorder="1" applyAlignment="1">
      <alignment horizontal="center" vertical="center" wrapText="1"/>
    </xf>
    <xf numFmtId="0" fontId="38" fillId="0" borderId="343" xfId="0" applyNumberFormat="1" applyFont="1" applyBorder="1" applyAlignment="1">
      <alignment horizontal="center" vertical="center" wrapText="1"/>
    </xf>
    <xf numFmtId="0" fontId="38" fillId="0" borderId="344" xfId="0" applyNumberFormat="1" applyFont="1" applyBorder="1" applyAlignment="1">
      <alignment horizontal="center" vertical="center" wrapText="1"/>
    </xf>
    <xf numFmtId="0" fontId="38" fillId="0" borderId="345" xfId="0" applyNumberFormat="1" applyFont="1" applyBorder="1" applyAlignment="1">
      <alignment horizontal="center" vertical="center" wrapText="1"/>
    </xf>
    <xf numFmtId="0" fontId="38" fillId="0" borderId="346" xfId="0" applyNumberFormat="1" applyFont="1" applyBorder="1" applyAlignment="1">
      <alignment horizontal="center" vertical="center" wrapText="1"/>
    </xf>
    <xf numFmtId="2" fontId="38" fillId="0" borderId="381" xfId="0" applyNumberFormat="1" applyFont="1" applyBorder="1" applyAlignment="1">
      <alignment horizontal="center" vertical="center" wrapText="1"/>
    </xf>
    <xf numFmtId="2" fontId="38" fillId="0" borderId="368" xfId="0" applyNumberFormat="1" applyFont="1" applyBorder="1" applyAlignment="1">
      <alignment horizontal="center" vertical="center" wrapText="1"/>
    </xf>
    <xf numFmtId="2" fontId="38" fillId="0" borderId="355" xfId="0" applyNumberFormat="1" applyFont="1" applyBorder="1" applyAlignment="1">
      <alignment horizontal="center" vertical="center" wrapText="1"/>
    </xf>
    <xf numFmtId="2" fontId="38" fillId="0" borderId="342" xfId="0" applyNumberFormat="1" applyFont="1" applyBorder="1" applyAlignment="1">
      <alignment horizontal="center" vertical="center" wrapText="1"/>
    </xf>
    <xf numFmtId="0" fontId="38" fillId="0" borderId="399" xfId="0" applyNumberFormat="1" applyFont="1" applyBorder="1" applyAlignment="1">
      <alignment horizontal="center" vertical="center" wrapText="1"/>
    </xf>
    <xf numFmtId="0" fontId="38" fillId="0" borderId="386" xfId="0" applyNumberFormat="1" applyFont="1" applyBorder="1" applyAlignment="1">
      <alignment horizontal="center" vertical="center" wrapText="1"/>
    </xf>
    <xf numFmtId="0" fontId="38" fillId="0" borderId="373" xfId="0" applyNumberFormat="1" applyFont="1" applyBorder="1" applyAlignment="1">
      <alignment horizontal="center" vertical="center" wrapText="1"/>
    </xf>
    <xf numFmtId="0" fontId="38" fillId="0" borderId="360" xfId="0" applyNumberFormat="1" applyFont="1" applyBorder="1" applyAlignment="1">
      <alignment horizontal="center" vertical="center" wrapText="1"/>
    </xf>
    <xf numFmtId="0" fontId="38" fillId="0" borderId="347" xfId="0" applyNumberFormat="1" applyFont="1" applyBorder="1" applyAlignment="1">
      <alignment horizontal="center" vertical="center" wrapText="1"/>
    </xf>
    <xf numFmtId="0" fontId="38" fillId="0" borderId="334" xfId="0" applyNumberFormat="1" applyFont="1" applyBorder="1" applyAlignment="1">
      <alignment horizontal="center" vertical="center" wrapText="1"/>
    </xf>
    <xf numFmtId="0" fontId="38" fillId="0" borderId="321" xfId="0" applyNumberFormat="1" applyFont="1" applyBorder="1" applyAlignment="1">
      <alignment horizontal="center" vertical="center" wrapText="1"/>
    </xf>
    <xf numFmtId="0" fontId="38" fillId="0" borderId="308" xfId="0" applyNumberFormat="1" applyFont="1" applyBorder="1" applyAlignment="1">
      <alignment horizontal="center" vertical="center" wrapText="1"/>
    </xf>
    <xf numFmtId="0" fontId="38" fillId="0" borderId="295" xfId="0" applyNumberFormat="1" applyFont="1" applyBorder="1" applyAlignment="1">
      <alignment horizontal="center" vertical="center" wrapText="1"/>
    </xf>
    <xf numFmtId="0" fontId="38" fillId="0" borderId="269" xfId="0" applyNumberFormat="1" applyFont="1" applyBorder="1" applyAlignment="1">
      <alignment horizontal="center" vertical="center" wrapText="1"/>
    </xf>
    <xf numFmtId="0" fontId="38" fillId="0" borderId="282" xfId="0" applyNumberFormat="1" applyFont="1" applyBorder="1" applyAlignment="1">
      <alignment horizontal="center" vertical="center" wrapText="1"/>
    </xf>
    <xf numFmtId="0" fontId="38" fillId="0" borderId="244" xfId="0" applyNumberFormat="1" applyFont="1" applyBorder="1" applyAlignment="1">
      <alignment horizontal="center" vertical="center" wrapText="1"/>
    </xf>
    <xf numFmtId="0" fontId="38" fillId="0" borderId="245" xfId="0" applyNumberFormat="1" applyFont="1" applyBorder="1" applyAlignment="1">
      <alignment horizontal="center" vertical="center" wrapText="1"/>
    </xf>
    <xf numFmtId="0" fontId="38" fillId="0" borderId="246" xfId="0" applyNumberFormat="1" applyFont="1" applyBorder="1" applyAlignment="1">
      <alignment horizontal="center" vertical="center" wrapText="1"/>
    </xf>
    <xf numFmtId="0" fontId="38" fillId="0" borderId="247" xfId="0" applyNumberFormat="1" applyFont="1" applyBorder="1" applyAlignment="1">
      <alignment horizontal="center" vertical="center" wrapText="1"/>
    </xf>
    <xf numFmtId="0" fontId="38" fillId="0" borderId="248" xfId="0" applyNumberFormat="1" applyFont="1" applyBorder="1" applyAlignment="1">
      <alignment horizontal="center" vertical="center" wrapText="1"/>
    </xf>
    <xf numFmtId="0" fontId="38" fillId="0" borderId="249" xfId="0" applyNumberFormat="1" applyFont="1" applyBorder="1" applyAlignment="1">
      <alignment horizontal="center" vertical="center" wrapText="1"/>
    </xf>
    <xf numFmtId="0" fontId="38" fillId="0" borderId="250" xfId="0" applyNumberFormat="1" applyFont="1" applyBorder="1" applyAlignment="1">
      <alignment horizontal="center" vertical="center" wrapText="1"/>
    </xf>
    <xf numFmtId="0" fontId="38" fillId="0" borderId="283" xfId="0" applyNumberFormat="1" applyFont="1" applyBorder="1" applyAlignment="1">
      <alignment horizontal="left" vertical="center" wrapText="1"/>
    </xf>
    <xf numFmtId="0" fontId="38" fillId="0" borderId="284" xfId="0" applyNumberFormat="1" applyFont="1" applyBorder="1" applyAlignment="1">
      <alignment horizontal="left" vertical="center" wrapText="1"/>
    </xf>
    <xf numFmtId="0" fontId="38" fillId="0" borderId="285" xfId="0" applyNumberFormat="1" applyFont="1" applyBorder="1" applyAlignment="1">
      <alignment horizontal="left" vertical="center" wrapText="1"/>
    </xf>
    <xf numFmtId="0" fontId="38" fillId="0" borderId="286" xfId="0" applyNumberFormat="1" applyFont="1" applyBorder="1" applyAlignment="1">
      <alignment horizontal="left" vertical="center" wrapText="1"/>
    </xf>
    <xf numFmtId="0" fontId="38" fillId="0" borderId="287" xfId="0" applyNumberFormat="1" applyFont="1" applyBorder="1" applyAlignment="1">
      <alignment horizontal="left" vertical="center" wrapText="1"/>
    </xf>
    <xf numFmtId="0" fontId="38" fillId="0" borderId="288" xfId="0" applyNumberFormat="1" applyFont="1" applyBorder="1" applyAlignment="1">
      <alignment horizontal="left" vertical="center" wrapText="1"/>
    </xf>
    <xf numFmtId="0" fontId="38" fillId="0" borderId="289" xfId="0" applyNumberFormat="1" applyFont="1" applyBorder="1" applyAlignment="1">
      <alignment horizontal="left" vertical="center" wrapText="1"/>
    </xf>
    <xf numFmtId="0" fontId="38" fillId="0" borderId="296" xfId="0" applyNumberFormat="1" applyFont="1" applyBorder="1" applyAlignment="1">
      <alignment horizontal="left" vertical="center" wrapText="1"/>
    </xf>
    <xf numFmtId="0" fontId="38" fillId="0" borderId="297" xfId="0" applyNumberFormat="1" applyFont="1" applyBorder="1" applyAlignment="1">
      <alignment horizontal="left" vertical="center" wrapText="1"/>
    </xf>
    <xf numFmtId="0" fontId="38" fillId="0" borderId="298" xfId="0" applyNumberFormat="1" applyFont="1" applyBorder="1" applyAlignment="1">
      <alignment horizontal="left" vertical="center" wrapText="1"/>
    </xf>
    <xf numFmtId="0" fontId="38" fillId="0" borderId="299" xfId="0" applyNumberFormat="1" applyFont="1" applyBorder="1" applyAlignment="1">
      <alignment horizontal="left" vertical="center" wrapText="1"/>
    </xf>
    <xf numFmtId="0" fontId="38" fillId="0" borderId="300" xfId="0" applyNumberFormat="1" applyFont="1" applyBorder="1" applyAlignment="1">
      <alignment horizontal="left" vertical="center" wrapText="1"/>
    </xf>
    <xf numFmtId="0" fontId="38" fillId="0" borderId="301" xfId="0" applyNumberFormat="1" applyFont="1" applyBorder="1" applyAlignment="1">
      <alignment horizontal="left" vertical="center" wrapText="1"/>
    </xf>
    <xf numFmtId="0" fontId="38" fillId="0" borderId="302" xfId="0" applyNumberFormat="1" applyFont="1" applyBorder="1" applyAlignment="1">
      <alignment horizontal="left" vertical="center" wrapText="1"/>
    </xf>
    <xf numFmtId="0" fontId="38" fillId="0" borderId="309" xfId="0" applyNumberFormat="1" applyFont="1" applyBorder="1" applyAlignment="1">
      <alignment horizontal="left" vertical="center" wrapText="1"/>
    </xf>
    <xf numFmtId="0" fontId="38" fillId="0" borderId="310" xfId="0" applyNumberFormat="1" applyFont="1" applyBorder="1" applyAlignment="1">
      <alignment horizontal="left" vertical="center" wrapText="1"/>
    </xf>
    <xf numFmtId="0" fontId="38" fillId="0" borderId="311" xfId="0" applyNumberFormat="1" applyFont="1" applyBorder="1" applyAlignment="1">
      <alignment horizontal="left" vertical="center" wrapText="1"/>
    </xf>
    <xf numFmtId="0" fontId="38" fillId="0" borderId="312" xfId="0" applyNumberFormat="1" applyFont="1" applyBorder="1" applyAlignment="1">
      <alignment horizontal="left" vertical="center" wrapText="1"/>
    </xf>
    <xf numFmtId="0" fontId="38" fillId="0" borderId="313" xfId="0" applyNumberFormat="1" applyFont="1" applyBorder="1" applyAlignment="1">
      <alignment horizontal="left" vertical="center" wrapText="1"/>
    </xf>
    <xf numFmtId="0" fontId="38" fillId="0" borderId="314" xfId="0" applyNumberFormat="1" applyFont="1" applyBorder="1" applyAlignment="1">
      <alignment horizontal="left" vertical="center" wrapText="1"/>
    </xf>
    <xf numFmtId="0" fontId="38" fillId="0" borderId="315" xfId="0" applyNumberFormat="1" applyFont="1" applyBorder="1" applyAlignment="1">
      <alignment horizontal="left" vertical="center" wrapText="1"/>
    </xf>
    <xf numFmtId="0" fontId="38" fillId="0" borderId="322" xfId="0" applyNumberFormat="1" applyFont="1" applyBorder="1" applyAlignment="1">
      <alignment horizontal="left" vertical="center" wrapText="1"/>
    </xf>
    <xf numFmtId="0" fontId="38" fillId="0" borderId="323" xfId="0" applyNumberFormat="1" applyFont="1" applyBorder="1" applyAlignment="1">
      <alignment horizontal="left" vertical="center" wrapText="1"/>
    </xf>
    <xf numFmtId="0" fontId="38" fillId="0" borderId="324" xfId="0" applyNumberFormat="1" applyFont="1" applyBorder="1" applyAlignment="1">
      <alignment horizontal="left" vertical="center" wrapText="1"/>
    </xf>
    <xf numFmtId="0" fontId="38" fillId="0" borderId="325" xfId="0" applyNumberFormat="1" applyFont="1" applyBorder="1" applyAlignment="1">
      <alignment horizontal="left" vertical="center" wrapText="1"/>
    </xf>
    <xf numFmtId="0" fontId="38" fillId="0" borderId="326" xfId="0" applyNumberFormat="1" applyFont="1" applyBorder="1" applyAlignment="1">
      <alignment horizontal="left" vertical="center" wrapText="1"/>
    </xf>
    <xf numFmtId="0" fontId="38" fillId="0" borderId="327" xfId="0" applyNumberFormat="1" applyFont="1" applyBorder="1" applyAlignment="1">
      <alignment horizontal="left" vertical="center" wrapText="1"/>
    </xf>
    <xf numFmtId="0" fontId="38" fillId="0" borderId="328" xfId="0" applyNumberFormat="1" applyFont="1" applyBorder="1" applyAlignment="1">
      <alignment horizontal="left" vertical="center" wrapText="1"/>
    </xf>
    <xf numFmtId="0" fontId="38" fillId="0" borderId="335" xfId="0" applyNumberFormat="1" applyFont="1" applyBorder="1" applyAlignment="1">
      <alignment horizontal="left" vertical="center" wrapText="1"/>
    </xf>
    <xf numFmtId="0" fontId="38" fillId="0" borderId="336" xfId="0" applyNumberFormat="1" applyFont="1" applyBorder="1" applyAlignment="1">
      <alignment horizontal="left" vertical="center" wrapText="1"/>
    </xf>
    <xf numFmtId="0" fontId="38" fillId="0" borderId="337" xfId="0" applyNumberFormat="1" applyFont="1" applyBorder="1" applyAlignment="1">
      <alignment horizontal="left" vertical="center" wrapText="1"/>
    </xf>
    <xf numFmtId="0" fontId="38" fillId="0" borderId="338" xfId="0" applyNumberFormat="1" applyFont="1" applyBorder="1" applyAlignment="1">
      <alignment horizontal="left" vertical="center" wrapText="1"/>
    </xf>
    <xf numFmtId="0" fontId="38" fillId="0" borderId="339" xfId="0" applyNumberFormat="1" applyFont="1" applyBorder="1" applyAlignment="1">
      <alignment horizontal="left" vertical="center" wrapText="1"/>
    </xf>
    <xf numFmtId="0" fontId="38" fillId="0" borderId="340" xfId="0" applyNumberFormat="1" applyFont="1" applyBorder="1" applyAlignment="1">
      <alignment horizontal="left" vertical="center" wrapText="1"/>
    </xf>
    <xf numFmtId="0" fontId="38" fillId="0" borderId="341" xfId="0" applyNumberFormat="1" applyFont="1" applyBorder="1" applyAlignment="1">
      <alignment horizontal="left" vertical="center" wrapText="1"/>
    </xf>
    <xf numFmtId="0" fontId="38" fillId="0" borderId="348" xfId="0" applyNumberFormat="1" applyFont="1" applyBorder="1" applyAlignment="1">
      <alignment horizontal="left" vertical="center" wrapText="1"/>
    </xf>
    <xf numFmtId="0" fontId="38" fillId="0" borderId="349" xfId="0" applyNumberFormat="1" applyFont="1" applyBorder="1" applyAlignment="1">
      <alignment horizontal="left" vertical="center" wrapText="1"/>
    </xf>
    <xf numFmtId="0" fontId="38" fillId="0" borderId="350" xfId="0" applyNumberFormat="1" applyFont="1" applyBorder="1" applyAlignment="1">
      <alignment horizontal="left" vertical="center" wrapText="1"/>
    </xf>
    <xf numFmtId="0" fontId="38" fillId="0" borderId="351" xfId="0" applyNumberFormat="1" applyFont="1" applyBorder="1" applyAlignment="1">
      <alignment horizontal="left" vertical="center" wrapText="1"/>
    </xf>
    <xf numFmtId="0" fontId="38" fillId="0" borderId="352" xfId="0" applyNumberFormat="1" applyFont="1" applyBorder="1" applyAlignment="1">
      <alignment horizontal="left" vertical="center" wrapText="1"/>
    </xf>
    <xf numFmtId="0" fontId="38" fillId="0" borderId="353" xfId="0" applyNumberFormat="1" applyFont="1" applyBorder="1" applyAlignment="1">
      <alignment horizontal="left" vertical="center" wrapText="1"/>
    </xf>
    <xf numFmtId="0" fontId="38" fillId="0" borderId="354" xfId="0" applyNumberFormat="1" applyFont="1" applyBorder="1" applyAlignment="1">
      <alignment horizontal="left" vertical="center" wrapText="1"/>
    </xf>
    <xf numFmtId="0" fontId="38" fillId="0" borderId="361" xfId="0" applyNumberFormat="1" applyFont="1" applyBorder="1" applyAlignment="1">
      <alignment horizontal="left" vertical="center" wrapText="1"/>
    </xf>
    <xf numFmtId="0" fontId="38" fillId="0" borderId="362" xfId="0" applyNumberFormat="1" applyFont="1" applyBorder="1" applyAlignment="1">
      <alignment horizontal="left" vertical="center" wrapText="1"/>
    </xf>
    <xf numFmtId="0" fontId="38" fillId="0" borderId="363" xfId="0" applyNumberFormat="1" applyFont="1" applyBorder="1" applyAlignment="1">
      <alignment horizontal="left" vertical="center" wrapText="1"/>
    </xf>
    <xf numFmtId="0" fontId="38" fillId="0" borderId="364" xfId="0" applyNumberFormat="1" applyFont="1" applyBorder="1" applyAlignment="1">
      <alignment horizontal="left" vertical="center" wrapText="1"/>
    </xf>
    <xf numFmtId="0" fontId="38" fillId="0" borderId="365" xfId="0" applyNumberFormat="1" applyFont="1" applyBorder="1" applyAlignment="1">
      <alignment horizontal="left" vertical="center" wrapText="1"/>
    </xf>
    <xf numFmtId="0" fontId="38" fillId="0" borderId="366" xfId="0" applyNumberFormat="1" applyFont="1" applyBorder="1" applyAlignment="1">
      <alignment horizontal="left" vertical="center" wrapText="1"/>
    </xf>
    <xf numFmtId="0" fontId="38" fillId="0" borderId="367" xfId="0" applyNumberFormat="1" applyFont="1" applyBorder="1" applyAlignment="1">
      <alignment horizontal="left" vertical="center" wrapText="1"/>
    </xf>
    <xf numFmtId="0" fontId="38" fillId="0" borderId="374" xfId="0" applyNumberFormat="1" applyFont="1" applyBorder="1" applyAlignment="1">
      <alignment horizontal="left" vertical="center" wrapText="1"/>
    </xf>
    <xf numFmtId="0" fontId="38" fillId="0" borderId="375" xfId="0" applyNumberFormat="1" applyFont="1" applyBorder="1" applyAlignment="1">
      <alignment horizontal="left" vertical="center" wrapText="1"/>
    </xf>
    <xf numFmtId="0" fontId="38" fillId="0" borderId="376" xfId="0" applyNumberFormat="1" applyFont="1" applyBorder="1" applyAlignment="1">
      <alignment horizontal="left" vertical="center" wrapText="1"/>
    </xf>
    <xf numFmtId="0" fontId="38" fillId="0" borderId="377" xfId="0" applyNumberFormat="1" applyFont="1" applyBorder="1" applyAlignment="1">
      <alignment horizontal="left" vertical="center" wrapText="1"/>
    </xf>
    <xf numFmtId="0" fontId="38" fillId="0" borderId="378" xfId="0" applyNumberFormat="1" applyFont="1" applyBorder="1" applyAlignment="1">
      <alignment horizontal="left" vertical="center" wrapText="1"/>
    </xf>
    <xf numFmtId="0" fontId="38" fillId="0" borderId="379" xfId="0" applyNumberFormat="1" applyFont="1" applyBorder="1" applyAlignment="1">
      <alignment horizontal="left" vertical="center" wrapText="1"/>
    </xf>
    <xf numFmtId="0" fontId="38" fillId="0" borderId="380" xfId="0" applyNumberFormat="1" applyFont="1" applyBorder="1" applyAlignment="1">
      <alignment horizontal="left" vertical="center" wrapText="1"/>
    </xf>
    <xf numFmtId="0" fontId="38" fillId="0" borderId="257" xfId="0" applyNumberFormat="1" applyFont="1" applyBorder="1" applyAlignment="1">
      <alignment horizontal="left" vertical="center" wrapText="1"/>
    </xf>
    <xf numFmtId="0" fontId="38" fillId="0" borderId="258" xfId="0" applyNumberFormat="1" applyFont="1" applyBorder="1" applyAlignment="1">
      <alignment horizontal="left" vertical="center" wrapText="1"/>
    </xf>
    <xf numFmtId="0" fontId="38" fillId="0" borderId="259" xfId="0" applyNumberFormat="1" applyFont="1" applyBorder="1" applyAlignment="1">
      <alignment horizontal="left" vertical="center" wrapText="1"/>
    </xf>
    <xf numFmtId="0" fontId="38" fillId="0" borderId="260" xfId="0" applyNumberFormat="1" applyFont="1" applyBorder="1" applyAlignment="1">
      <alignment horizontal="left" vertical="center" wrapText="1"/>
    </xf>
    <xf numFmtId="0" fontId="38" fillId="0" borderId="261" xfId="0" applyNumberFormat="1" applyFont="1" applyBorder="1" applyAlignment="1">
      <alignment horizontal="left" vertical="center" wrapText="1"/>
    </xf>
    <xf numFmtId="0" fontId="38" fillId="0" borderId="262" xfId="0" applyNumberFormat="1" applyFont="1" applyBorder="1" applyAlignment="1">
      <alignment horizontal="left" vertical="center" wrapText="1"/>
    </xf>
    <xf numFmtId="0" fontId="38" fillId="0" borderId="263" xfId="0" applyNumberFormat="1" applyFont="1" applyBorder="1" applyAlignment="1">
      <alignment horizontal="left" vertical="center" wrapText="1"/>
    </xf>
    <xf numFmtId="0" fontId="38" fillId="0" borderId="270" xfId="0" applyNumberFormat="1" applyFont="1" applyBorder="1" applyAlignment="1">
      <alignment horizontal="left" vertical="center" wrapText="1"/>
    </xf>
    <xf numFmtId="0" fontId="38" fillId="0" borderId="271" xfId="0" applyNumberFormat="1" applyFont="1" applyBorder="1" applyAlignment="1">
      <alignment horizontal="left" vertical="center" wrapText="1"/>
    </xf>
    <xf numFmtId="0" fontId="38" fillId="0" borderId="272" xfId="0" applyNumberFormat="1" applyFont="1" applyBorder="1" applyAlignment="1">
      <alignment horizontal="left" vertical="center" wrapText="1"/>
    </xf>
    <xf numFmtId="0" fontId="38" fillId="0" borderId="273" xfId="0" applyNumberFormat="1" applyFont="1" applyBorder="1" applyAlignment="1">
      <alignment horizontal="left" vertical="center" wrapText="1"/>
    </xf>
    <xf numFmtId="0" fontId="38" fillId="0" borderId="274" xfId="0" applyNumberFormat="1" applyFont="1" applyBorder="1" applyAlignment="1">
      <alignment horizontal="left" vertical="center" wrapText="1"/>
    </xf>
    <xf numFmtId="0" fontId="38" fillId="0" borderId="275" xfId="0" applyNumberFormat="1" applyFont="1" applyBorder="1" applyAlignment="1">
      <alignment horizontal="left" vertical="center" wrapText="1"/>
    </xf>
    <xf numFmtId="0" fontId="38" fillId="0" borderId="276" xfId="0" applyNumberFormat="1" applyFont="1" applyBorder="1" applyAlignment="1">
      <alignment horizontal="left" vertical="center" wrapText="1"/>
    </xf>
    <xf numFmtId="2" fontId="38" fillId="0" borderId="290" xfId="0" applyNumberFormat="1" applyFont="1" applyBorder="1" applyAlignment="1">
      <alignment horizontal="center" vertical="center" wrapText="1"/>
    </xf>
    <xf numFmtId="2" fontId="38" fillId="0" borderId="303" xfId="0" applyNumberFormat="1" applyFont="1" applyBorder="1" applyAlignment="1">
      <alignment horizontal="center" vertical="center" wrapText="1"/>
    </xf>
    <xf numFmtId="2" fontId="38" fillId="0" borderId="316" xfId="0" applyNumberFormat="1" applyFont="1" applyBorder="1" applyAlignment="1">
      <alignment horizontal="center" vertical="center" wrapText="1"/>
    </xf>
    <xf numFmtId="2" fontId="38" fillId="0" borderId="329" xfId="0" applyNumberFormat="1" applyFont="1" applyBorder="1" applyAlignment="1">
      <alignment horizontal="center" vertical="center" wrapText="1"/>
    </xf>
    <xf numFmtId="0" fontId="38" fillId="0" borderId="291" xfId="0" applyNumberFormat="1" applyFont="1" applyBorder="1" applyAlignment="1">
      <alignment horizontal="center" vertical="center" wrapText="1"/>
    </xf>
    <xf numFmtId="0" fontId="38" fillId="0" borderId="292" xfId="0" applyNumberFormat="1" applyFont="1" applyBorder="1" applyAlignment="1">
      <alignment horizontal="center" vertical="center" wrapText="1"/>
    </xf>
    <xf numFmtId="0" fontId="38" fillId="0" borderId="293" xfId="0" applyNumberFormat="1" applyFont="1" applyBorder="1" applyAlignment="1">
      <alignment horizontal="center" vertical="center" wrapText="1"/>
    </xf>
    <xf numFmtId="0" fontId="38" fillId="0" borderId="294" xfId="0" applyNumberFormat="1" applyFont="1" applyBorder="1" applyAlignment="1">
      <alignment horizontal="center" vertical="center" wrapText="1"/>
    </xf>
    <xf numFmtId="0" fontId="38" fillId="0" borderId="304" xfId="0" applyNumberFormat="1" applyFont="1" applyBorder="1" applyAlignment="1">
      <alignment horizontal="center" vertical="center" wrapText="1"/>
    </xf>
    <xf numFmtId="0" fontId="38" fillId="0" borderId="305" xfId="0" applyNumberFormat="1" applyFont="1" applyBorder="1" applyAlignment="1">
      <alignment horizontal="center" vertical="center" wrapText="1"/>
    </xf>
    <xf numFmtId="0" fontId="38" fillId="0" borderId="306" xfId="0" applyNumberFormat="1" applyFont="1" applyBorder="1" applyAlignment="1">
      <alignment horizontal="center" vertical="center" wrapText="1"/>
    </xf>
    <xf numFmtId="0" fontId="38" fillId="0" borderId="307" xfId="0" applyNumberFormat="1" applyFont="1" applyBorder="1" applyAlignment="1">
      <alignment horizontal="center" vertical="center" wrapText="1"/>
    </xf>
    <xf numFmtId="0" fontId="38" fillId="0" borderId="317" xfId="0" applyNumberFormat="1" applyFont="1" applyBorder="1" applyAlignment="1">
      <alignment horizontal="center" vertical="center" wrapText="1"/>
    </xf>
    <xf numFmtId="0" fontId="38" fillId="0" borderId="318" xfId="0" applyNumberFormat="1" applyFont="1" applyBorder="1" applyAlignment="1">
      <alignment horizontal="center" vertical="center" wrapText="1"/>
    </xf>
    <xf numFmtId="0" fontId="38" fillId="0" borderId="319" xfId="0" applyNumberFormat="1" applyFont="1" applyBorder="1" applyAlignment="1">
      <alignment horizontal="center" vertical="center" wrapText="1"/>
    </xf>
    <xf numFmtId="0" fontId="38" fillId="0" borderId="320" xfId="0" applyNumberFormat="1" applyFont="1" applyBorder="1" applyAlignment="1">
      <alignment horizontal="center" vertical="center" wrapText="1"/>
    </xf>
    <xf numFmtId="0" fontId="38" fillId="0" borderId="330" xfId="0" applyNumberFormat="1" applyFont="1" applyBorder="1" applyAlignment="1">
      <alignment horizontal="center" vertical="center" wrapText="1"/>
    </xf>
    <xf numFmtId="0" fontId="38" fillId="0" borderId="331" xfId="0" applyNumberFormat="1" applyFont="1" applyBorder="1" applyAlignment="1">
      <alignment horizontal="center" vertical="center" wrapText="1"/>
    </xf>
    <xf numFmtId="0" fontId="38" fillId="0" borderId="332" xfId="0" applyNumberFormat="1" applyFont="1" applyBorder="1" applyAlignment="1">
      <alignment horizontal="center" vertical="center" wrapText="1"/>
    </xf>
    <xf numFmtId="0" fontId="38" fillId="0" borderId="333" xfId="0" applyNumberFormat="1" applyFont="1" applyBorder="1" applyAlignment="1">
      <alignment horizontal="center" vertical="center" wrapText="1"/>
    </xf>
    <xf numFmtId="2" fontId="38" fillId="0" borderId="264" xfId="0" applyNumberFormat="1" applyFont="1" applyBorder="1" applyAlignment="1">
      <alignment horizontal="center" vertical="center" wrapText="1"/>
    </xf>
    <xf numFmtId="0" fontId="38" fillId="0" borderId="265" xfId="0" applyNumberFormat="1" applyFont="1" applyBorder="1" applyAlignment="1">
      <alignment horizontal="center" vertical="center" wrapText="1"/>
    </xf>
    <xf numFmtId="0" fontId="38" fillId="0" borderId="266" xfId="0" applyNumberFormat="1" applyFont="1" applyBorder="1" applyAlignment="1">
      <alignment horizontal="center" vertical="center" wrapText="1"/>
    </xf>
    <xf numFmtId="0" fontId="38" fillId="0" borderId="267" xfId="0" applyNumberFormat="1" applyFont="1" applyBorder="1" applyAlignment="1">
      <alignment horizontal="center" vertical="center" wrapText="1"/>
    </xf>
    <xf numFmtId="0" fontId="38" fillId="0" borderId="268" xfId="0" applyNumberFormat="1" applyFont="1" applyBorder="1" applyAlignment="1">
      <alignment horizontal="center" vertical="center" wrapText="1"/>
    </xf>
    <xf numFmtId="2" fontId="38" fillId="0" borderId="277" xfId="0" applyNumberFormat="1" applyFont="1" applyBorder="1" applyAlignment="1">
      <alignment horizontal="center" vertical="center" wrapText="1"/>
    </xf>
    <xf numFmtId="0" fontId="38" fillId="0" borderId="278" xfId="0" applyNumberFormat="1" applyFont="1" applyBorder="1" applyAlignment="1">
      <alignment horizontal="center" vertical="center" wrapText="1"/>
    </xf>
    <xf numFmtId="0" fontId="38" fillId="0" borderId="279" xfId="0" applyNumberFormat="1" applyFont="1" applyBorder="1" applyAlignment="1">
      <alignment horizontal="center" vertical="center" wrapText="1"/>
    </xf>
    <xf numFmtId="0" fontId="38" fillId="0" borderId="280" xfId="0" applyNumberFormat="1" applyFont="1" applyBorder="1" applyAlignment="1">
      <alignment horizontal="center" vertical="center" wrapText="1"/>
    </xf>
    <xf numFmtId="0" fontId="38" fillId="0" borderId="281" xfId="0" applyNumberFormat="1" applyFont="1" applyBorder="1" applyAlignment="1">
      <alignment horizontal="center" vertical="center" wrapText="1"/>
    </xf>
    <xf numFmtId="0" fontId="27" fillId="0" borderId="227" xfId="0" applyNumberFormat="1" applyFont="1" applyBorder="1" applyAlignment="1">
      <alignment horizontal="center" vertical="top"/>
    </xf>
    <xf numFmtId="0" fontId="27" fillId="0" borderId="228" xfId="0" applyNumberFormat="1" applyFont="1" applyBorder="1" applyAlignment="1">
      <alignment horizontal="center" vertical="top"/>
    </xf>
    <xf numFmtId="0" fontId="27" fillId="0" borderId="229" xfId="0" applyNumberFormat="1" applyFont="1" applyBorder="1" applyAlignment="1">
      <alignment horizontal="center" vertical="top"/>
    </xf>
    <xf numFmtId="0" fontId="27" fillId="0" borderId="230" xfId="0" applyNumberFormat="1" applyFont="1" applyBorder="1" applyAlignment="1">
      <alignment horizontal="center" vertical="top"/>
    </xf>
    <xf numFmtId="0" fontId="27" fillId="0" borderId="231" xfId="0" applyNumberFormat="1" applyFont="1" applyBorder="1" applyAlignment="1">
      <alignment horizontal="center" vertical="top"/>
    </xf>
    <xf numFmtId="0" fontId="27" fillId="0" borderId="232" xfId="0" applyNumberFormat="1" applyFont="1" applyBorder="1" applyAlignment="1">
      <alignment horizontal="center" vertical="top"/>
    </xf>
    <xf numFmtId="0" fontId="27" fillId="0" borderId="233" xfId="0" applyNumberFormat="1" applyFont="1" applyBorder="1" applyAlignment="1">
      <alignment horizontal="center" vertical="top"/>
    </xf>
    <xf numFmtId="0" fontId="27" fillId="0" borderId="234" xfId="0" applyNumberFormat="1" applyFont="1" applyBorder="1" applyAlignment="1">
      <alignment horizontal="center" vertical="top"/>
    </xf>
    <xf numFmtId="0" fontId="27" fillId="0" borderId="235" xfId="0" applyNumberFormat="1" applyFont="1" applyBorder="1" applyAlignment="1">
      <alignment horizontal="center" vertical="top"/>
    </xf>
    <xf numFmtId="0" fontId="27" fillId="0" borderId="236" xfId="0" applyNumberFormat="1" applyFont="1" applyBorder="1" applyAlignment="1">
      <alignment horizontal="center" vertical="top"/>
    </xf>
    <xf numFmtId="0" fontId="27" fillId="0" borderId="237" xfId="0" applyNumberFormat="1" applyFont="1" applyBorder="1" applyAlignment="1">
      <alignment horizontal="center" vertical="top"/>
    </xf>
    <xf numFmtId="0" fontId="27" fillId="0" borderId="238" xfId="0" applyNumberFormat="1" applyFont="1" applyBorder="1" applyAlignment="1">
      <alignment horizontal="center" vertical="top"/>
    </xf>
    <xf numFmtId="0" fontId="27" fillId="0" borderId="239" xfId="0" applyNumberFormat="1" applyFont="1" applyBorder="1" applyAlignment="1">
      <alignment horizontal="center" vertical="top"/>
    </xf>
    <xf numFmtId="0" fontId="27" fillId="0" borderId="240" xfId="0" applyNumberFormat="1" applyFont="1" applyBorder="1" applyAlignment="1">
      <alignment horizontal="center" vertical="top"/>
    </xf>
    <xf numFmtId="0" fontId="27" fillId="0" borderId="241" xfId="0" applyNumberFormat="1" applyFont="1" applyBorder="1" applyAlignment="1">
      <alignment horizontal="center" vertical="top"/>
    </xf>
    <xf numFmtId="0" fontId="27" fillId="0" borderId="242" xfId="0" applyNumberFormat="1" applyFont="1" applyBorder="1" applyAlignment="1">
      <alignment horizontal="center" vertical="top"/>
    </xf>
    <xf numFmtId="0" fontId="27" fillId="0" borderId="243" xfId="0" applyNumberFormat="1" applyFont="1" applyBorder="1" applyAlignment="1">
      <alignment horizontal="center" vertical="top"/>
    </xf>
    <xf numFmtId="0" fontId="38" fillId="0" borderId="252" xfId="0" applyNumberFormat="1" applyFont="1" applyBorder="1" applyAlignment="1">
      <alignment horizontal="center" vertical="center" wrapText="1"/>
    </xf>
    <xf numFmtId="0" fontId="38" fillId="0" borderId="253" xfId="0" applyNumberFormat="1" applyFont="1" applyBorder="1" applyAlignment="1">
      <alignment horizontal="center" vertical="center" wrapText="1"/>
    </xf>
    <xf numFmtId="0" fontId="38" fillId="0" borderId="254" xfId="0" applyNumberFormat="1" applyFont="1" applyBorder="1" applyAlignment="1">
      <alignment horizontal="center" vertical="center" wrapText="1"/>
    </xf>
    <xf numFmtId="0" fontId="38" fillId="0" borderId="255" xfId="0" applyNumberFormat="1" applyFont="1" applyBorder="1" applyAlignment="1">
      <alignment horizontal="center" vertical="center" wrapText="1"/>
    </xf>
    <xf numFmtId="0" fontId="38" fillId="0" borderId="256" xfId="0" applyNumberFormat="1" applyFont="1" applyBorder="1" applyAlignment="1">
      <alignment horizontal="center" vertical="center" wrapText="1"/>
    </xf>
    <xf numFmtId="0" fontId="38" fillId="0" borderId="251" xfId="0" applyNumberFormat="1" applyFont="1" applyBorder="1" applyAlignment="1">
      <alignment horizontal="center" vertical="center" wrapText="1"/>
    </xf>
    <xf numFmtId="0" fontId="27" fillId="0" borderId="761" xfId="0" applyNumberFormat="1" applyFont="1" applyBorder="1" applyAlignment="1">
      <alignment horizontal="center" vertical="top"/>
    </xf>
    <xf numFmtId="0" fontId="27" fillId="0" borderId="762" xfId="0" applyNumberFormat="1" applyFont="1" applyBorder="1" applyAlignment="1">
      <alignment horizontal="center" vertical="top"/>
    </xf>
    <xf numFmtId="0" fontId="27" fillId="0" borderId="763" xfId="0" applyNumberFormat="1" applyFont="1" applyBorder="1" applyAlignment="1">
      <alignment horizontal="center" vertical="top"/>
    </xf>
    <xf numFmtId="0" fontId="47" fillId="0" borderId="758" xfId="0" applyNumberFormat="1" applyFont="1" applyBorder="1" applyAlignment="1">
      <alignment horizontal="center"/>
    </xf>
    <xf numFmtId="0" fontId="47" fillId="0" borderId="759" xfId="0" applyNumberFormat="1" applyFont="1" applyBorder="1" applyAlignment="1">
      <alignment horizontal="center"/>
    </xf>
    <xf numFmtId="0" fontId="47" fillId="0" borderId="760" xfId="0" applyNumberFormat="1" applyFont="1" applyBorder="1" applyAlignment="1">
      <alignment horizontal="center"/>
    </xf>
    <xf numFmtId="0" fontId="27" fillId="0" borderId="751" xfId="0" applyNumberFormat="1" applyFont="1" applyBorder="1" applyAlignment="1">
      <alignment horizontal="center" vertical="top"/>
    </xf>
    <xf numFmtId="0" fontId="27" fillId="0" borderId="752" xfId="0" applyNumberFormat="1" applyFont="1" applyBorder="1" applyAlignment="1">
      <alignment horizontal="center" vertical="top"/>
    </xf>
    <xf numFmtId="0" fontId="27" fillId="0" borderId="753" xfId="0" applyNumberFormat="1" applyFont="1" applyBorder="1" applyAlignment="1">
      <alignment horizontal="center" vertical="top"/>
    </xf>
    <xf numFmtId="0" fontId="27" fillId="0" borderId="754" xfId="0" applyNumberFormat="1" applyFont="1" applyBorder="1" applyAlignment="1">
      <alignment horizontal="center" vertical="top"/>
    </xf>
    <xf numFmtId="0" fontId="27" fillId="0" borderId="755" xfId="0" applyNumberFormat="1" applyFont="1" applyBorder="1" applyAlignment="1">
      <alignment horizontal="center" vertical="top"/>
    </xf>
    <xf numFmtId="0" fontId="27" fillId="0" borderId="756" xfId="0" applyNumberFormat="1" applyFont="1" applyBorder="1" applyAlignment="1">
      <alignment horizontal="center" vertical="top"/>
    </xf>
    <xf numFmtId="0" fontId="27" fillId="0" borderId="757" xfId="0" applyNumberFormat="1" applyFont="1" applyBorder="1" applyAlignment="1">
      <alignment horizontal="center" vertical="top"/>
    </xf>
    <xf numFmtId="0" fontId="27" fillId="0" borderId="764" xfId="0" applyNumberFormat="1" applyFont="1" applyBorder="1" applyAlignment="1">
      <alignment horizontal="center" vertical="top"/>
    </xf>
    <xf numFmtId="0" fontId="27" fillId="0" borderId="765" xfId="0" applyNumberFormat="1" applyFont="1" applyBorder="1" applyAlignment="1">
      <alignment horizontal="center" vertical="top"/>
    </xf>
    <xf numFmtId="0" fontId="27" fillId="0" borderId="766" xfId="0" applyNumberFormat="1" applyFont="1" applyBorder="1" applyAlignment="1">
      <alignment horizontal="center" vertical="top"/>
    </xf>
    <xf numFmtId="0" fontId="27" fillId="0" borderId="767" xfId="0" applyNumberFormat="1" applyFont="1" applyBorder="1" applyAlignment="1">
      <alignment horizontal="center" vertical="top"/>
    </xf>
    <xf numFmtId="0" fontId="47" fillId="0" borderId="748" xfId="0" applyNumberFormat="1" applyFont="1" applyBorder="1" applyAlignment="1">
      <alignment horizontal="center"/>
    </xf>
    <xf numFmtId="0" fontId="47" fillId="0" borderId="749" xfId="0" applyNumberFormat="1" applyFont="1" applyBorder="1" applyAlignment="1">
      <alignment horizontal="center"/>
    </xf>
    <xf numFmtId="0" fontId="47" fillId="0" borderId="750" xfId="0" applyNumberFormat="1" applyFont="1" applyBorder="1" applyAlignment="1">
      <alignment horizontal="center"/>
    </xf>
    <xf numFmtId="0" fontId="18" fillId="0" borderId="768" xfId="0" applyNumberFormat="1" applyFont="1" applyBorder="1" applyAlignment="1">
      <alignment horizontal="center" vertical="center"/>
    </xf>
    <xf numFmtId="0" fontId="18" fillId="0" borderId="769" xfId="0" applyNumberFormat="1" applyFont="1" applyBorder="1" applyAlignment="1">
      <alignment horizontal="center" vertical="center"/>
    </xf>
    <xf numFmtId="0" fontId="18" fillId="0" borderId="15" xfId="0" applyNumberFormat="1" applyFont="1" applyBorder="1" applyAlignment="1">
      <alignment horizontal="center" vertical="center"/>
    </xf>
    <xf numFmtId="0" fontId="18" fillId="0" borderId="770" xfId="0" applyNumberFormat="1" applyFont="1" applyBorder="1" applyAlignment="1">
      <alignment horizontal="center" vertical="center"/>
    </xf>
    <xf numFmtId="170" fontId="49" fillId="0" borderId="771" xfId="0" applyNumberFormat="1" applyFont="1" applyBorder="1" applyAlignment="1">
      <alignment horizontal="center" vertical="center" wrapText="1"/>
    </xf>
    <xf numFmtId="170" fontId="49" fillId="0" borderId="772" xfId="0" applyNumberFormat="1" applyFont="1" applyBorder="1" applyAlignment="1">
      <alignment horizontal="center" vertical="center" wrapText="1"/>
    </xf>
    <xf numFmtId="0" fontId="18" fillId="0" borderId="773" xfId="0" applyNumberFormat="1" applyFont="1" applyBorder="1" applyAlignment="1">
      <alignment horizontal="center" vertical="center"/>
    </xf>
    <xf numFmtId="0" fontId="18" fillId="0" borderId="776" xfId="0" applyNumberFormat="1" applyFont="1" applyBorder="1" applyAlignment="1">
      <alignment horizontal="center" vertical="center"/>
    </xf>
    <xf numFmtId="0" fontId="18" fillId="0" borderId="777" xfId="0" applyNumberFormat="1" applyFont="1" applyBorder="1" applyAlignment="1">
      <alignment horizontal="center" vertical="center"/>
    </xf>
    <xf numFmtId="170" fontId="49" fillId="0" borderId="778" xfId="0" applyNumberFormat="1" applyFont="1" applyBorder="1" applyAlignment="1">
      <alignment horizontal="center" vertical="center" wrapText="1"/>
    </xf>
    <xf numFmtId="0" fontId="18" fillId="0" borderId="779" xfId="0" applyNumberFormat="1" applyFont="1" applyBorder="1" applyAlignment="1">
      <alignment horizontal="center" vertical="center"/>
    </xf>
    <xf numFmtId="0" fontId="56" fillId="0" borderId="0" xfId="0" applyNumberFormat="1" applyFont="1" applyAlignment="1">
      <alignment horizontal="center"/>
    </xf>
    <xf numFmtId="170" fontId="57" fillId="0" borderId="0" xfId="0" applyNumberFormat="1" applyFont="1" applyAlignment="1">
      <alignment horizontal="center" vertical="center" wrapText="1"/>
    </xf>
    <xf numFmtId="0" fontId="68" fillId="0" borderId="911" xfId="0" applyNumberFormat="1" applyFont="1" applyBorder="1" applyAlignment="1">
      <alignment horizontal="center" vertical="center" wrapText="1"/>
    </xf>
    <xf numFmtId="0" fontId="68" fillId="0" borderId="913" xfId="0" applyNumberFormat="1" applyFont="1" applyBorder="1" applyAlignment="1">
      <alignment horizontal="center" vertical="center" wrapText="1"/>
    </xf>
    <xf numFmtId="0" fontId="71" fillId="0" borderId="912" xfId="0" applyNumberFormat="1" applyFont="1" applyBorder="1" applyAlignment="1">
      <alignment horizontal="center" vertical="center" wrapText="1"/>
    </xf>
    <xf numFmtId="0" fontId="71" fillId="0" borderId="914" xfId="0" applyNumberFormat="1" applyFont="1" applyBorder="1" applyAlignment="1">
      <alignment horizontal="center" vertical="center" wrapText="1"/>
    </xf>
    <xf numFmtId="0" fontId="68" fillId="0" borderId="898" xfId="0" applyNumberFormat="1" applyFont="1" applyBorder="1" applyAlignment="1">
      <alignment horizontal="center" vertical="center" wrapText="1"/>
    </xf>
    <xf numFmtId="0" fontId="68" fillId="0" borderId="905" xfId="0" applyNumberFormat="1" applyFont="1" applyBorder="1" applyAlignment="1">
      <alignment horizontal="center" vertical="center" wrapText="1"/>
    </xf>
    <xf numFmtId="0" fontId="71" fillId="0" borderId="801" xfId="0" applyNumberFormat="1" applyFont="1" applyBorder="1" applyAlignment="1">
      <alignment horizontal="center" vertical="center" wrapText="1"/>
    </xf>
    <xf numFmtId="0" fontId="71" fillId="0" borderId="906" xfId="0" applyNumberFormat="1" applyFont="1" applyBorder="1" applyAlignment="1">
      <alignment horizontal="center" vertical="center" wrapText="1"/>
    </xf>
    <xf numFmtId="0" fontId="68" fillId="0" borderId="789" xfId="0" applyNumberFormat="1" applyFont="1" applyBorder="1" applyAlignment="1">
      <alignment horizontal="center" vertical="center" wrapText="1"/>
    </xf>
    <xf numFmtId="0" fontId="68" fillId="0" borderId="915" xfId="0" applyNumberFormat="1" applyFont="1" applyBorder="1" applyAlignment="1">
      <alignment horizontal="center" vertical="center" wrapText="1"/>
    </xf>
    <xf numFmtId="0" fontId="68" fillId="0" borderId="18" xfId="0" applyNumberFormat="1" applyFont="1" applyBorder="1" applyAlignment="1">
      <alignment horizontal="center" vertical="center" wrapText="1"/>
    </xf>
    <xf numFmtId="0" fontId="68" fillId="0" borderId="907" xfId="0" applyNumberFormat="1" applyFont="1" applyBorder="1" applyAlignment="1">
      <alignment horizontal="center" vertical="center" wrapText="1"/>
    </xf>
    <xf numFmtId="0" fontId="71" fillId="0" borderId="900" xfId="0" applyNumberFormat="1" applyFont="1" applyBorder="1" applyAlignment="1">
      <alignment horizontal="center" vertical="center" wrapText="1"/>
    </xf>
    <xf numFmtId="0" fontId="68" fillId="0" borderId="916" xfId="0" applyNumberFormat="1" applyFont="1" applyBorder="1" applyAlignment="1">
      <alignment horizontal="center" vertical="center" wrapText="1"/>
    </xf>
    <xf numFmtId="0" fontId="68" fillId="0" borderId="908" xfId="0" applyNumberFormat="1" applyFont="1" applyBorder="1" applyAlignment="1">
      <alignment horizontal="center" vertical="center" wrapText="1"/>
    </xf>
    <xf numFmtId="0" fontId="68" fillId="0" borderId="902" xfId="0" applyNumberFormat="1" applyFont="1" applyBorder="1" applyAlignment="1">
      <alignment horizontal="center" vertical="center" wrapText="1"/>
    </xf>
    <xf numFmtId="0" fontId="68" fillId="0" borderId="875" xfId="0" applyNumberFormat="1" applyFont="1" applyBorder="1" applyAlignment="1">
      <alignment horizontal="center" vertical="center" wrapText="1"/>
    </xf>
    <xf numFmtId="0" fontId="68" fillId="0" borderId="782" xfId="0" applyNumberFormat="1" applyFont="1" applyBorder="1" applyAlignment="1">
      <alignment horizontal="center" vertical="center" wrapText="1"/>
    </xf>
    <xf numFmtId="0" fontId="68" fillId="0" borderId="822" xfId="0" applyNumberFormat="1" applyFont="1" applyBorder="1" applyAlignment="1">
      <alignment horizontal="center" vertical="center" wrapText="1"/>
    </xf>
    <xf numFmtId="0" fontId="68" fillId="0" borderId="836" xfId="0" applyNumberFormat="1" applyFont="1" applyBorder="1" applyAlignment="1">
      <alignment horizontal="center" vertical="center" wrapText="1"/>
    </xf>
    <xf numFmtId="0" fontId="68" fillId="0" borderId="850" xfId="0" applyNumberFormat="1" applyFont="1" applyBorder="1" applyAlignment="1">
      <alignment horizontal="center" vertical="center" wrapText="1"/>
    </xf>
    <xf numFmtId="0" fontId="68" fillId="0" borderId="863" xfId="0" applyNumberFormat="1" applyFont="1" applyBorder="1" applyAlignment="1">
      <alignment horizontal="center" vertical="center" wrapText="1"/>
    </xf>
    <xf numFmtId="0" fontId="68" fillId="0" borderId="917" xfId="0" applyNumberFormat="1" applyFont="1" applyBorder="1" applyAlignment="1">
      <alignment horizontal="center" vertical="center" wrapText="1"/>
    </xf>
    <xf numFmtId="0" fontId="68" fillId="0" borderId="903" xfId="0" applyNumberFormat="1" applyFont="1" applyBorder="1" applyAlignment="1">
      <alignment horizontal="center" vertical="center" wrapText="1"/>
    </xf>
    <xf numFmtId="0" fontId="68" fillId="0" borderId="190" xfId="0" applyNumberFormat="1" applyFont="1" applyBorder="1" applyAlignment="1">
      <alignment horizontal="center" vertical="center" wrapText="1"/>
    </xf>
    <xf numFmtId="0" fontId="68" fillId="0" borderId="889" xfId="0" applyNumberFormat="1" applyFont="1" applyBorder="1" applyAlignment="1">
      <alignment horizontal="center" vertical="center" wrapText="1"/>
    </xf>
    <xf numFmtId="0" fontId="68" fillId="0" borderId="810" xfId="0" applyNumberFormat="1" applyFont="1" applyBorder="1" applyAlignment="1">
      <alignment horizontal="center" vertical="center" wrapText="1"/>
    </xf>
    <xf numFmtId="0" fontId="68" fillId="0" borderId="816" xfId="0" applyNumberFormat="1" applyFont="1" applyBorder="1" applyAlignment="1">
      <alignment horizontal="center" vertical="center" wrapText="1"/>
    </xf>
    <xf numFmtId="0" fontId="68" fillId="0" borderId="799" xfId="0" applyNumberFormat="1" applyFont="1" applyBorder="1" applyAlignment="1">
      <alignment horizontal="center" vertical="center" wrapText="1"/>
    </xf>
    <xf numFmtId="0" fontId="68" fillId="0" borderId="909" xfId="0" applyNumberFormat="1" applyFont="1" applyBorder="1" applyAlignment="1">
      <alignment horizontal="center" vertical="center" wrapText="1"/>
    </xf>
    <xf numFmtId="0" fontId="68" fillId="0" borderId="896" xfId="0" applyNumberFormat="1" applyFont="1" applyBorder="1" applyAlignment="1">
      <alignment horizontal="center" vertical="center" wrapText="1"/>
    </xf>
    <xf numFmtId="0" fontId="68" fillId="0" borderId="881" xfId="0" applyNumberFormat="1" applyFont="1" applyBorder="1" applyAlignment="1">
      <alignment horizontal="center" vertical="center" wrapText="1"/>
    </xf>
    <xf numFmtId="0" fontId="68" fillId="0" borderId="869" xfId="0" applyNumberFormat="1" applyFont="1" applyBorder="1" applyAlignment="1">
      <alignment horizontal="center" vertical="center" wrapText="1"/>
    </xf>
    <xf numFmtId="0" fontId="68" fillId="0" borderId="856" xfId="0" applyNumberFormat="1" applyFont="1" applyBorder="1" applyAlignment="1">
      <alignment horizontal="center" vertical="center" wrapText="1"/>
    </xf>
    <xf numFmtId="0" fontId="68" fillId="0" borderId="807" xfId="0" applyNumberFormat="1" applyFont="1" applyBorder="1" applyAlignment="1">
      <alignment horizontal="center" vertical="center" wrapText="1"/>
    </xf>
    <xf numFmtId="0" fontId="68" fillId="0" borderId="843" xfId="0" applyNumberFormat="1" applyFont="1" applyBorder="1" applyAlignment="1">
      <alignment horizontal="center" vertical="center" wrapText="1"/>
    </xf>
    <xf numFmtId="0" fontId="68" fillId="0" borderId="828" xfId="0" applyNumberFormat="1" applyFont="1" applyBorder="1" applyAlignment="1">
      <alignment horizontal="center" vertical="center" wrapText="1"/>
    </xf>
    <xf numFmtId="0" fontId="68" fillId="0" borderId="796" xfId="0" applyNumberFormat="1" applyFont="1" applyBorder="1" applyAlignment="1">
      <alignment horizontal="center" vertical="center" wrapText="1"/>
    </xf>
    <xf numFmtId="0" fontId="68" fillId="0" borderId="804" xfId="0" applyNumberFormat="1" applyFont="1" applyBorder="1" applyAlignment="1">
      <alignment horizontal="center" vertical="center" wrapText="1"/>
    </xf>
    <xf numFmtId="0" fontId="68" fillId="0" borderId="819" xfId="0" applyNumberFormat="1" applyFont="1" applyBorder="1" applyAlignment="1">
      <alignment horizontal="center" vertical="center" wrapText="1"/>
    </xf>
    <xf numFmtId="0" fontId="68" fillId="0" borderId="833" xfId="0" applyNumberFormat="1" applyFont="1" applyBorder="1" applyAlignment="1">
      <alignment horizontal="center" vertical="center" wrapText="1"/>
    </xf>
    <xf numFmtId="0" fontId="71" fillId="0" borderId="845" xfId="0" applyNumberFormat="1" applyFont="1" applyBorder="1" applyAlignment="1">
      <alignment horizontal="center" vertical="center" wrapText="1"/>
    </xf>
    <xf numFmtId="0" fontId="71" fillId="0" borderId="847" xfId="0" applyNumberFormat="1" applyFont="1" applyBorder="1" applyAlignment="1">
      <alignment horizontal="center" vertical="center" wrapText="1"/>
    </xf>
    <xf numFmtId="0" fontId="71" fillId="0" borderId="838" xfId="0" applyNumberFormat="1" applyFont="1" applyBorder="1" applyAlignment="1">
      <alignment horizontal="center" vertical="center" wrapText="1"/>
    </xf>
    <xf numFmtId="0" fontId="71" fillId="0" borderId="866" xfId="0" applyNumberFormat="1" applyFont="1" applyBorder="1" applyAlignment="1">
      <alignment horizontal="center" vertical="center" wrapText="1"/>
    </xf>
    <xf numFmtId="0" fontId="71" fillId="0" borderId="190" xfId="0" applyNumberFormat="1" applyFont="1" applyBorder="1" applyAlignment="1">
      <alignment horizontal="center" vertical="center" wrapText="1"/>
    </xf>
    <xf numFmtId="0" fontId="71" fillId="0" borderId="886" xfId="0" applyNumberFormat="1" applyFont="1" applyBorder="1" applyAlignment="1">
      <alignment horizontal="center" vertical="center" wrapText="1"/>
    </xf>
    <xf numFmtId="0" fontId="71" fillId="0" borderId="858" xfId="0" applyNumberFormat="1" applyFont="1" applyBorder="1" applyAlignment="1">
      <alignment horizontal="center" vertical="center" wrapText="1"/>
    </xf>
    <xf numFmtId="0" fontId="71" fillId="0" borderId="860" xfId="0" applyNumberFormat="1" applyFont="1" applyBorder="1" applyAlignment="1">
      <alignment horizontal="center" vertical="center" wrapText="1"/>
    </xf>
    <xf numFmtId="0" fontId="71" fillId="0" borderId="793" xfId="0" applyNumberFormat="1" applyFont="1" applyBorder="1" applyAlignment="1">
      <alignment horizontal="center" vertical="center" wrapText="1"/>
    </xf>
    <xf numFmtId="0" fontId="71" fillId="0" borderId="893" xfId="0" applyNumberFormat="1" applyFont="1" applyBorder="1" applyAlignment="1">
      <alignment horizontal="center" vertical="center" wrapText="1"/>
    </xf>
    <xf numFmtId="0" fontId="68" fillId="0" borderId="813" xfId="0" applyNumberFormat="1" applyFont="1" applyBorder="1" applyAlignment="1">
      <alignment horizontal="center" vertical="center" wrapText="1"/>
    </xf>
    <xf numFmtId="0" fontId="68" fillId="0" borderId="825" xfId="0" applyNumberFormat="1" applyFont="1" applyBorder="1" applyAlignment="1">
      <alignment horizontal="center" vertical="center" wrapText="1"/>
    </xf>
    <xf numFmtId="0" fontId="71" fillId="0" borderId="840" xfId="0" applyNumberFormat="1" applyFont="1" applyBorder="1" applyAlignment="1">
      <alignment horizontal="center" vertical="center" wrapText="1"/>
    </xf>
    <xf numFmtId="0" fontId="71" fillId="0" borderId="872" xfId="0" applyNumberFormat="1" applyFont="1" applyBorder="1" applyAlignment="1">
      <alignment horizontal="center" vertical="center" wrapText="1"/>
    </xf>
    <xf numFmtId="0" fontId="71" fillId="0" borderId="853" xfId="0" applyNumberFormat="1" applyFont="1" applyBorder="1" applyAlignment="1">
      <alignment horizontal="center" vertical="center" wrapText="1"/>
    </xf>
    <xf numFmtId="0" fontId="71" fillId="0" borderId="878" xfId="0" applyNumberFormat="1" applyFont="1" applyBorder="1" applyAlignment="1">
      <alignment horizontal="center" vertical="center" wrapText="1"/>
    </xf>
    <xf numFmtId="0" fontId="68" fillId="0" borderId="781" xfId="0" applyNumberFormat="1" applyFont="1" applyBorder="1" applyAlignment="1">
      <alignment horizontal="center" vertical="center" wrapText="1"/>
    </xf>
    <xf numFmtId="0" fontId="68" fillId="0" borderId="787" xfId="0" applyNumberFormat="1" applyFont="1" applyBorder="1" applyAlignment="1">
      <alignment horizontal="center" vertical="center" wrapText="1"/>
    </xf>
    <xf numFmtId="0" fontId="68" fillId="0" borderId="797" xfId="0" applyNumberFormat="1" applyFont="1" applyBorder="1" applyAlignment="1">
      <alignment horizontal="center" vertical="center" wrapText="1"/>
    </xf>
    <xf numFmtId="0" fontId="68" fillId="0" borderId="901" xfId="0" applyNumberFormat="1" applyFont="1" applyBorder="1" applyAlignment="1">
      <alignment horizontal="center" vertical="center" wrapText="1"/>
    </xf>
    <xf numFmtId="0" fontId="68" fillId="0" borderId="841" xfId="0" applyNumberFormat="1" applyFont="1" applyBorder="1" applyAlignment="1">
      <alignment horizontal="center" vertical="center" wrapText="1"/>
    </xf>
    <xf numFmtId="0" fontId="68" fillId="0" borderId="814" xfId="0" applyNumberFormat="1" applyFont="1" applyBorder="1" applyAlignment="1">
      <alignment horizontal="center" vertical="center" wrapText="1"/>
    </xf>
    <xf numFmtId="0" fontId="68" fillId="0" borderId="894" xfId="0" applyNumberFormat="1" applyFont="1" applyBorder="1" applyAlignment="1">
      <alignment horizontal="center" vertical="center" wrapText="1"/>
    </xf>
    <xf numFmtId="0" fontId="68" fillId="0" borderId="867" xfId="0" applyNumberFormat="1" applyFont="1" applyBorder="1" applyAlignment="1">
      <alignment horizontal="center" vertical="center" wrapText="1"/>
    </xf>
    <xf numFmtId="0" fontId="68" fillId="0" borderId="848" xfId="0" applyNumberFormat="1" applyFont="1" applyBorder="1" applyAlignment="1">
      <alignment horizontal="center" vertical="center" wrapText="1"/>
    </xf>
    <xf numFmtId="0" fontId="68" fillId="0" borderId="820" xfId="0" applyNumberFormat="1" applyFont="1" applyBorder="1" applyAlignment="1">
      <alignment horizontal="center" vertical="center" wrapText="1"/>
    </xf>
    <xf numFmtId="0" fontId="68" fillId="0" borderId="887" xfId="0" applyNumberFormat="1" applyFont="1" applyBorder="1" applyAlignment="1">
      <alignment horizontal="center" vertical="center" wrapText="1"/>
    </xf>
    <xf numFmtId="0" fontId="68" fillId="0" borderId="891" xfId="0" applyNumberFormat="1" applyFont="1" applyBorder="1" applyAlignment="1">
      <alignment horizontal="center" vertical="center" wrapText="1"/>
    </xf>
    <xf numFmtId="0" fontId="68" fillId="0" borderId="892" xfId="0" applyNumberFormat="1" applyFont="1" applyBorder="1" applyAlignment="1">
      <alignment horizontal="center" vertical="center" wrapText="1"/>
    </xf>
    <xf numFmtId="0" fontId="68" fillId="0" borderId="899" xfId="0" applyNumberFormat="1" applyFont="1" applyBorder="1" applyAlignment="1">
      <alignment horizontal="center" vertical="center" wrapText="1"/>
    </xf>
    <xf numFmtId="0" fontId="68" fillId="0" borderId="793" xfId="0" applyNumberFormat="1" applyFont="1" applyBorder="1" applyAlignment="1">
      <alignment horizontal="center" vertical="center" wrapText="1"/>
    </xf>
    <xf numFmtId="0" fontId="68" fillId="0" borderId="839" xfId="0" applyNumberFormat="1" applyFont="1" applyBorder="1" applyAlignment="1">
      <alignment horizontal="center" vertical="center" wrapText="1"/>
    </xf>
    <xf numFmtId="0" fontId="68" fillId="0" borderId="809" xfId="0" applyNumberFormat="1" applyFont="1" applyBorder="1" applyAlignment="1">
      <alignment horizontal="center" vertical="center" wrapText="1"/>
    </xf>
    <xf numFmtId="0" fontId="68" fillId="0" borderId="812" xfId="0" applyNumberFormat="1" applyFont="1" applyBorder="1" applyAlignment="1">
      <alignment horizontal="center" vertical="center" wrapText="1"/>
    </xf>
    <xf numFmtId="0" fontId="68" fillId="0" borderId="801" xfId="0" applyNumberFormat="1" applyFont="1" applyBorder="1" applyAlignment="1">
      <alignment horizontal="center" vertical="center" wrapText="1"/>
    </xf>
    <xf numFmtId="0" fontId="68" fillId="0" borderId="803" xfId="0" applyNumberFormat="1" applyFont="1" applyBorder="1" applyAlignment="1">
      <alignment horizontal="center" vertical="center" wrapText="1"/>
    </xf>
    <xf numFmtId="0" fontId="68" fillId="0" borderId="795" xfId="0" applyNumberFormat="1" applyFont="1" applyBorder="1" applyAlignment="1">
      <alignment horizontal="center" vertical="center" wrapText="1"/>
    </xf>
    <xf numFmtId="0" fontId="68" fillId="0" borderId="846" xfId="0" applyNumberFormat="1" applyFont="1" applyBorder="1" applyAlignment="1">
      <alignment horizontal="center" vertical="center" wrapText="1"/>
    </xf>
    <xf numFmtId="0" fontId="68" fillId="0" borderId="871" xfId="0" applyNumberFormat="1" applyFont="1" applyBorder="1" applyAlignment="1">
      <alignment horizontal="center" vertical="center" wrapText="1"/>
    </xf>
    <xf numFmtId="0" fontId="68" fillId="0" borderId="865" xfId="0" applyNumberFormat="1" applyFont="1" applyBorder="1" applyAlignment="1">
      <alignment horizontal="center" vertical="center" wrapText="1"/>
    </xf>
    <xf numFmtId="0" fontId="68" fillId="0" borderId="895" xfId="0" applyNumberFormat="1" applyFont="1" applyBorder="1" applyAlignment="1">
      <alignment horizontal="center" vertical="center" wrapText="1"/>
    </xf>
    <xf numFmtId="0" fontId="68" fillId="0" borderId="888" xfId="0" applyNumberFormat="1" applyFont="1" applyBorder="1" applyAlignment="1">
      <alignment horizontal="center" vertical="center" wrapText="1"/>
    </xf>
    <xf numFmtId="0" fontId="68" fillId="0" borderId="880" xfId="0" applyNumberFormat="1" applyFont="1" applyBorder="1" applyAlignment="1">
      <alignment horizontal="center" vertical="center" wrapText="1"/>
    </xf>
    <xf numFmtId="0" fontId="68" fillId="0" borderId="874" xfId="0" applyNumberFormat="1" applyFont="1" applyBorder="1" applyAlignment="1">
      <alignment horizontal="center" vertical="center" wrapText="1"/>
    </xf>
    <xf numFmtId="0" fontId="68" fillId="0" borderId="868" xfId="0" applyNumberFormat="1" applyFont="1" applyBorder="1" applyAlignment="1">
      <alignment horizontal="center" vertical="center" wrapText="1"/>
    </xf>
    <xf numFmtId="0" fontId="68" fillId="0" borderId="862" xfId="0" applyNumberFormat="1" applyFont="1" applyBorder="1" applyAlignment="1">
      <alignment horizontal="center" vertical="center" wrapText="1"/>
    </xf>
    <xf numFmtId="0" fontId="68" fillId="0" borderId="855" xfId="0" applyNumberFormat="1" applyFont="1" applyBorder="1" applyAlignment="1">
      <alignment horizontal="center" vertical="center" wrapText="1"/>
    </xf>
    <xf numFmtId="0" fontId="68" fillId="0" borderId="849" xfId="0" applyNumberFormat="1" applyFont="1" applyBorder="1" applyAlignment="1">
      <alignment horizontal="center" vertical="center" wrapText="1"/>
    </xf>
    <xf numFmtId="0" fontId="68" fillId="0" borderId="842" xfId="0" applyNumberFormat="1" applyFont="1" applyBorder="1" applyAlignment="1">
      <alignment horizontal="center" vertical="center" wrapText="1"/>
    </xf>
    <xf numFmtId="0" fontId="68" fillId="0" borderId="835" xfId="0" applyNumberFormat="1" applyFont="1" applyBorder="1" applyAlignment="1">
      <alignment horizontal="center" vertical="center" wrapText="1"/>
    </xf>
    <xf numFmtId="0" fontId="68" fillId="0" borderId="827" xfId="0" applyNumberFormat="1" applyFont="1" applyBorder="1" applyAlignment="1">
      <alignment horizontal="center" vertical="center" wrapText="1"/>
    </xf>
    <xf numFmtId="0" fontId="68" fillId="0" borderId="821" xfId="0" applyNumberFormat="1" applyFont="1" applyBorder="1" applyAlignment="1">
      <alignment horizontal="center" vertical="center" wrapText="1"/>
    </xf>
    <xf numFmtId="0" fontId="68" fillId="0" borderId="815" xfId="0" applyNumberFormat="1" applyFont="1" applyBorder="1" applyAlignment="1">
      <alignment horizontal="center" vertical="center" wrapText="1"/>
    </xf>
    <xf numFmtId="0" fontId="68" fillId="0" borderId="216" xfId="0" applyNumberFormat="1" applyFont="1" applyBorder="1" applyAlignment="1">
      <alignment horizontal="center" vertical="center" wrapText="1"/>
    </xf>
    <xf numFmtId="0" fontId="68" fillId="0" borderId="806" xfId="0" applyNumberFormat="1" applyFont="1" applyBorder="1" applyAlignment="1">
      <alignment horizontal="center" vertical="center" wrapText="1"/>
    </xf>
    <xf numFmtId="0" fontId="68" fillId="0" borderId="798" xfId="0" applyNumberFormat="1" applyFont="1" applyBorder="1" applyAlignment="1">
      <alignment horizontal="center" vertical="center" wrapText="1"/>
    </xf>
    <xf numFmtId="0" fontId="68" fillId="0" borderId="831" xfId="0" applyNumberFormat="1" applyFont="1" applyBorder="1" applyAlignment="1">
      <alignment horizontal="center" vertical="center" wrapText="1"/>
    </xf>
    <xf numFmtId="0" fontId="68" fillId="0" borderId="918" xfId="0" applyNumberFormat="1" applyFont="1" applyBorder="1" applyAlignment="1">
      <alignment horizontal="center" vertical="center" wrapText="1"/>
    </xf>
    <xf numFmtId="0" fontId="68" fillId="0" borderId="802" xfId="0" applyNumberFormat="1" applyFont="1" applyBorder="1" applyAlignment="1">
      <alignment horizontal="center" vertical="center" wrapText="1"/>
    </xf>
    <xf numFmtId="0" fontId="68" fillId="0" borderId="910" xfId="0" applyNumberFormat="1" applyFont="1" applyBorder="1" applyAlignment="1">
      <alignment horizontal="center" vertical="center" wrapText="1"/>
    </xf>
    <xf numFmtId="0" fontId="68" fillId="0" borderId="904" xfId="0" applyNumberFormat="1" applyFont="1" applyBorder="1" applyAlignment="1">
      <alignment horizontal="center" vertical="center" wrapText="1"/>
    </xf>
    <xf numFmtId="0" fontId="68" fillId="0" borderId="794" xfId="0" applyNumberFormat="1" applyFont="1" applyBorder="1" applyAlignment="1">
      <alignment horizontal="center" vertical="center" wrapText="1"/>
    </xf>
    <xf numFmtId="0" fontId="68" fillId="0" borderId="897" xfId="0" applyNumberFormat="1" applyFont="1" applyBorder="1" applyAlignment="1">
      <alignment horizontal="center" vertical="center" wrapText="1"/>
    </xf>
    <xf numFmtId="0" fontId="68" fillId="0" borderId="884" xfId="0" applyNumberFormat="1" applyFont="1" applyBorder="1" applyAlignment="1">
      <alignment horizontal="center" vertical="center" wrapText="1"/>
    </xf>
    <xf numFmtId="0" fontId="68" fillId="0" borderId="890" xfId="0" applyNumberFormat="1" applyFont="1" applyBorder="1" applyAlignment="1">
      <alignment horizontal="center" vertical="center" wrapText="1"/>
    </xf>
    <xf numFmtId="0" fontId="68" fillId="0" borderId="882" xfId="0" applyNumberFormat="1" applyFont="1" applyBorder="1" applyAlignment="1">
      <alignment horizontal="center" vertical="center" wrapText="1"/>
    </xf>
    <xf numFmtId="0" fontId="68" fillId="0" borderId="876" xfId="0" applyNumberFormat="1" applyFont="1" applyBorder="1" applyAlignment="1">
      <alignment horizontal="center" vertical="center" wrapText="1"/>
    </xf>
    <xf numFmtId="0" fontId="68" fillId="0" borderId="870" xfId="0" applyNumberFormat="1" applyFont="1" applyBorder="1" applyAlignment="1">
      <alignment horizontal="center" vertical="center" wrapText="1"/>
    </xf>
    <xf numFmtId="0" fontId="68" fillId="0" borderId="864" xfId="0" applyNumberFormat="1" applyFont="1" applyBorder="1" applyAlignment="1">
      <alignment horizontal="center" vertical="center" wrapText="1"/>
    </xf>
    <xf numFmtId="0" fontId="68" fillId="0" borderId="857" xfId="0" applyNumberFormat="1" applyFont="1" applyBorder="1" applyAlignment="1">
      <alignment horizontal="center" vertical="center" wrapText="1"/>
    </xf>
    <xf numFmtId="0" fontId="68" fillId="0" borderId="851" xfId="0" applyNumberFormat="1" applyFont="1" applyBorder="1" applyAlignment="1">
      <alignment horizontal="center" vertical="center" wrapText="1"/>
    </xf>
    <xf numFmtId="0" fontId="68" fillId="0" borderId="844" xfId="0" applyNumberFormat="1" applyFont="1" applyBorder="1" applyAlignment="1">
      <alignment horizontal="center" vertical="center" wrapText="1"/>
    </xf>
    <xf numFmtId="0" fontId="68" fillId="0" borderId="837" xfId="0" applyNumberFormat="1" applyFont="1" applyBorder="1" applyAlignment="1">
      <alignment horizontal="center" vertical="center" wrapText="1"/>
    </xf>
    <xf numFmtId="0" fontId="68" fillId="0" borderId="808" xfId="0" applyNumberFormat="1" applyFont="1" applyBorder="1" applyAlignment="1">
      <alignment horizontal="center" vertical="center" wrapText="1"/>
    </xf>
    <xf numFmtId="0" fontId="68" fillId="0" borderId="811" xfId="0" applyNumberFormat="1" applyFont="1" applyBorder="1" applyAlignment="1">
      <alignment horizontal="center" vertical="center" wrapText="1"/>
    </xf>
    <xf numFmtId="0" fontId="68" fillId="0" borderId="817" xfId="0" applyNumberFormat="1" applyFont="1" applyBorder="1" applyAlignment="1">
      <alignment horizontal="center" vertical="center" wrapText="1"/>
    </xf>
    <xf numFmtId="0" fontId="68" fillId="0" borderId="800" xfId="0" applyNumberFormat="1" applyFont="1" applyBorder="1" applyAlignment="1">
      <alignment horizontal="center" vertical="center" wrapText="1"/>
    </xf>
    <xf numFmtId="0" fontId="68" fillId="0" borderId="0" xfId="0" applyNumberFormat="1" applyFont="1" applyAlignment="1">
      <alignment horizontal="right"/>
    </xf>
    <xf numFmtId="0" fontId="68" fillId="0" borderId="785" xfId="0" applyNumberFormat="1" applyFont="1" applyBorder="1" applyAlignment="1">
      <alignment horizontal="center" vertical="center" wrapText="1"/>
    </xf>
    <xf numFmtId="0" fontId="68" fillId="0" borderId="792" xfId="0" applyNumberFormat="1" applyFont="1" applyBorder="1" applyAlignment="1">
      <alignment horizontal="center" vertical="center" wrapText="1"/>
    </xf>
    <xf numFmtId="0" fontId="68" fillId="0" borderId="829" xfId="0" applyNumberFormat="1" applyFont="1" applyBorder="1" applyAlignment="1">
      <alignment horizontal="center" vertical="center" wrapText="1"/>
    </xf>
    <xf numFmtId="0" fontId="68" fillId="0" borderId="823" xfId="0" applyNumberFormat="1" applyFont="1" applyBorder="1" applyAlignment="1">
      <alignment horizontal="center" vertical="center" wrapText="1"/>
    </xf>
    <xf numFmtId="0" fontId="68" fillId="0" borderId="0" xfId="0" applyNumberFormat="1" applyFont="1" applyAlignment="1">
      <alignment horizontal="center" wrapText="1"/>
    </xf>
    <xf numFmtId="0" fontId="68" fillId="0" borderId="783" xfId="0" applyNumberFormat="1" applyFont="1" applyBorder="1" applyAlignment="1">
      <alignment horizontal="center" vertical="center" wrapText="1"/>
    </xf>
    <xf numFmtId="0" fontId="68" fillId="0" borderId="790" xfId="0" applyNumberFormat="1" applyFont="1" applyBorder="1" applyAlignment="1">
      <alignment horizontal="center" vertical="center" wrapText="1"/>
    </xf>
    <xf numFmtId="0" fontId="69" fillId="0" borderId="784" xfId="0" applyNumberFormat="1" applyFont="1" applyBorder="1" applyAlignment="1">
      <alignment horizontal="center" vertical="center" wrapText="1"/>
    </xf>
    <xf numFmtId="0" fontId="69" fillId="0" borderId="791" xfId="0" applyNumberFormat="1" applyFont="1" applyBorder="1" applyAlignment="1">
      <alignment horizontal="center" vertical="center" wrapText="1"/>
    </xf>
    <xf numFmtId="0" fontId="68" fillId="0" borderId="877" xfId="0" applyNumberFormat="1" applyFont="1" applyBorder="1" applyAlignment="1">
      <alignment horizontal="center" vertical="center" wrapText="1"/>
    </xf>
    <xf numFmtId="0" fontId="68" fillId="0" borderId="883" xfId="0" applyNumberFormat="1" applyFont="1" applyBorder="1" applyAlignment="1">
      <alignment horizontal="center" vertical="center" wrapText="1"/>
    </xf>
    <xf numFmtId="0" fontId="68" fillId="0" borderId="885" xfId="0" applyNumberFormat="1" applyFont="1" applyBorder="1" applyAlignment="1">
      <alignment horizontal="center" vertical="center" wrapText="1"/>
    </xf>
    <xf numFmtId="0" fontId="68" fillId="0" borderId="824" xfId="0" applyNumberFormat="1" applyFont="1" applyBorder="1" applyAlignment="1">
      <alignment horizontal="center" vertical="center" wrapText="1"/>
    </xf>
    <xf numFmtId="0" fontId="68" fillId="0" borderId="852" xfId="0" applyNumberFormat="1" applyFont="1" applyBorder="1" applyAlignment="1">
      <alignment horizontal="center" vertical="center" wrapText="1"/>
    </xf>
    <xf numFmtId="0" fontId="68" fillId="0" borderId="830" xfId="0" applyNumberFormat="1" applyFont="1" applyBorder="1" applyAlignment="1">
      <alignment horizontal="center" vertical="center" wrapText="1"/>
    </xf>
    <xf numFmtId="0" fontId="68" fillId="0" borderId="832" xfId="0" applyNumberFormat="1" applyFont="1" applyBorder="1" applyAlignment="1">
      <alignment horizontal="center" vertical="center" wrapText="1"/>
    </xf>
    <xf numFmtId="0" fontId="68" fillId="0" borderId="818" xfId="0" applyNumberFormat="1" applyFont="1" applyBorder="1" applyAlignment="1">
      <alignment horizontal="center" vertical="center" wrapText="1"/>
    </xf>
    <xf numFmtId="0" fontId="68" fillId="0" borderId="859" xfId="0" applyNumberFormat="1" applyFont="1" applyBorder="1" applyAlignment="1">
      <alignment horizontal="center" vertical="center" wrapText="1"/>
    </xf>
    <xf numFmtId="0" fontId="68" fillId="0" borderId="780" xfId="0" applyNumberFormat="1" applyFont="1" applyBorder="1" applyAlignment="1">
      <alignment horizontal="center" vertical="center" wrapText="1"/>
    </xf>
    <xf numFmtId="0" fontId="68" fillId="0" borderId="786" xfId="0" applyNumberFormat="1" applyFont="1" applyBorder="1" applyAlignment="1">
      <alignment horizontal="center" vertical="center" wrapText="1"/>
    </xf>
    <xf numFmtId="0" fontId="68" fillId="0" borderId="805" xfId="0" applyNumberFormat="1" applyFont="1" applyBorder="1" applyAlignment="1">
      <alignment horizontal="center" vertical="center" wrapText="1"/>
    </xf>
    <xf numFmtId="0" fontId="68" fillId="0" borderId="854" xfId="0" applyNumberFormat="1" applyFont="1" applyBorder="1" applyAlignment="1">
      <alignment horizontal="center" vertical="center" wrapText="1"/>
    </xf>
    <xf numFmtId="0" fontId="68" fillId="0" borderId="826" xfId="0" applyNumberFormat="1" applyFont="1" applyBorder="1" applyAlignment="1">
      <alignment horizontal="center" vertical="center" wrapText="1"/>
    </xf>
    <xf numFmtId="0" fontId="68" fillId="0" borderId="873" xfId="0" applyNumberFormat="1" applyFont="1" applyBorder="1" applyAlignment="1">
      <alignment horizontal="center" vertical="center" wrapText="1"/>
    </xf>
    <xf numFmtId="0" fontId="68" fillId="0" borderId="879" xfId="0" applyNumberFormat="1" applyFont="1" applyBorder="1" applyAlignment="1">
      <alignment horizontal="center" vertical="center" wrapText="1"/>
    </xf>
    <xf numFmtId="0" fontId="68" fillId="0" borderId="861" xfId="0" applyNumberFormat="1" applyFont="1" applyBorder="1" applyAlignment="1">
      <alignment horizontal="center" vertical="center" wrapText="1"/>
    </xf>
    <xf numFmtId="0" fontId="68" fillId="0" borderId="834" xfId="0" applyNumberFormat="1" applyFont="1" applyBorder="1" applyAlignment="1">
      <alignment horizontal="center" vertical="center" wrapText="1"/>
    </xf>
    <xf numFmtId="0" fontId="68" fillId="0" borderId="788" xfId="0" applyNumberFormat="1" applyFont="1" applyBorder="1" applyAlignment="1">
      <alignment horizontal="center" vertical="center" wrapText="1"/>
    </xf>
    <xf numFmtId="0" fontId="83" fillId="0" borderId="0" xfId="0" applyNumberFormat="1" applyFont="1" applyAlignment="1">
      <alignment horizontal="center" vertical="center"/>
    </xf>
    <xf numFmtId="170" fontId="21" fillId="7" borderId="992" xfId="0" applyNumberFormat="1" applyFont="1" applyFill="1" applyBorder="1" applyAlignment="1">
      <alignment horizontal="center" vertical="center" wrapText="1"/>
    </xf>
    <xf numFmtId="170" fontId="21" fillId="7" borderId="993" xfId="0" applyNumberFormat="1" applyFont="1" applyFill="1" applyBorder="1" applyAlignment="1">
      <alignment horizontal="center" vertical="center" wrapText="1"/>
    </xf>
    <xf numFmtId="170" fontId="21" fillId="7" borderId="994" xfId="0" applyNumberFormat="1" applyFont="1" applyFill="1" applyBorder="1" applyAlignment="1">
      <alignment horizontal="center" vertical="center" wrapText="1"/>
    </xf>
    <xf numFmtId="170" fontId="21" fillId="7" borderId="995" xfId="0" applyNumberFormat="1" applyFont="1" applyFill="1" applyBorder="1" applyAlignment="1">
      <alignment horizontal="center" vertical="center" wrapText="1"/>
    </xf>
    <xf numFmtId="170" fontId="21" fillId="7" borderId="996" xfId="0" applyNumberFormat="1" applyFont="1" applyFill="1" applyBorder="1" applyAlignment="1">
      <alignment horizontal="center" vertical="center" wrapText="1"/>
    </xf>
    <xf numFmtId="170" fontId="21" fillId="7" borderId="997" xfId="0" applyNumberFormat="1" applyFont="1" applyFill="1" applyBorder="1" applyAlignment="1">
      <alignment horizontal="center" vertical="center" wrapText="1"/>
    </xf>
    <xf numFmtId="170" fontId="14" fillId="7" borderId="941" xfId="0" applyNumberFormat="1" applyFont="1" applyFill="1" applyBorder="1" applyAlignment="1">
      <alignment horizontal="center" vertical="center" wrapText="1"/>
    </xf>
    <xf numFmtId="170" fontId="14" fillId="7" borderId="942" xfId="0" applyNumberFormat="1" applyFont="1" applyFill="1" applyBorder="1" applyAlignment="1">
      <alignment horizontal="center" vertical="center" wrapText="1"/>
    </xf>
    <xf numFmtId="170" fontId="14" fillId="7" borderId="943" xfId="0" applyNumberFormat="1" applyFont="1" applyFill="1" applyBorder="1" applyAlignment="1">
      <alignment horizontal="center" vertical="center" wrapText="1"/>
    </xf>
    <xf numFmtId="170" fontId="14" fillId="7" borderId="944" xfId="0" applyNumberFormat="1" applyFont="1" applyFill="1" applyBorder="1" applyAlignment="1">
      <alignment horizontal="center" vertical="center" wrapText="1"/>
    </xf>
    <xf numFmtId="170" fontId="14" fillId="7" borderId="945" xfId="0" applyNumberFormat="1" applyFont="1" applyFill="1" applyBorder="1" applyAlignment="1">
      <alignment horizontal="center" vertical="center" wrapText="1"/>
    </xf>
    <xf numFmtId="170" fontId="14" fillId="7" borderId="946" xfId="0" applyNumberFormat="1" applyFont="1" applyFill="1" applyBorder="1" applyAlignment="1">
      <alignment horizontal="center" vertical="center" wrapText="1"/>
    </xf>
    <xf numFmtId="170" fontId="14" fillId="7" borderId="947" xfId="0" applyNumberFormat="1" applyFont="1" applyFill="1" applyBorder="1" applyAlignment="1">
      <alignment horizontal="center" vertical="center" wrapText="1"/>
    </xf>
    <xf numFmtId="170" fontId="14" fillId="7" borderId="948" xfId="0" applyNumberFormat="1" applyFont="1" applyFill="1" applyBorder="1" applyAlignment="1">
      <alignment horizontal="center" vertical="center" wrapText="1"/>
    </xf>
    <xf numFmtId="170" fontId="14" fillId="7" borderId="949" xfId="0" applyNumberFormat="1" applyFont="1" applyFill="1" applyBorder="1" applyAlignment="1">
      <alignment horizontal="center" vertical="center" wrapText="1"/>
    </xf>
    <xf numFmtId="170" fontId="14" fillId="7" borderId="950" xfId="0" applyNumberFormat="1" applyFont="1" applyFill="1" applyBorder="1" applyAlignment="1">
      <alignment horizontal="center" vertical="center" wrapText="1"/>
    </xf>
    <xf numFmtId="170" fontId="14" fillId="7" borderId="951" xfId="0" applyNumberFormat="1" applyFont="1" applyFill="1" applyBorder="1" applyAlignment="1">
      <alignment horizontal="center" vertical="center" wrapText="1"/>
    </xf>
    <xf numFmtId="170" fontId="14" fillId="7" borderId="952" xfId="0" applyNumberFormat="1" applyFont="1" applyFill="1" applyBorder="1" applyAlignment="1">
      <alignment horizontal="center" vertical="center" wrapText="1"/>
    </xf>
    <xf numFmtId="170" fontId="14" fillId="7" borderId="953" xfId="0" applyNumberFormat="1" applyFont="1" applyFill="1" applyBorder="1" applyAlignment="1">
      <alignment horizontal="center" vertical="center" wrapText="1"/>
    </xf>
    <xf numFmtId="170" fontId="14" fillId="7" borderId="972" xfId="0" applyNumberFormat="1" applyFont="1" applyFill="1" applyBorder="1" applyAlignment="1">
      <alignment horizontal="center" vertical="center" wrapText="1"/>
    </xf>
    <xf numFmtId="170" fontId="14" fillId="7" borderId="0" xfId="0" applyNumberFormat="1" applyFont="1" applyFill="1" applyAlignment="1">
      <alignment horizontal="center" vertical="center" wrapText="1"/>
    </xf>
    <xf numFmtId="170" fontId="14" fillId="7" borderId="973" xfId="0" applyNumberFormat="1" applyFont="1" applyFill="1" applyBorder="1" applyAlignment="1">
      <alignment horizontal="center" vertical="center" wrapText="1"/>
    </xf>
    <xf numFmtId="170" fontId="14" fillId="7" borderId="990" xfId="0" applyNumberFormat="1" applyFont="1" applyFill="1" applyBorder="1" applyAlignment="1">
      <alignment horizontal="center" vertical="center" wrapText="1"/>
    </xf>
    <xf numFmtId="170" fontId="14" fillId="7" borderId="991" xfId="0" applyNumberFormat="1" applyFont="1" applyFill="1" applyBorder="1" applyAlignment="1">
      <alignment horizontal="center" vertical="center" wrapText="1"/>
    </xf>
    <xf numFmtId="170" fontId="14" fillId="7" borderId="1012" xfId="0" applyNumberFormat="1" applyFont="1" applyFill="1" applyBorder="1" applyAlignment="1">
      <alignment horizontal="center" vertical="center" wrapText="1"/>
    </xf>
    <xf numFmtId="170" fontId="14" fillId="7" borderId="1013" xfId="0" applyNumberFormat="1" applyFont="1" applyFill="1" applyBorder="1" applyAlignment="1">
      <alignment horizontal="center" vertical="center" wrapText="1"/>
    </xf>
    <xf numFmtId="170" fontId="14" fillId="7" borderId="1014" xfId="0" applyNumberFormat="1" applyFont="1" applyFill="1" applyBorder="1" applyAlignment="1">
      <alignment horizontal="center" vertical="center" wrapText="1"/>
    </xf>
    <xf numFmtId="170" fontId="14" fillId="7" borderId="1015" xfId="0" applyNumberFormat="1" applyFont="1" applyFill="1" applyBorder="1" applyAlignment="1">
      <alignment horizontal="center" vertical="center" wrapText="1"/>
    </xf>
    <xf numFmtId="170" fontId="14" fillId="7" borderId="1016" xfId="0" applyNumberFormat="1" applyFont="1" applyFill="1" applyBorder="1" applyAlignment="1">
      <alignment horizontal="center" vertical="center" wrapText="1"/>
    </xf>
    <xf numFmtId="170" fontId="14" fillId="7" borderId="1017" xfId="0" applyNumberFormat="1" applyFont="1" applyFill="1" applyBorder="1" applyAlignment="1">
      <alignment horizontal="center" vertical="center" wrapText="1"/>
    </xf>
    <xf numFmtId="170" fontId="14" fillId="7" borderId="1018" xfId="0" applyNumberFormat="1" applyFont="1" applyFill="1" applyBorder="1" applyAlignment="1">
      <alignment horizontal="center" vertical="center" wrapText="1"/>
    </xf>
    <xf numFmtId="170" fontId="14" fillId="7" borderId="1019" xfId="0" applyNumberFormat="1" applyFont="1" applyFill="1" applyBorder="1" applyAlignment="1">
      <alignment horizontal="center" vertical="center" wrapText="1"/>
    </xf>
    <xf numFmtId="170" fontId="14" fillId="7" borderId="1020" xfId="0" applyNumberFormat="1" applyFont="1" applyFill="1" applyBorder="1" applyAlignment="1">
      <alignment horizontal="center" vertical="center" wrapText="1"/>
    </xf>
    <xf numFmtId="170" fontId="14" fillId="7" borderId="1021" xfId="0" applyNumberFormat="1" applyFont="1" applyFill="1" applyBorder="1" applyAlignment="1">
      <alignment horizontal="center" vertical="center" wrapText="1"/>
    </xf>
    <xf numFmtId="170" fontId="14" fillId="7" borderId="1022" xfId="0" applyNumberFormat="1" applyFont="1" applyFill="1" applyBorder="1" applyAlignment="1">
      <alignment horizontal="center" vertical="center" wrapText="1"/>
    </xf>
    <xf numFmtId="170" fontId="14" fillId="7" borderId="1023" xfId="0" applyNumberFormat="1" applyFont="1" applyFill="1" applyBorder="1" applyAlignment="1">
      <alignment horizontal="center" vertical="center" wrapText="1"/>
    </xf>
    <xf numFmtId="170" fontId="14" fillId="7" borderId="1024" xfId="0" applyNumberFormat="1" applyFont="1" applyFill="1" applyBorder="1" applyAlignment="1">
      <alignment horizontal="center" vertical="center" wrapText="1"/>
    </xf>
    <xf numFmtId="0" fontId="79" fillId="7" borderId="927" xfId="0" applyNumberFormat="1" applyFont="1" applyFill="1" applyBorder="1" applyAlignment="1">
      <alignment horizontal="center" vertical="center"/>
    </xf>
    <xf numFmtId="0" fontId="79" fillId="7" borderId="978" xfId="0" applyNumberFormat="1" applyFont="1" applyFill="1" applyBorder="1" applyAlignment="1">
      <alignment horizontal="center" vertical="center"/>
    </xf>
    <xf numFmtId="0" fontId="79" fillId="7" borderId="979" xfId="0" applyNumberFormat="1" applyFont="1" applyFill="1" applyBorder="1" applyAlignment="1">
      <alignment horizontal="center" vertical="center"/>
    </xf>
    <xf numFmtId="0" fontId="79" fillId="7" borderId="980" xfId="0" applyNumberFormat="1" applyFont="1" applyFill="1" applyBorder="1" applyAlignment="1">
      <alignment horizontal="center" vertical="center"/>
    </xf>
    <xf numFmtId="0" fontId="79" fillId="7" borderId="981" xfId="0" applyNumberFormat="1" applyFont="1" applyFill="1" applyBorder="1" applyAlignment="1">
      <alignment horizontal="center" vertical="center"/>
    </xf>
    <xf numFmtId="0" fontId="79" fillId="7" borderId="998" xfId="0" applyNumberFormat="1" applyFont="1" applyFill="1" applyBorder="1" applyAlignment="1">
      <alignment horizontal="center" vertical="center"/>
    </xf>
    <xf numFmtId="0" fontId="79" fillId="7" borderId="999" xfId="0" applyNumberFormat="1" applyFont="1" applyFill="1" applyBorder="1" applyAlignment="1">
      <alignment horizontal="center" vertical="center"/>
    </xf>
    <xf numFmtId="0" fontId="79" fillId="7" borderId="1000" xfId="0" applyNumberFormat="1" applyFont="1" applyFill="1" applyBorder="1" applyAlignment="1">
      <alignment horizontal="center" vertical="center"/>
    </xf>
    <xf numFmtId="0" fontId="79" fillId="7" borderId="1001" xfId="0" applyNumberFormat="1" applyFont="1" applyFill="1" applyBorder="1" applyAlignment="1">
      <alignment horizontal="center" vertical="center"/>
    </xf>
    <xf numFmtId="0" fontId="79" fillId="7" borderId="1002" xfId="0" applyNumberFormat="1" applyFont="1" applyFill="1" applyBorder="1" applyAlignment="1">
      <alignment horizontal="center" vertical="center"/>
    </xf>
    <xf numFmtId="0" fontId="77" fillId="7" borderId="932" xfId="0" applyNumberFormat="1" applyFont="1" applyFill="1" applyBorder="1" applyAlignment="1">
      <alignment horizontal="center" vertical="center"/>
    </xf>
    <xf numFmtId="0" fontId="77" fillId="7" borderId="982" xfId="0" applyNumberFormat="1" applyFont="1" applyFill="1" applyBorder="1" applyAlignment="1">
      <alignment horizontal="center" vertical="center"/>
    </xf>
    <xf numFmtId="0" fontId="77" fillId="7" borderId="983" xfId="0" applyNumberFormat="1" applyFont="1" applyFill="1" applyBorder="1" applyAlignment="1">
      <alignment horizontal="center" vertical="center"/>
    </xf>
    <xf numFmtId="0" fontId="77" fillId="7" borderId="984" xfId="0" applyNumberFormat="1" applyFont="1" applyFill="1" applyBorder="1" applyAlignment="1">
      <alignment horizontal="center" vertical="center"/>
    </xf>
    <xf numFmtId="0" fontId="77" fillId="7" borderId="985" xfId="0" applyNumberFormat="1" applyFont="1" applyFill="1" applyBorder="1" applyAlignment="1">
      <alignment horizontal="center" vertical="center"/>
    </xf>
    <xf numFmtId="0" fontId="77" fillId="7" borderId="986" xfId="0" applyNumberFormat="1" applyFont="1" applyFill="1" applyBorder="1" applyAlignment="1">
      <alignment horizontal="center" vertical="center"/>
    </xf>
    <xf numFmtId="0" fontId="77" fillId="7" borderId="987" xfId="0" applyNumberFormat="1" applyFont="1" applyFill="1" applyBorder="1" applyAlignment="1">
      <alignment horizontal="center" vertical="center"/>
    </xf>
    <xf numFmtId="0" fontId="77" fillId="7" borderId="988" xfId="0" applyNumberFormat="1" applyFont="1" applyFill="1" applyBorder="1" applyAlignment="1">
      <alignment horizontal="center" vertical="center"/>
    </xf>
    <xf numFmtId="0" fontId="77" fillId="7" borderId="989" xfId="0" applyNumberFormat="1" applyFont="1" applyFill="1" applyBorder="1" applyAlignment="1">
      <alignment horizontal="center" vertical="center"/>
    </xf>
    <xf numFmtId="0" fontId="77" fillId="7" borderId="1003" xfId="0" applyNumberFormat="1" applyFont="1" applyFill="1" applyBorder="1" applyAlignment="1">
      <alignment horizontal="center" vertical="center"/>
    </xf>
    <xf numFmtId="0" fontId="77" fillId="7" borderId="1004" xfId="0" applyNumberFormat="1" applyFont="1" applyFill="1" applyBorder="1" applyAlignment="1">
      <alignment horizontal="center" vertical="center"/>
    </xf>
    <xf numFmtId="0" fontId="77" fillId="7" borderId="1005" xfId="0" applyNumberFormat="1" applyFont="1" applyFill="1" applyBorder="1" applyAlignment="1">
      <alignment horizontal="center" vertical="center"/>
    </xf>
    <xf numFmtId="0" fontId="77" fillId="7" borderId="1006" xfId="0" applyNumberFormat="1" applyFont="1" applyFill="1" applyBorder="1" applyAlignment="1">
      <alignment horizontal="center" vertical="center"/>
    </xf>
    <xf numFmtId="0" fontId="77" fillId="7" borderId="1007" xfId="0" applyNumberFormat="1" applyFont="1" applyFill="1" applyBorder="1" applyAlignment="1">
      <alignment horizontal="center" vertical="center"/>
    </xf>
    <xf numFmtId="0" fontId="77" fillId="7" borderId="1008" xfId="0" applyNumberFormat="1" applyFont="1" applyFill="1" applyBorder="1" applyAlignment="1">
      <alignment horizontal="center" vertical="center"/>
    </xf>
    <xf numFmtId="0" fontId="77" fillId="7" borderId="1009" xfId="0" applyNumberFormat="1" applyFont="1" applyFill="1" applyBorder="1" applyAlignment="1">
      <alignment horizontal="center" vertical="center"/>
    </xf>
    <xf numFmtId="0" fontId="77" fillId="7" borderId="1010" xfId="0" applyNumberFormat="1" applyFont="1" applyFill="1" applyBorder="1" applyAlignment="1">
      <alignment horizontal="center" vertical="center"/>
    </xf>
    <xf numFmtId="0" fontId="77" fillId="7" borderId="1011" xfId="0" applyNumberFormat="1" applyFont="1" applyFill="1" applyBorder="1" applyAlignment="1">
      <alignment horizontal="center" vertical="center"/>
    </xf>
    <xf numFmtId="170" fontId="21" fillId="7" borderId="802" xfId="0" applyNumberFormat="1" applyFont="1" applyFill="1" applyBorder="1" applyAlignment="1">
      <alignment horizontal="center" vertical="center" wrapText="1"/>
    </xf>
    <xf numFmtId="170" fontId="21" fillId="7" borderId="977" xfId="0" applyNumberFormat="1" applyFont="1" applyFill="1" applyBorder="1" applyAlignment="1">
      <alignment horizontal="center" vertical="center" wrapText="1"/>
    </xf>
    <xf numFmtId="170" fontId="21" fillId="7" borderId="18" xfId="0" applyNumberFormat="1" applyFont="1" applyFill="1" applyBorder="1" applyAlignment="1">
      <alignment horizontal="center" vertical="center" wrapText="1"/>
    </xf>
    <xf numFmtId="170" fontId="21" fillId="7" borderId="976" xfId="0" applyNumberFormat="1" applyFont="1" applyFill="1" applyBorder="1" applyAlignment="1">
      <alignment horizontal="center" vertical="center" wrapText="1"/>
    </xf>
    <xf numFmtId="170" fontId="21" fillId="7" borderId="974" xfId="0" applyNumberFormat="1" applyFont="1" applyFill="1" applyBorder="1" applyAlignment="1">
      <alignment horizontal="center" vertical="center" wrapText="1"/>
    </xf>
    <xf numFmtId="170" fontId="21" fillId="7" borderId="975" xfId="0" applyNumberFormat="1" applyFont="1" applyFill="1" applyBorder="1" applyAlignment="1">
      <alignment horizontal="center" vertical="center" wrapText="1"/>
    </xf>
    <xf numFmtId="0" fontId="77" fillId="7" borderId="933" xfId="0" applyNumberFormat="1" applyFont="1" applyFill="1" applyBorder="1" applyAlignment="1">
      <alignment horizontal="center" vertical="center"/>
    </xf>
    <xf numFmtId="0" fontId="77" fillId="7" borderId="934" xfId="0" applyNumberFormat="1" applyFont="1" applyFill="1" applyBorder="1" applyAlignment="1">
      <alignment horizontal="center" vertical="center"/>
    </xf>
    <xf numFmtId="0" fontId="77" fillId="7" borderId="935" xfId="0" applyNumberFormat="1" applyFont="1" applyFill="1" applyBorder="1" applyAlignment="1">
      <alignment horizontal="center" vertical="center"/>
    </xf>
    <xf numFmtId="0" fontId="77" fillId="7" borderId="936" xfId="0" applyNumberFormat="1" applyFont="1" applyFill="1" applyBorder="1" applyAlignment="1">
      <alignment horizontal="center" vertical="center"/>
    </xf>
    <xf numFmtId="0" fontId="77" fillId="7" borderId="937" xfId="0" applyNumberFormat="1" applyFont="1" applyFill="1" applyBorder="1" applyAlignment="1">
      <alignment horizontal="center" vertical="center"/>
    </xf>
    <xf numFmtId="0" fontId="77" fillId="7" borderId="938" xfId="0" applyNumberFormat="1" applyFont="1" applyFill="1" applyBorder="1" applyAlignment="1">
      <alignment horizontal="center" vertical="center"/>
    </xf>
    <xf numFmtId="0" fontId="77" fillId="7" borderId="939" xfId="0" applyNumberFormat="1" applyFont="1" applyFill="1" applyBorder="1" applyAlignment="1">
      <alignment horizontal="center" vertical="center"/>
    </xf>
    <xf numFmtId="0" fontId="77" fillId="7" borderId="940" xfId="0" applyNumberFormat="1" applyFont="1" applyFill="1" applyBorder="1" applyAlignment="1">
      <alignment horizontal="center" vertical="center"/>
    </xf>
    <xf numFmtId="0" fontId="77" fillId="7" borderId="963" xfId="0" applyNumberFormat="1" applyFont="1" applyFill="1" applyBorder="1" applyAlignment="1">
      <alignment horizontal="center" vertical="center"/>
    </xf>
    <xf numFmtId="0" fontId="77" fillId="7" borderId="964" xfId="0" applyNumberFormat="1" applyFont="1" applyFill="1" applyBorder="1" applyAlignment="1">
      <alignment horizontal="center" vertical="center"/>
    </xf>
    <xf numFmtId="0" fontId="77" fillId="7" borderId="965" xfId="0" applyNumberFormat="1" applyFont="1" applyFill="1" applyBorder="1" applyAlignment="1">
      <alignment horizontal="center" vertical="center"/>
    </xf>
    <xf numFmtId="0" fontId="77" fillId="7" borderId="966" xfId="0" applyNumberFormat="1" applyFont="1" applyFill="1" applyBorder="1" applyAlignment="1">
      <alignment horizontal="center" vertical="center"/>
    </xf>
    <xf numFmtId="0" fontId="77" fillId="7" borderId="967" xfId="0" applyNumberFormat="1" applyFont="1" applyFill="1" applyBorder="1" applyAlignment="1">
      <alignment horizontal="center" vertical="center"/>
    </xf>
    <xf numFmtId="0" fontId="77" fillId="7" borderId="968" xfId="0" applyNumberFormat="1" applyFont="1" applyFill="1" applyBorder="1" applyAlignment="1">
      <alignment horizontal="center" vertical="center"/>
    </xf>
    <xf numFmtId="0" fontId="77" fillId="7" borderId="969" xfId="0" applyNumberFormat="1" applyFont="1" applyFill="1" applyBorder="1" applyAlignment="1">
      <alignment horizontal="center" vertical="center"/>
    </xf>
    <xf numFmtId="0" fontId="77" fillId="7" borderId="970" xfId="0" applyNumberFormat="1" applyFont="1" applyFill="1" applyBorder="1" applyAlignment="1">
      <alignment horizontal="center" vertical="center"/>
    </xf>
    <xf numFmtId="0" fontId="77" fillId="7" borderId="971" xfId="0" applyNumberFormat="1" applyFont="1" applyFill="1" applyBorder="1" applyAlignment="1">
      <alignment horizontal="center" vertical="center"/>
    </xf>
    <xf numFmtId="170" fontId="21" fillId="7" borderId="957" xfId="0" applyNumberFormat="1" applyFont="1" applyFill="1" applyBorder="1" applyAlignment="1">
      <alignment horizontal="center" vertical="center" wrapText="1"/>
    </xf>
    <xf numFmtId="170" fontId="21" fillId="7" borderId="956" xfId="0" applyNumberFormat="1" applyFont="1" applyFill="1" applyBorder="1" applyAlignment="1">
      <alignment horizontal="center" vertical="center" wrapText="1"/>
    </xf>
    <xf numFmtId="0" fontId="74" fillId="7" borderId="0" xfId="0" applyNumberFormat="1" applyFont="1" applyFill="1" applyAlignment="1">
      <alignment horizontal="left" vertical="center" wrapText="1"/>
    </xf>
    <xf numFmtId="170" fontId="17" fillId="7" borderId="919" xfId="0" applyNumberFormat="1" applyFont="1" applyFill="1" applyBorder="1" applyAlignment="1">
      <alignment horizontal="center" vertical="center" wrapText="1"/>
    </xf>
    <xf numFmtId="170" fontId="17" fillId="7" borderId="920" xfId="0" applyNumberFormat="1" applyFont="1" applyFill="1" applyBorder="1" applyAlignment="1">
      <alignment horizontal="center" vertical="center" wrapText="1"/>
    </xf>
    <xf numFmtId="170" fontId="17" fillId="7" borderId="921" xfId="0" applyNumberFormat="1" applyFont="1" applyFill="1" applyBorder="1" applyAlignment="1">
      <alignment horizontal="center" vertical="center" wrapText="1"/>
    </xf>
    <xf numFmtId="170" fontId="17" fillId="7" borderId="922" xfId="0" applyNumberFormat="1" applyFont="1" applyFill="1" applyBorder="1" applyAlignment="1">
      <alignment horizontal="center" vertical="center" wrapText="1"/>
    </xf>
    <xf numFmtId="170" fontId="17" fillId="7" borderId="923" xfId="0" applyNumberFormat="1" applyFont="1" applyFill="1" applyBorder="1" applyAlignment="1">
      <alignment horizontal="center" vertical="center" wrapText="1"/>
    </xf>
    <xf numFmtId="170" fontId="17" fillId="7" borderId="924" xfId="0" applyNumberFormat="1" applyFont="1" applyFill="1" applyBorder="1" applyAlignment="1">
      <alignment horizontal="center" vertical="center" wrapText="1"/>
    </xf>
    <xf numFmtId="170" fontId="17" fillId="7" borderId="925" xfId="0" applyNumberFormat="1" applyFont="1" applyFill="1" applyBorder="1" applyAlignment="1">
      <alignment horizontal="center" vertical="center" wrapText="1"/>
    </xf>
    <xf numFmtId="170" fontId="17" fillId="7" borderId="926" xfId="0" applyNumberFormat="1" applyFont="1" applyFill="1" applyBorder="1" applyAlignment="1">
      <alignment horizontal="center" vertical="center" wrapText="1"/>
    </xf>
    <xf numFmtId="0" fontId="79" fillId="7" borderId="928" xfId="0" applyNumberFormat="1" applyFont="1" applyFill="1" applyBorder="1" applyAlignment="1">
      <alignment horizontal="center" vertical="center"/>
    </xf>
    <xf numFmtId="0" fontId="79" fillId="7" borderId="929" xfId="0" applyNumberFormat="1" applyFont="1" applyFill="1" applyBorder="1" applyAlignment="1">
      <alignment horizontal="center" vertical="center"/>
    </xf>
    <xf numFmtId="0" fontId="79" fillId="7" borderId="930" xfId="0" applyNumberFormat="1" applyFont="1" applyFill="1" applyBorder="1" applyAlignment="1">
      <alignment horizontal="center" vertical="center"/>
    </xf>
    <xf numFmtId="0" fontId="79" fillId="7" borderId="931" xfId="0" applyNumberFormat="1" applyFont="1" applyFill="1" applyBorder="1" applyAlignment="1">
      <alignment horizontal="center" vertical="center"/>
    </xf>
    <xf numFmtId="0" fontId="79" fillId="7" borderId="958" xfId="0" applyNumberFormat="1" applyFont="1" applyFill="1" applyBorder="1" applyAlignment="1">
      <alignment horizontal="center" vertical="center"/>
    </xf>
    <xf numFmtId="0" fontId="79" fillId="7" borderId="959" xfId="0" applyNumberFormat="1" applyFont="1" applyFill="1" applyBorder="1" applyAlignment="1">
      <alignment horizontal="center" vertical="center"/>
    </xf>
    <xf numFmtId="0" fontId="79" fillId="7" borderId="960" xfId="0" applyNumberFormat="1" applyFont="1" applyFill="1" applyBorder="1" applyAlignment="1">
      <alignment horizontal="center" vertical="center"/>
    </xf>
    <xf numFmtId="0" fontId="79" fillId="7" borderId="961" xfId="0" applyNumberFormat="1" applyFont="1" applyFill="1" applyBorder="1" applyAlignment="1">
      <alignment horizontal="center" vertical="center"/>
    </xf>
    <xf numFmtId="0" fontId="79" fillId="7" borderId="962" xfId="0" applyNumberFormat="1" applyFont="1" applyFill="1" applyBorder="1" applyAlignment="1">
      <alignment horizontal="center" vertical="center"/>
    </xf>
    <xf numFmtId="170" fontId="21" fillId="7" borderId="954" xfId="0" applyNumberFormat="1" applyFont="1" applyFill="1" applyBorder="1" applyAlignment="1">
      <alignment horizontal="center" vertical="center" wrapText="1"/>
    </xf>
    <xf numFmtId="170" fontId="21" fillId="7" borderId="955" xfId="0" applyNumberFormat="1" applyFont="1" applyFill="1" applyBorder="1" applyAlignment="1">
      <alignment horizontal="center" vertical="center" wrapText="1"/>
    </xf>
    <xf numFmtId="0" fontId="63" fillId="0" borderId="0" xfId="0" applyNumberFormat="1" applyFont="1" applyAlignment="1">
      <alignment horizontal="left" vertical="center" wrapText="1"/>
    </xf>
    <xf numFmtId="170" fontId="85" fillId="0" borderId="1035" xfId="0" applyNumberFormat="1" applyFont="1" applyBorder="1" applyAlignment="1">
      <alignment horizontal="center" vertical="center" wrapText="1"/>
    </xf>
    <xf numFmtId="170" fontId="85" fillId="0" borderId="1055" xfId="0" applyNumberFormat="1" applyFont="1" applyBorder="1" applyAlignment="1">
      <alignment horizontal="center" vertical="center" wrapText="1"/>
    </xf>
    <xf numFmtId="170" fontId="85" fillId="0" borderId="1056" xfId="0" applyNumberFormat="1" applyFont="1" applyBorder="1" applyAlignment="1">
      <alignment horizontal="center" vertical="center" wrapText="1"/>
    </xf>
    <xf numFmtId="170" fontId="85" fillId="0" borderId="1057" xfId="0" applyNumberFormat="1" applyFont="1" applyBorder="1" applyAlignment="1">
      <alignment horizontal="center" vertical="center" wrapText="1"/>
    </xf>
    <xf numFmtId="170" fontId="85" fillId="0" borderId="1058" xfId="0" applyNumberFormat="1" applyFont="1" applyBorder="1" applyAlignment="1">
      <alignment horizontal="center" vertical="center" wrapText="1"/>
    </xf>
    <xf numFmtId="170" fontId="85" fillId="0" borderId="1059" xfId="0" applyNumberFormat="1" applyFont="1" applyBorder="1" applyAlignment="1">
      <alignment horizontal="center" vertical="center" wrapText="1"/>
    </xf>
    <xf numFmtId="170" fontId="85" fillId="0" borderId="1060" xfId="0" applyNumberFormat="1" applyFont="1" applyBorder="1" applyAlignment="1">
      <alignment horizontal="center" vertical="center" wrapText="1"/>
    </xf>
    <xf numFmtId="170" fontId="85" fillId="0" borderId="1061" xfId="0" applyNumberFormat="1" applyFont="1" applyBorder="1" applyAlignment="1">
      <alignment horizontal="center" vertical="center" wrapText="1"/>
    </xf>
    <xf numFmtId="170" fontId="85" fillId="0" borderId="1051" xfId="0" applyNumberFormat="1" applyFont="1" applyBorder="1" applyAlignment="1">
      <alignment horizontal="center" vertical="center" wrapText="1"/>
    </xf>
    <xf numFmtId="170" fontId="85" fillId="0" borderId="1052" xfId="0" applyNumberFormat="1" applyFont="1" applyBorder="1" applyAlignment="1">
      <alignment horizontal="center" vertical="center" wrapText="1"/>
    </xf>
    <xf numFmtId="170" fontId="85" fillId="0" borderId="1053" xfId="0" applyNumberFormat="1" applyFont="1" applyBorder="1" applyAlignment="1">
      <alignment horizontal="center" vertical="center" wrapText="1"/>
    </xf>
    <xf numFmtId="170" fontId="85" fillId="0" borderId="1054" xfId="0" applyNumberFormat="1" applyFont="1" applyBorder="1" applyAlignment="1">
      <alignment horizontal="center" vertical="center" wrapText="1"/>
    </xf>
    <xf numFmtId="0" fontId="13" fillId="0" borderId="1025" xfId="0" applyNumberFormat="1" applyFont="1" applyBorder="1" applyAlignment="1">
      <alignment horizontal="center" vertical="center" textRotation="90"/>
    </xf>
    <xf numFmtId="0" fontId="13" fillId="0" borderId="1070" xfId="0" applyNumberFormat="1" applyFont="1" applyBorder="1" applyAlignment="1">
      <alignment horizontal="center" vertical="center" textRotation="90"/>
    </xf>
    <xf numFmtId="0" fontId="28" fillId="0" borderId="1029" xfId="0" applyNumberFormat="1" applyFont="1" applyBorder="1" applyAlignment="1">
      <alignment horizontal="center" vertical="center" wrapText="1"/>
    </xf>
    <xf numFmtId="0" fontId="28" fillId="0" borderId="1074" xfId="0" applyNumberFormat="1" applyFont="1" applyBorder="1" applyAlignment="1">
      <alignment horizontal="center" vertical="center" wrapText="1"/>
    </xf>
    <xf numFmtId="0" fontId="28" fillId="0" borderId="1026" xfId="0" applyNumberFormat="1" applyFont="1" applyBorder="1" applyAlignment="1">
      <alignment horizontal="center" vertical="center" wrapText="1"/>
    </xf>
    <xf numFmtId="0" fontId="28" fillId="0" borderId="1071" xfId="0" applyNumberFormat="1" applyFont="1" applyBorder="1" applyAlignment="1">
      <alignment horizontal="center" vertical="center" wrapText="1"/>
    </xf>
    <xf numFmtId="0" fontId="27" fillId="0" borderId="1030" xfId="0" applyNumberFormat="1" applyFont="1" applyBorder="1" applyAlignment="1">
      <alignment horizontal="center" vertical="center" wrapText="1"/>
    </xf>
    <xf numFmtId="0" fontId="27" fillId="0" borderId="1075" xfId="0" applyNumberFormat="1" applyFont="1" applyBorder="1" applyAlignment="1">
      <alignment horizontal="center" vertical="center" wrapText="1"/>
    </xf>
    <xf numFmtId="0" fontId="28" fillId="0" borderId="1032" xfId="0" applyNumberFormat="1" applyFont="1" applyBorder="1" applyAlignment="1">
      <alignment horizontal="center" vertical="center"/>
    </xf>
    <xf numFmtId="0" fontId="28" fillId="0" borderId="1077" xfId="0" applyNumberFormat="1" applyFont="1" applyBorder="1" applyAlignment="1">
      <alignment horizontal="center" vertical="center"/>
    </xf>
    <xf numFmtId="0" fontId="28" fillId="0" borderId="1034" xfId="0" applyNumberFormat="1" applyFont="1" applyBorder="1" applyAlignment="1">
      <alignment vertical="center" textRotation="90"/>
    </xf>
    <xf numFmtId="0" fontId="28" fillId="0" borderId="1079" xfId="0" applyNumberFormat="1" applyFont="1" applyBorder="1" applyAlignment="1">
      <alignment vertical="center" textRotation="90"/>
    </xf>
    <xf numFmtId="0" fontId="28" fillId="0" borderId="1031" xfId="0" applyNumberFormat="1" applyFont="1" applyBorder="1" applyAlignment="1">
      <alignment horizontal="center" vertical="center"/>
    </xf>
    <xf numFmtId="0" fontId="28" fillId="0" borderId="1076" xfId="0" applyNumberFormat="1" applyFont="1" applyBorder="1" applyAlignment="1">
      <alignment horizontal="center" vertical="center"/>
    </xf>
    <xf numFmtId="0" fontId="28" fillId="0" borderId="1027" xfId="0" applyNumberFormat="1" applyFont="1" applyBorder="1" applyAlignment="1">
      <alignment horizontal="center" vertical="center"/>
    </xf>
    <xf numFmtId="0" fontId="28" fillId="0" borderId="1028" xfId="0" applyNumberFormat="1" applyFont="1" applyBorder="1" applyAlignment="1">
      <alignment horizontal="center" vertical="center"/>
    </xf>
    <xf numFmtId="0" fontId="28" fillId="0" borderId="1072" xfId="0" applyNumberFormat="1" applyFont="1" applyBorder="1" applyAlignment="1">
      <alignment horizontal="center" vertical="center"/>
    </xf>
    <xf numFmtId="0" fontId="28" fillId="0" borderId="1073" xfId="0" applyNumberFormat="1" applyFont="1" applyBorder="1" applyAlignment="1">
      <alignment horizontal="center" vertical="center"/>
    </xf>
    <xf numFmtId="0" fontId="28" fillId="0" borderId="1033" xfId="0" applyNumberFormat="1" applyFont="1" applyBorder="1" applyAlignment="1">
      <alignment vertical="center" textRotation="90"/>
    </xf>
    <xf numFmtId="0" fontId="28" fillId="0" borderId="1078" xfId="0" applyNumberFormat="1" applyFont="1" applyBorder="1" applyAlignment="1">
      <alignment vertical="center" textRotation="90"/>
    </xf>
    <xf numFmtId="170" fontId="85" fillId="0" borderId="1036" xfId="0" applyNumberFormat="1" applyFont="1" applyBorder="1" applyAlignment="1">
      <alignment horizontal="center" vertical="center" wrapText="1"/>
    </xf>
    <xf numFmtId="170" fontId="85" fillId="0" borderId="1037" xfId="0" applyNumberFormat="1" applyFont="1" applyBorder="1" applyAlignment="1">
      <alignment horizontal="center" vertical="center" wrapText="1"/>
    </xf>
    <xf numFmtId="170" fontId="85" fillId="0" borderId="1038" xfId="0" applyNumberFormat="1" applyFont="1" applyBorder="1" applyAlignment="1">
      <alignment horizontal="center" vertical="center" wrapText="1"/>
    </xf>
    <xf numFmtId="170" fontId="85" fillId="0" borderId="1039" xfId="0" applyNumberFormat="1" applyFont="1" applyBorder="1" applyAlignment="1">
      <alignment horizontal="center" vertical="center" wrapText="1"/>
    </xf>
    <xf numFmtId="170" fontId="85" fillId="0" borderId="1040" xfId="0" applyNumberFormat="1" applyFont="1" applyBorder="1" applyAlignment="1">
      <alignment horizontal="center" vertical="center" wrapText="1"/>
    </xf>
    <xf numFmtId="170" fontId="85" fillId="0" borderId="1041" xfId="0" applyNumberFormat="1" applyFont="1" applyBorder="1" applyAlignment="1">
      <alignment horizontal="center" vertical="center" wrapText="1"/>
    </xf>
    <xf numFmtId="170" fontId="85" fillId="0" borderId="1042" xfId="0" applyNumberFormat="1" applyFont="1" applyBorder="1" applyAlignment="1">
      <alignment horizontal="center" vertical="center" wrapText="1"/>
    </xf>
    <xf numFmtId="170" fontId="85" fillId="0" borderId="1043" xfId="0" applyNumberFormat="1" applyFont="1" applyBorder="1" applyAlignment="1">
      <alignment horizontal="center" vertical="center" wrapText="1"/>
    </xf>
    <xf numFmtId="170" fontId="85" fillId="0" borderId="1044" xfId="0" applyNumberFormat="1" applyFont="1" applyBorder="1" applyAlignment="1">
      <alignment horizontal="center" vertical="center" wrapText="1"/>
    </xf>
    <xf numFmtId="170" fontId="85" fillId="0" borderId="1045" xfId="0" applyNumberFormat="1" applyFont="1" applyBorder="1" applyAlignment="1">
      <alignment horizontal="center" vertical="center" wrapText="1"/>
    </xf>
    <xf numFmtId="170" fontId="85" fillId="0" borderId="1046" xfId="0" applyNumberFormat="1" applyFont="1" applyBorder="1" applyAlignment="1">
      <alignment horizontal="center" vertical="center" wrapText="1"/>
    </xf>
    <xf numFmtId="170" fontId="85" fillId="0" borderId="1047" xfId="0" applyNumberFormat="1" applyFont="1" applyBorder="1" applyAlignment="1">
      <alignment horizontal="center" vertical="center" wrapText="1"/>
    </xf>
    <xf numFmtId="170" fontId="85" fillId="0" borderId="1048" xfId="0" applyNumberFormat="1" applyFont="1" applyBorder="1" applyAlignment="1">
      <alignment horizontal="center" vertical="center" wrapText="1"/>
    </xf>
    <xf numFmtId="170" fontId="85" fillId="0" borderId="1049" xfId="0" applyNumberFormat="1" applyFont="1" applyBorder="1" applyAlignment="1">
      <alignment horizontal="center" vertical="center" wrapText="1"/>
    </xf>
    <xf numFmtId="170" fontId="85" fillId="0" borderId="1050" xfId="0" applyNumberFormat="1" applyFont="1" applyBorder="1" applyAlignment="1">
      <alignment horizontal="center" vertical="center" wrapText="1"/>
    </xf>
    <xf numFmtId="170" fontId="16" fillId="0" borderId="1062" xfId="0" applyNumberFormat="1" applyFont="1" applyBorder="1" applyAlignment="1">
      <alignment horizontal="center" vertical="center" wrapText="1"/>
    </xf>
    <xf numFmtId="170" fontId="16" fillId="0" borderId="1063" xfId="0" applyNumberFormat="1" applyFont="1" applyBorder="1" applyAlignment="1">
      <alignment horizontal="center" vertical="center" wrapText="1"/>
    </xf>
    <xf numFmtId="170" fontId="16" fillId="0" borderId="1064" xfId="0" applyNumberFormat="1" applyFont="1" applyBorder="1" applyAlignment="1">
      <alignment horizontal="center" vertical="center" wrapText="1"/>
    </xf>
    <xf numFmtId="170" fontId="16" fillId="0" borderId="1065" xfId="0" applyNumberFormat="1" applyFont="1" applyBorder="1" applyAlignment="1">
      <alignment horizontal="center" vertical="center" wrapText="1"/>
    </xf>
    <xf numFmtId="170" fontId="16" fillId="0" borderId="1066" xfId="0" applyNumberFormat="1" applyFont="1" applyBorder="1" applyAlignment="1">
      <alignment horizontal="center" vertical="center" wrapText="1"/>
    </xf>
    <xf numFmtId="170" fontId="16" fillId="0" borderId="1067" xfId="0" applyNumberFormat="1" applyFont="1" applyBorder="1" applyAlignment="1">
      <alignment horizontal="center" vertical="center" wrapText="1"/>
    </xf>
    <xf numFmtId="170" fontId="16" fillId="0" borderId="1068" xfId="0" applyNumberFormat="1" applyFont="1" applyBorder="1" applyAlignment="1">
      <alignment horizontal="center" vertical="center" wrapText="1"/>
    </xf>
    <xf numFmtId="170" fontId="16" fillId="0" borderId="1069" xfId="0" applyNumberFormat="1" applyFont="1" applyBorder="1" applyAlignment="1">
      <alignment horizontal="center" vertical="center" wrapText="1"/>
    </xf>
    <xf numFmtId="0" fontId="61" fillId="0" borderId="1118" xfId="0" applyNumberFormat="1" applyFont="1" applyBorder="1" applyAlignment="1">
      <alignment horizontal="left" vertical="center"/>
    </xf>
    <xf numFmtId="0" fontId="61" fillId="0" borderId="1141" xfId="0" applyNumberFormat="1" applyFont="1" applyBorder="1" applyAlignment="1">
      <alignment horizontal="left" vertical="center"/>
    </xf>
    <xf numFmtId="0" fontId="61" fillId="0" borderId="1142" xfId="0" applyNumberFormat="1" applyFont="1" applyBorder="1" applyAlignment="1">
      <alignment horizontal="left" vertical="center"/>
    </xf>
    <xf numFmtId="0" fontId="61" fillId="0" borderId="1143" xfId="0" applyNumberFormat="1" applyFont="1" applyBorder="1" applyAlignment="1">
      <alignment horizontal="left" vertical="center"/>
    </xf>
    <xf numFmtId="0" fontId="61" fillId="0" borderId="1144" xfId="0" applyNumberFormat="1" applyFont="1" applyBorder="1" applyAlignment="1">
      <alignment horizontal="left" vertical="center"/>
    </xf>
    <xf numFmtId="0" fontId="61" fillId="0" borderId="1145" xfId="0" applyNumberFormat="1" applyFont="1" applyBorder="1" applyAlignment="1">
      <alignment horizontal="left" vertical="center"/>
    </xf>
    <xf numFmtId="0" fontId="61" fillId="0" borderId="1146" xfId="0" applyNumberFormat="1" applyFont="1" applyBorder="1" applyAlignment="1">
      <alignment horizontal="left" vertical="center"/>
    </xf>
    <xf numFmtId="0" fontId="61" fillId="0" borderId="1147" xfId="0" applyNumberFormat="1" applyFont="1" applyBorder="1" applyAlignment="1">
      <alignment horizontal="left" vertical="center"/>
    </xf>
    <xf numFmtId="0" fontId="61" fillId="0" borderId="1148" xfId="0" applyNumberFormat="1" applyFont="1" applyBorder="1" applyAlignment="1">
      <alignment horizontal="left" vertical="center"/>
    </xf>
    <xf numFmtId="0" fontId="61" fillId="0" borderId="1149" xfId="0" applyNumberFormat="1" applyFont="1" applyBorder="1" applyAlignment="1">
      <alignment horizontal="left" vertical="center"/>
    </xf>
    <xf numFmtId="0" fontId="61" fillId="0" borderId="1150" xfId="0" applyNumberFormat="1" applyFont="1" applyBorder="1" applyAlignment="1">
      <alignment horizontal="left" vertical="center"/>
    </xf>
    <xf numFmtId="0" fontId="61" fillId="0" borderId="1151" xfId="0" applyNumberFormat="1" applyFont="1" applyBorder="1" applyAlignment="1">
      <alignment horizontal="left" vertical="center"/>
    </xf>
    <xf numFmtId="0" fontId="61" fillId="0" borderId="1152" xfId="0" applyNumberFormat="1" applyFont="1" applyBorder="1" applyAlignment="1">
      <alignment horizontal="left" vertical="center"/>
    </xf>
    <xf numFmtId="0" fontId="61" fillId="0" borderId="1153" xfId="0" applyNumberFormat="1" applyFont="1" applyBorder="1" applyAlignment="1">
      <alignment horizontal="left" vertical="center"/>
    </xf>
    <xf numFmtId="0" fontId="61" fillId="0" borderId="1140" xfId="0" applyNumberFormat="1" applyFont="1" applyBorder="1" applyAlignment="1">
      <alignment horizontal="left" vertical="center"/>
    </xf>
    <xf numFmtId="0" fontId="61" fillId="0" borderId="1139" xfId="0" applyNumberFormat="1" applyFont="1" applyBorder="1" applyAlignment="1">
      <alignment horizontal="left" vertical="center"/>
    </xf>
    <xf numFmtId="0" fontId="61" fillId="0" borderId="1138" xfId="0" applyNumberFormat="1" applyFont="1" applyBorder="1" applyAlignment="1">
      <alignment horizontal="left" vertical="center"/>
    </xf>
    <xf numFmtId="0" fontId="61" fillId="0" borderId="1137" xfId="0" applyNumberFormat="1" applyFont="1" applyBorder="1" applyAlignment="1">
      <alignment horizontal="left" vertical="center"/>
    </xf>
    <xf numFmtId="0" fontId="61" fillId="0" borderId="1136" xfId="0" applyNumberFormat="1" applyFont="1" applyBorder="1" applyAlignment="1">
      <alignment horizontal="left" vertical="center"/>
    </xf>
    <xf numFmtId="0" fontId="61" fillId="0" borderId="1135" xfId="0" applyNumberFormat="1" applyFont="1" applyBorder="1" applyAlignment="1">
      <alignment horizontal="left" vertical="center"/>
    </xf>
    <xf numFmtId="0" fontId="61" fillId="0" borderId="1134" xfId="0" applyNumberFormat="1" applyFont="1" applyBorder="1" applyAlignment="1">
      <alignment horizontal="left" vertical="center"/>
    </xf>
    <xf numFmtId="0" fontId="61" fillId="0" borderId="1133" xfId="0" applyNumberFormat="1" applyFont="1" applyBorder="1" applyAlignment="1">
      <alignment horizontal="left" vertical="center"/>
    </xf>
    <xf numFmtId="0" fontId="61" fillId="0" borderId="1132" xfId="0" applyNumberFormat="1" applyFont="1" applyBorder="1" applyAlignment="1">
      <alignment horizontal="left" vertical="center"/>
    </xf>
    <xf numFmtId="0" fontId="61" fillId="0" borderId="1131" xfId="0" applyNumberFormat="1" applyFont="1" applyBorder="1" applyAlignment="1">
      <alignment horizontal="left" vertical="center"/>
    </xf>
    <xf numFmtId="0" fontId="61" fillId="0" borderId="1154" xfId="0" applyNumberFormat="1" applyFont="1" applyBorder="1" applyAlignment="1">
      <alignment horizontal="left" vertical="center"/>
    </xf>
    <xf numFmtId="0" fontId="61" fillId="0" borderId="1155" xfId="0" applyNumberFormat="1" applyFont="1" applyBorder="1" applyAlignment="1">
      <alignment horizontal="left" vertical="center"/>
    </xf>
    <xf numFmtId="0" fontId="61" fillId="0" borderId="1157" xfId="0" applyNumberFormat="1" applyFont="1" applyBorder="1" applyAlignment="1">
      <alignment horizontal="left" vertical="center"/>
    </xf>
    <xf numFmtId="0" fontId="61" fillId="0" borderId="1158" xfId="0" applyNumberFormat="1" applyFont="1" applyBorder="1" applyAlignment="1">
      <alignment horizontal="left" vertical="center"/>
    </xf>
    <xf numFmtId="0" fontId="61" fillId="0" borderId="1159" xfId="0" applyNumberFormat="1" applyFont="1" applyBorder="1" applyAlignment="1">
      <alignment horizontal="left" vertical="center"/>
    </xf>
    <xf numFmtId="0" fontId="61" fillId="0" borderId="1160" xfId="0" applyNumberFormat="1" applyFont="1" applyBorder="1" applyAlignment="1">
      <alignment horizontal="left" vertical="center"/>
    </xf>
    <xf numFmtId="0" fontId="61" fillId="0" borderId="1161" xfId="0" applyNumberFormat="1" applyFont="1" applyBorder="1" applyAlignment="1">
      <alignment horizontal="left" vertical="center"/>
    </xf>
    <xf numFmtId="0" fontId="61" fillId="0" borderId="1164" xfId="0" applyNumberFormat="1" applyFont="1" applyBorder="1" applyAlignment="1">
      <alignment horizontal="left" vertical="center"/>
    </xf>
    <xf numFmtId="0" fontId="61" fillId="0" borderId="1165" xfId="0" applyNumberFormat="1" applyFont="1" applyBorder="1" applyAlignment="1">
      <alignment horizontal="left" vertical="center"/>
    </xf>
    <xf numFmtId="0" fontId="61" fillId="0" borderId="1166" xfId="0" applyNumberFormat="1" applyFont="1" applyBorder="1" applyAlignment="1">
      <alignment horizontal="left" vertical="center"/>
    </xf>
    <xf numFmtId="0" fontId="61" fillId="0" borderId="1167" xfId="0" applyNumberFormat="1" applyFont="1" applyBorder="1" applyAlignment="1">
      <alignment horizontal="left" vertical="center"/>
    </xf>
    <xf numFmtId="0" fontId="61" fillId="0" borderId="1168" xfId="0" applyNumberFormat="1" applyFont="1" applyBorder="1" applyAlignment="1">
      <alignment horizontal="left" vertical="center"/>
    </xf>
    <xf numFmtId="0" fontId="61" fillId="0" borderId="1156" xfId="0" applyNumberFormat="1" applyFont="1" applyBorder="1" applyAlignment="1">
      <alignment horizontal="left" vertical="center"/>
    </xf>
    <xf numFmtId="0" fontId="61" fillId="0" borderId="1162" xfId="0" applyNumberFormat="1" applyFont="1" applyBorder="1" applyAlignment="1">
      <alignment horizontal="left" vertical="center"/>
    </xf>
    <xf numFmtId="0" fontId="61" fillId="0" borderId="1163" xfId="0" applyNumberFormat="1" applyFont="1" applyBorder="1" applyAlignment="1">
      <alignment horizontal="left" vertical="center"/>
    </xf>
    <xf numFmtId="0" fontId="43" fillId="0" borderId="0" xfId="0" applyNumberFormat="1" applyFont="1" applyAlignment="1">
      <alignment horizontal="left" wrapText="1"/>
    </xf>
    <xf numFmtId="0" fontId="32" fillId="0" borderId="70" xfId="0" applyNumberFormat="1" applyFont="1" applyBorder="1" applyAlignment="1">
      <alignment horizontal="center"/>
    </xf>
    <xf numFmtId="0" fontId="32" fillId="0" borderId="1182" xfId="0" applyNumberFormat="1" applyFont="1" applyBorder="1" applyAlignment="1">
      <alignment horizontal="center"/>
    </xf>
    <xf numFmtId="0" fontId="32" fillId="0" borderId="1183" xfId="0" applyNumberFormat="1" applyFont="1" applyBorder="1" applyAlignment="1">
      <alignment horizontal="center"/>
    </xf>
    <xf numFmtId="0" fontId="32" fillId="0" borderId="1184" xfId="0" applyNumberFormat="1" applyFont="1" applyBorder="1" applyAlignment="1">
      <alignment horizontal="center"/>
    </xf>
    <xf numFmtId="0" fontId="32" fillId="0" borderId="1185" xfId="0" applyNumberFormat="1" applyFont="1" applyBorder="1" applyAlignment="1">
      <alignment horizontal="center"/>
    </xf>
    <xf numFmtId="0" fontId="32" fillId="0" borderId="70" xfId="0" applyNumberFormat="1" applyFont="1" applyBorder="1" applyAlignment="1">
      <alignment horizontal="center" vertical="center"/>
    </xf>
    <xf numFmtId="0" fontId="32" fillId="0" borderId="1178" xfId="0" applyNumberFormat="1" applyFont="1" applyBorder="1" applyAlignment="1">
      <alignment horizontal="center" vertical="center"/>
    </xf>
    <xf numFmtId="0" fontId="32" fillId="0" borderId="1179" xfId="0" applyNumberFormat="1" applyFont="1" applyBorder="1" applyAlignment="1">
      <alignment horizontal="center" vertical="center"/>
    </xf>
    <xf numFmtId="0" fontId="32" fillId="0" borderId="1180" xfId="0" applyNumberFormat="1" applyFont="1" applyBorder="1" applyAlignment="1">
      <alignment horizontal="center" vertical="center"/>
    </xf>
    <xf numFmtId="0" fontId="61" fillId="0" borderId="21" xfId="0" applyNumberFormat="1" applyFont="1" applyBorder="1" applyAlignment="1">
      <alignment horizontal="left" vertical="center" wrapText="1" indent="1"/>
    </xf>
    <xf numFmtId="0" fontId="61" fillId="0" borderId="1175" xfId="0" applyNumberFormat="1" applyFont="1" applyBorder="1" applyAlignment="1">
      <alignment horizontal="left" vertical="center" wrapText="1" indent="1"/>
    </xf>
    <xf numFmtId="0" fontId="61" fillId="0" borderId="1176" xfId="0" applyNumberFormat="1" applyFont="1" applyBorder="1" applyAlignment="1">
      <alignment horizontal="left" vertical="center" wrapText="1" indent="1"/>
    </xf>
    <xf numFmtId="0" fontId="61" fillId="0" borderId="1177" xfId="0" applyNumberFormat="1" applyFont="1" applyBorder="1" applyAlignment="1">
      <alignment horizontal="left" vertical="center" wrapText="1" indent="1"/>
    </xf>
    <xf numFmtId="0" fontId="61" fillId="0" borderId="1172" xfId="0" applyNumberFormat="1" applyFont="1" applyBorder="1" applyAlignment="1">
      <alignment horizontal="left" vertical="center" wrapText="1" indent="1"/>
    </xf>
    <xf numFmtId="0" fontId="61" fillId="0" borderId="1173" xfId="0" applyNumberFormat="1" applyFont="1" applyBorder="1" applyAlignment="1">
      <alignment horizontal="left" vertical="center" wrapText="1" indent="1"/>
    </xf>
    <xf numFmtId="0" fontId="61" fillId="0" borderId="1174" xfId="0" applyNumberFormat="1" applyFont="1" applyBorder="1" applyAlignment="1">
      <alignment horizontal="left" vertical="center" wrapText="1" indent="1"/>
    </xf>
    <xf numFmtId="0" fontId="61" fillId="0" borderId="70" xfId="0" applyNumberFormat="1" applyFont="1" applyBorder="1" applyAlignment="1">
      <alignment horizontal="left" indent="1"/>
    </xf>
    <xf numFmtId="0" fontId="61" fillId="0" borderId="1169" xfId="0" applyNumberFormat="1" applyFont="1" applyBorder="1" applyAlignment="1">
      <alignment horizontal="left" indent="1"/>
    </xf>
    <xf numFmtId="0" fontId="61" fillId="0" borderId="1170" xfId="0" applyNumberFormat="1" applyFont="1" applyBorder="1" applyAlignment="1">
      <alignment horizontal="left" indent="1"/>
    </xf>
    <xf numFmtId="0" fontId="61" fillId="0" borderId="1171" xfId="0" applyNumberFormat="1" applyFont="1" applyBorder="1" applyAlignment="1">
      <alignment horizontal="left" indent="1"/>
    </xf>
    <xf numFmtId="0" fontId="32" fillId="0" borderId="1181" xfId="0" applyNumberFormat="1" applyFont="1" applyBorder="1" applyAlignment="1">
      <alignment horizontal="center"/>
    </xf>
    <xf numFmtId="0" fontId="92" fillId="0" borderId="0" xfId="0" applyNumberFormat="1" applyFont="1" applyAlignment="1">
      <alignment horizontal="center" vertical="center" wrapText="1"/>
    </xf>
    <xf numFmtId="0" fontId="44" fillId="0" borderId="70" xfId="0" applyNumberFormat="1" applyFont="1" applyBorder="1" applyAlignment="1">
      <alignment horizontal="left" vertical="center" wrapText="1"/>
    </xf>
    <xf numFmtId="0" fontId="44" fillId="0" borderId="1096" xfId="0" applyNumberFormat="1" applyFont="1" applyBorder="1" applyAlignment="1">
      <alignment horizontal="left" vertical="center" wrapText="1"/>
    </xf>
    <xf numFmtId="0" fontId="44" fillId="0" borderId="1097" xfId="0" applyNumberFormat="1" applyFont="1" applyBorder="1" applyAlignment="1">
      <alignment horizontal="left" vertical="center" wrapText="1"/>
    </xf>
    <xf numFmtId="0" fontId="44" fillId="0" borderId="1098" xfId="0" applyNumberFormat="1" applyFont="1" applyBorder="1" applyAlignment="1">
      <alignment horizontal="left" vertical="center" wrapText="1"/>
    </xf>
    <xf numFmtId="0" fontId="44" fillId="0" borderId="1099" xfId="0" applyNumberFormat="1" applyFont="1" applyBorder="1" applyAlignment="1">
      <alignment horizontal="left" vertical="center" wrapText="1"/>
    </xf>
    <xf numFmtId="0" fontId="44" fillId="0" borderId="1100" xfId="0" applyNumberFormat="1" applyFont="1" applyBorder="1" applyAlignment="1">
      <alignment horizontal="left" vertical="center" wrapText="1"/>
    </xf>
    <xf numFmtId="0" fontId="44" fillId="0" borderId="1101" xfId="0" applyNumberFormat="1" applyFont="1" applyBorder="1" applyAlignment="1">
      <alignment horizontal="left" vertical="center" wrapText="1"/>
    </xf>
    <xf numFmtId="0" fontId="44" fillId="0" borderId="1102" xfId="0" applyNumberFormat="1" applyFont="1" applyBorder="1" applyAlignment="1">
      <alignment horizontal="left" vertical="center" wrapText="1"/>
    </xf>
    <xf numFmtId="0" fontId="44" fillId="0" borderId="21" xfId="0" applyNumberFormat="1" applyFont="1" applyBorder="1" applyAlignment="1">
      <alignment vertical="center" wrapText="1"/>
    </xf>
    <xf numFmtId="0" fontId="44" fillId="0" borderId="1103" xfId="0" applyNumberFormat="1" applyFont="1" applyBorder="1" applyAlignment="1">
      <alignment vertical="center" wrapText="1"/>
    </xf>
    <xf numFmtId="0" fontId="44" fillId="0" borderId="1104" xfId="0" applyNumberFormat="1" applyFont="1" applyBorder="1" applyAlignment="1">
      <alignment vertical="center" wrapText="1"/>
    </xf>
    <xf numFmtId="0" fontId="44" fillId="0" borderId="1105" xfId="0" applyNumberFormat="1" applyFont="1" applyBorder="1" applyAlignment="1">
      <alignment vertical="center" wrapText="1"/>
    </xf>
    <xf numFmtId="0" fontId="44" fillId="0" borderId="1106" xfId="0" applyNumberFormat="1" applyFont="1" applyBorder="1" applyAlignment="1">
      <alignment vertical="center" wrapText="1"/>
    </xf>
    <xf numFmtId="0" fontId="44" fillId="0" borderId="1107" xfId="0" applyNumberFormat="1" applyFont="1" applyBorder="1" applyAlignment="1">
      <alignment vertical="center" wrapText="1"/>
    </xf>
    <xf numFmtId="0" fontId="44" fillId="0" borderId="1108" xfId="0" applyNumberFormat="1" applyFont="1" applyBorder="1" applyAlignment="1">
      <alignment vertical="center" wrapText="1"/>
    </xf>
    <xf numFmtId="0" fontId="44" fillId="0" borderId="1109" xfId="0" applyNumberFormat="1" applyFont="1" applyBorder="1" applyAlignment="1">
      <alignment vertical="center" wrapText="1"/>
    </xf>
    <xf numFmtId="0" fontId="61" fillId="0" borderId="18" xfId="0" applyNumberFormat="1" applyFont="1" applyBorder="1" applyAlignment="1">
      <alignment horizontal="center" vertical="center" wrapText="1"/>
    </xf>
    <xf numFmtId="0" fontId="61" fillId="0" borderId="1115" xfId="0" applyNumberFormat="1" applyFont="1" applyBorder="1" applyAlignment="1">
      <alignment horizontal="center" vertical="center" wrapText="1"/>
    </xf>
    <xf numFmtId="0" fontId="61" fillId="0" borderId="1116" xfId="0" applyNumberFormat="1" applyFont="1" applyBorder="1" applyAlignment="1">
      <alignment horizontal="center" vertical="center" wrapText="1"/>
    </xf>
    <xf numFmtId="0" fontId="44" fillId="0" borderId="21" xfId="0" applyNumberFormat="1" applyFont="1" applyBorder="1" applyAlignment="1">
      <alignment horizontal="left" vertical="center" wrapText="1"/>
    </xf>
    <xf numFmtId="0" fontId="44" fillId="0" borderId="1110" xfId="0" applyNumberFormat="1" applyFont="1" applyBorder="1" applyAlignment="1">
      <alignment horizontal="left" vertical="center" wrapText="1"/>
    </xf>
    <xf numFmtId="0" fontId="44" fillId="0" borderId="1111" xfId="0" applyNumberFormat="1" applyFont="1" applyBorder="1" applyAlignment="1">
      <alignment horizontal="left" vertical="center" wrapText="1"/>
    </xf>
    <xf numFmtId="0" fontId="44" fillId="0" borderId="1112" xfId="0" applyNumberFormat="1" applyFont="1" applyBorder="1" applyAlignment="1">
      <alignment horizontal="left" vertical="center" wrapText="1"/>
    </xf>
    <xf numFmtId="0" fontId="44" fillId="0" borderId="1113" xfId="0" applyNumberFormat="1" applyFont="1" applyBorder="1" applyAlignment="1">
      <alignment horizontal="left" vertical="center" wrapText="1"/>
    </xf>
    <xf numFmtId="0" fontId="44" fillId="0" borderId="1114" xfId="0" applyNumberFormat="1" applyFont="1" applyBorder="1" applyAlignment="1">
      <alignment horizontal="left" vertical="center" wrapText="1"/>
    </xf>
    <xf numFmtId="0" fontId="36" fillId="0" borderId="0" xfId="0" applyNumberFormat="1" applyFont="1" applyAlignment="1">
      <alignment horizontal="right" vertical="center" wrapText="1"/>
    </xf>
    <xf numFmtId="0" fontId="61" fillId="0" borderId="1117" xfId="0" applyNumberFormat="1" applyFont="1" applyBorder="1" applyAlignment="1">
      <alignment horizontal="center" vertical="center" wrapText="1"/>
    </xf>
    <xf numFmtId="0" fontId="61" fillId="0" borderId="1119" xfId="0" applyNumberFormat="1" applyFont="1" applyBorder="1" applyAlignment="1">
      <alignment horizontal="left" vertical="center"/>
    </xf>
    <xf numFmtId="0" fontId="61" fillId="0" borderId="1120" xfId="0" applyNumberFormat="1" applyFont="1" applyBorder="1" applyAlignment="1">
      <alignment horizontal="left" vertical="center"/>
    </xf>
    <xf numFmtId="0" fontId="61" fillId="0" borderId="1121" xfId="0" applyNumberFormat="1" applyFont="1" applyBorder="1" applyAlignment="1">
      <alignment horizontal="left" vertical="center"/>
    </xf>
    <xf numFmtId="0" fontId="61" fillId="0" borderId="1122" xfId="0" applyNumberFormat="1" applyFont="1" applyBorder="1" applyAlignment="1">
      <alignment horizontal="left" vertical="center"/>
    </xf>
    <xf numFmtId="0" fontId="61" fillId="0" borderId="1123" xfId="0" applyNumberFormat="1" applyFont="1" applyBorder="1" applyAlignment="1">
      <alignment horizontal="left" vertical="center"/>
    </xf>
    <xf numFmtId="0" fontId="61" fillId="0" borderId="1124" xfId="0" applyNumberFormat="1" applyFont="1" applyBorder="1" applyAlignment="1">
      <alignment horizontal="left" vertical="center"/>
    </xf>
    <xf numFmtId="0" fontId="61" fillId="0" borderId="1125" xfId="0" applyNumberFormat="1" applyFont="1" applyBorder="1" applyAlignment="1">
      <alignment horizontal="left" vertical="center"/>
    </xf>
    <xf numFmtId="0" fontId="61" fillId="0" borderId="1126" xfId="0" applyNumberFormat="1" applyFont="1" applyBorder="1" applyAlignment="1">
      <alignment horizontal="left" vertical="center"/>
    </xf>
    <xf numFmtId="0" fontId="61" fillId="0" borderId="1127" xfId="0" applyNumberFormat="1" applyFont="1" applyBorder="1" applyAlignment="1">
      <alignment horizontal="left" vertical="center"/>
    </xf>
    <xf numFmtId="0" fontId="61" fillId="0" borderId="1128" xfId="0" applyNumberFormat="1" applyFont="1" applyBorder="1" applyAlignment="1">
      <alignment horizontal="left" vertical="center"/>
    </xf>
    <xf numFmtId="0" fontId="61" fillId="0" borderId="1129" xfId="0" applyNumberFormat="1" applyFont="1" applyBorder="1" applyAlignment="1">
      <alignment horizontal="left" vertical="center"/>
    </xf>
    <xf numFmtId="0" fontId="61" fillId="0" borderId="1130" xfId="0" applyNumberFormat="1" applyFont="1" applyBorder="1" applyAlignment="1">
      <alignment horizontal="left" vertical="center"/>
    </xf>
    <xf numFmtId="170" fontId="7" fillId="8" borderId="1186" xfId="0" applyNumberFormat="1" applyFont="1" applyFill="1" applyBorder="1" applyAlignment="1">
      <alignment horizontal="center" vertical="center" wrapText="1"/>
    </xf>
    <xf numFmtId="170" fontId="7" fillId="8" borderId="1201" xfId="0" applyNumberFormat="1" applyFont="1" applyFill="1" applyBorder="1" applyAlignment="1">
      <alignment horizontal="center" vertical="center" wrapText="1"/>
    </xf>
    <xf numFmtId="170" fontId="7" fillId="8" borderId="1202" xfId="0" applyNumberFormat="1" applyFont="1" applyFill="1" applyBorder="1" applyAlignment="1">
      <alignment horizontal="center" vertical="center" wrapText="1"/>
    </xf>
    <xf numFmtId="170" fontId="7" fillId="8" borderId="1203" xfId="0" applyNumberFormat="1" applyFont="1" applyFill="1" applyBorder="1" applyAlignment="1">
      <alignment horizontal="center" vertical="center" wrapText="1"/>
    </xf>
    <xf numFmtId="170" fontId="7" fillId="8" borderId="1204" xfId="0" applyNumberFormat="1" applyFont="1" applyFill="1" applyBorder="1" applyAlignment="1">
      <alignment horizontal="center" vertical="center" wrapText="1"/>
    </xf>
    <xf numFmtId="170" fontId="7" fillId="8" borderId="1205" xfId="0" applyNumberFormat="1" applyFont="1" applyFill="1" applyBorder="1" applyAlignment="1">
      <alignment horizontal="center" vertical="center" wrapText="1"/>
    </xf>
    <xf numFmtId="170" fontId="7" fillId="8" borderId="1206" xfId="0" applyNumberFormat="1" applyFont="1" applyFill="1" applyBorder="1" applyAlignment="1">
      <alignment horizontal="center" vertical="center" wrapText="1"/>
    </xf>
    <xf numFmtId="170" fontId="7" fillId="8" borderId="1207" xfId="0" applyNumberFormat="1" applyFont="1" applyFill="1" applyBorder="1" applyAlignment="1">
      <alignment horizontal="center" vertical="center" wrapText="1"/>
    </xf>
    <xf numFmtId="170" fontId="7" fillId="8" borderId="1208" xfId="0" applyNumberFormat="1" applyFont="1" applyFill="1" applyBorder="1" applyAlignment="1">
      <alignment horizontal="center" vertical="center" wrapText="1"/>
    </xf>
    <xf numFmtId="170" fontId="7" fillId="8" borderId="1209" xfId="0" applyNumberFormat="1" applyFont="1" applyFill="1" applyBorder="1" applyAlignment="1">
      <alignment horizontal="center" vertical="center" wrapText="1"/>
    </xf>
    <xf numFmtId="170" fontId="7" fillId="8" borderId="1210" xfId="0" applyNumberFormat="1" applyFont="1" applyFill="1" applyBorder="1" applyAlignment="1">
      <alignment horizontal="center" vertical="center" wrapText="1"/>
    </xf>
    <xf numFmtId="170" fontId="7" fillId="8" borderId="1211" xfId="0" applyNumberFormat="1" applyFont="1" applyFill="1" applyBorder="1" applyAlignment="1">
      <alignment horizontal="center" vertical="center" wrapText="1"/>
    </xf>
    <xf numFmtId="170" fontId="7" fillId="8" borderId="1212" xfId="0" applyNumberFormat="1" applyFont="1" applyFill="1" applyBorder="1" applyAlignment="1">
      <alignment horizontal="center" vertical="center" wrapText="1"/>
    </xf>
    <xf numFmtId="170" fontId="7" fillId="8" borderId="1213" xfId="0" applyNumberFormat="1" applyFont="1" applyFill="1" applyBorder="1" applyAlignment="1">
      <alignment horizontal="center" vertical="center" wrapText="1"/>
    </xf>
    <xf numFmtId="170" fontId="7" fillId="8" borderId="1214" xfId="0" applyNumberFormat="1" applyFont="1" applyFill="1" applyBorder="1" applyAlignment="1">
      <alignment horizontal="center" vertical="center" wrapText="1"/>
    </xf>
    <xf numFmtId="170" fontId="7" fillId="8" borderId="1215" xfId="0" applyNumberFormat="1" applyFont="1" applyFill="1" applyBorder="1" applyAlignment="1">
      <alignment horizontal="center" vertical="center" wrapText="1"/>
    </xf>
    <xf numFmtId="170" fontId="7" fillId="8" borderId="1216" xfId="0" applyNumberFormat="1" applyFont="1" applyFill="1" applyBorder="1" applyAlignment="1">
      <alignment horizontal="center" vertical="center" wrapText="1"/>
    </xf>
    <xf numFmtId="170" fontId="7" fillId="8" borderId="1217" xfId="0" applyNumberFormat="1" applyFont="1" applyFill="1" applyBorder="1" applyAlignment="1">
      <alignment horizontal="center" vertical="center" wrapText="1"/>
    </xf>
    <xf numFmtId="0" fontId="77" fillId="7" borderId="1228" xfId="0" applyNumberFormat="1" applyFont="1" applyFill="1" applyBorder="1" applyAlignment="1">
      <alignment horizontal="center" vertical="center"/>
    </xf>
    <xf numFmtId="0" fontId="77" fillId="7" borderId="1229" xfId="0" applyNumberFormat="1" applyFont="1" applyFill="1" applyBorder="1" applyAlignment="1">
      <alignment horizontal="center" vertical="center"/>
    </xf>
    <xf numFmtId="0" fontId="77" fillId="7" borderId="1230" xfId="0" applyNumberFormat="1" applyFont="1" applyFill="1" applyBorder="1" applyAlignment="1">
      <alignment horizontal="center" vertical="center"/>
    </xf>
    <xf numFmtId="0" fontId="77" fillId="7" borderId="1231" xfId="0" applyNumberFormat="1" applyFont="1" applyFill="1" applyBorder="1" applyAlignment="1">
      <alignment horizontal="center" vertical="center"/>
    </xf>
    <xf numFmtId="0" fontId="77" fillId="7" borderId="1232" xfId="0" applyNumberFormat="1" applyFont="1" applyFill="1" applyBorder="1" applyAlignment="1">
      <alignment horizontal="center" vertical="center"/>
    </xf>
    <xf numFmtId="0" fontId="77" fillId="7" borderId="1233" xfId="0" applyNumberFormat="1" applyFont="1" applyFill="1" applyBorder="1" applyAlignment="1">
      <alignment horizontal="center" vertical="center"/>
    </xf>
    <xf numFmtId="0" fontId="77" fillId="7" borderId="1234" xfId="0" applyNumberFormat="1" applyFont="1" applyFill="1" applyBorder="1" applyAlignment="1">
      <alignment horizontal="center" vertical="center"/>
    </xf>
    <xf numFmtId="0" fontId="77" fillId="7" borderId="1235" xfId="0" applyNumberFormat="1" applyFont="1" applyFill="1" applyBorder="1" applyAlignment="1">
      <alignment horizontal="center" vertical="center"/>
    </xf>
    <xf numFmtId="0" fontId="77" fillId="7" borderId="1236" xfId="0" applyNumberFormat="1" applyFont="1" applyFill="1" applyBorder="1" applyAlignment="1">
      <alignment horizontal="center" vertical="center"/>
    </xf>
    <xf numFmtId="0" fontId="77" fillId="7" borderId="1237" xfId="0" applyNumberFormat="1" applyFont="1" applyFill="1" applyBorder="1" applyAlignment="1">
      <alignment horizontal="center" vertical="center"/>
    </xf>
    <xf numFmtId="0" fontId="77" fillId="7" borderId="1243" xfId="0" applyNumberFormat="1" applyFont="1" applyFill="1" applyBorder="1" applyAlignment="1">
      <alignment horizontal="center" vertical="center"/>
    </xf>
    <xf numFmtId="0" fontId="77" fillId="7" borderId="1244" xfId="0" applyNumberFormat="1" applyFont="1" applyFill="1" applyBorder="1" applyAlignment="1">
      <alignment horizontal="center" vertical="center"/>
    </xf>
    <xf numFmtId="0" fontId="77" fillId="7" borderId="1245" xfId="0" applyNumberFormat="1" applyFont="1" applyFill="1" applyBorder="1" applyAlignment="1">
      <alignment horizontal="center" vertical="center"/>
    </xf>
    <xf numFmtId="0" fontId="77" fillId="7" borderId="1246" xfId="0" applyNumberFormat="1" applyFont="1" applyFill="1" applyBorder="1" applyAlignment="1">
      <alignment horizontal="center" vertical="center"/>
    </xf>
    <xf numFmtId="0" fontId="77" fillId="7" borderId="1247" xfId="0" applyNumberFormat="1" applyFont="1" applyFill="1" applyBorder="1" applyAlignment="1">
      <alignment horizontal="center" vertical="center"/>
    </xf>
    <xf numFmtId="0" fontId="77" fillId="7" borderId="1248" xfId="0" applyNumberFormat="1" applyFont="1" applyFill="1" applyBorder="1" applyAlignment="1">
      <alignment horizontal="center" vertical="center"/>
    </xf>
    <xf numFmtId="0" fontId="77" fillId="7" borderId="1249" xfId="0" applyNumberFormat="1" applyFont="1" applyFill="1" applyBorder="1" applyAlignment="1">
      <alignment horizontal="center" vertical="center"/>
    </xf>
    <xf numFmtId="0" fontId="77" fillId="7" borderId="1250" xfId="0" applyNumberFormat="1" applyFont="1" applyFill="1" applyBorder="1" applyAlignment="1">
      <alignment horizontal="center" vertical="center"/>
    </xf>
    <xf numFmtId="0" fontId="77" fillId="7" borderId="1251" xfId="0" applyNumberFormat="1" applyFont="1" applyFill="1" applyBorder="1" applyAlignment="1">
      <alignment horizontal="center" vertical="center"/>
    </xf>
    <xf numFmtId="0" fontId="77" fillId="7" borderId="1252" xfId="0" applyNumberFormat="1" applyFont="1" applyFill="1" applyBorder="1" applyAlignment="1">
      <alignment horizontal="center" vertical="center"/>
    </xf>
    <xf numFmtId="0" fontId="77" fillId="7" borderId="1253" xfId="0" applyNumberFormat="1" applyFont="1" applyFill="1" applyBorder="1" applyAlignment="1">
      <alignment horizontal="center" vertical="center"/>
    </xf>
    <xf numFmtId="0" fontId="77" fillId="7" borderId="1256" xfId="0" applyNumberFormat="1" applyFont="1" applyFill="1" applyBorder="1" applyAlignment="1">
      <alignment horizontal="center" vertical="center"/>
    </xf>
    <xf numFmtId="0" fontId="77" fillId="7" borderId="1257" xfId="0" applyNumberFormat="1" applyFont="1" applyFill="1" applyBorder="1" applyAlignment="1">
      <alignment horizontal="center" vertical="center"/>
    </xf>
    <xf numFmtId="0" fontId="77" fillId="7" borderId="1258" xfId="0" applyNumberFormat="1" applyFont="1" applyFill="1" applyBorder="1" applyAlignment="1">
      <alignment horizontal="center" vertical="center"/>
    </xf>
    <xf numFmtId="0" fontId="77" fillId="7" borderId="1259" xfId="0" applyNumberFormat="1" applyFont="1" applyFill="1" applyBorder="1" applyAlignment="1">
      <alignment horizontal="center" vertical="center"/>
    </xf>
    <xf numFmtId="0" fontId="77" fillId="7" borderId="1260" xfId="0" applyNumberFormat="1" applyFont="1" applyFill="1" applyBorder="1" applyAlignment="1">
      <alignment horizontal="center" vertical="center"/>
    </xf>
    <xf numFmtId="0" fontId="77" fillId="7" borderId="1261" xfId="0" applyNumberFormat="1" applyFont="1" applyFill="1" applyBorder="1" applyAlignment="1">
      <alignment horizontal="center" vertical="center"/>
    </xf>
    <xf numFmtId="0" fontId="77" fillId="7" borderId="1262" xfId="0" applyNumberFormat="1" applyFont="1" applyFill="1" applyBorder="1" applyAlignment="1">
      <alignment horizontal="center" vertical="center"/>
    </xf>
    <xf numFmtId="0" fontId="77" fillId="7" borderId="1263" xfId="0" applyNumberFormat="1" applyFont="1" applyFill="1" applyBorder="1" applyAlignment="1">
      <alignment horizontal="center" vertical="center"/>
    </xf>
    <xf numFmtId="0" fontId="77" fillId="7" borderId="1264" xfId="0" applyNumberFormat="1" applyFont="1" applyFill="1" applyBorder="1" applyAlignment="1">
      <alignment horizontal="center" vertical="center"/>
    </xf>
    <xf numFmtId="0" fontId="77" fillId="7" borderId="1265" xfId="0" applyNumberFormat="1" applyFont="1" applyFill="1" applyBorder="1" applyAlignment="1">
      <alignment horizontal="center" vertical="center"/>
    </xf>
    <xf numFmtId="0" fontId="77" fillId="7" borderId="1272" xfId="0" applyNumberFormat="1" applyFont="1" applyFill="1" applyBorder="1" applyAlignment="1">
      <alignment horizontal="center" vertical="center"/>
    </xf>
    <xf numFmtId="0" fontId="77" fillId="7" borderId="1273" xfId="0" applyNumberFormat="1" applyFont="1" applyFill="1" applyBorder="1" applyAlignment="1">
      <alignment horizontal="center" vertical="center"/>
    </xf>
    <xf numFmtId="0" fontId="77" fillId="7" borderId="1274" xfId="0" applyNumberFormat="1" applyFont="1" applyFill="1" applyBorder="1" applyAlignment="1">
      <alignment horizontal="center" vertical="center"/>
    </xf>
    <xf numFmtId="0" fontId="77" fillId="7" borderId="1275" xfId="0" applyNumberFormat="1" applyFont="1" applyFill="1" applyBorder="1" applyAlignment="1">
      <alignment horizontal="center" vertical="center"/>
    </xf>
    <xf numFmtId="0" fontId="77" fillId="7" borderId="1276" xfId="0" applyNumberFormat="1" applyFont="1" applyFill="1" applyBorder="1" applyAlignment="1">
      <alignment horizontal="center" vertical="center"/>
    </xf>
    <xf numFmtId="0" fontId="77" fillId="7" borderId="1277" xfId="0" applyNumberFormat="1" applyFont="1" applyFill="1" applyBorder="1" applyAlignment="1">
      <alignment horizontal="center" vertical="center"/>
    </xf>
    <xf numFmtId="0" fontId="77" fillId="7" borderId="1278" xfId="0" applyNumberFormat="1" applyFont="1" applyFill="1" applyBorder="1" applyAlignment="1">
      <alignment horizontal="center" vertical="center"/>
    </xf>
    <xf numFmtId="0" fontId="77" fillId="7" borderId="1279" xfId="0" applyNumberFormat="1" applyFont="1" applyFill="1" applyBorder="1" applyAlignment="1">
      <alignment horizontal="center" vertical="center"/>
    </xf>
    <xf numFmtId="0" fontId="77" fillId="7" borderId="1280" xfId="0" applyNumberFormat="1" applyFont="1" applyFill="1" applyBorder="1" applyAlignment="1">
      <alignment horizontal="center" vertical="center"/>
    </xf>
    <xf numFmtId="0" fontId="77" fillId="7" borderId="1281" xfId="0" applyNumberFormat="1" applyFont="1" applyFill="1" applyBorder="1" applyAlignment="1">
      <alignment horizontal="center" vertical="center"/>
    </xf>
    <xf numFmtId="0" fontId="77" fillId="7" borderId="1282" xfId="0" applyNumberFormat="1" applyFont="1" applyFill="1" applyBorder="1" applyAlignment="1">
      <alignment horizontal="center" vertical="center"/>
    </xf>
    <xf numFmtId="0" fontId="79" fillId="7" borderId="1226" xfId="0" applyNumberFormat="1" applyFont="1" applyFill="1" applyBorder="1" applyAlignment="1">
      <alignment horizontal="center" vertical="center"/>
    </xf>
    <xf numFmtId="0" fontId="79" fillId="7" borderId="1227" xfId="0" applyNumberFormat="1" applyFont="1" applyFill="1" applyBorder="1" applyAlignment="1">
      <alignment horizontal="center" vertical="center"/>
    </xf>
    <xf numFmtId="0" fontId="79" fillId="7" borderId="1240" xfId="0" applyNumberFormat="1" applyFont="1" applyFill="1" applyBorder="1" applyAlignment="1">
      <alignment horizontal="center" vertical="center"/>
    </xf>
    <xf numFmtId="0" fontId="79" fillId="7" borderId="1241" xfId="0" applyNumberFormat="1" applyFont="1" applyFill="1" applyBorder="1" applyAlignment="1">
      <alignment horizontal="center" vertical="center"/>
    </xf>
    <xf numFmtId="0" fontId="79" fillId="7" borderId="1242" xfId="0" applyNumberFormat="1" applyFont="1" applyFill="1" applyBorder="1" applyAlignment="1">
      <alignment horizontal="center" vertical="center"/>
    </xf>
    <xf numFmtId="0" fontId="79" fillId="7" borderId="1254" xfId="0" applyNumberFormat="1" applyFont="1" applyFill="1" applyBorder="1" applyAlignment="1">
      <alignment horizontal="center" vertical="center"/>
    </xf>
    <xf numFmtId="0" fontId="79" fillId="7" borderId="1255" xfId="0" applyNumberFormat="1" applyFont="1" applyFill="1" applyBorder="1" applyAlignment="1">
      <alignment horizontal="center" vertical="center"/>
    </xf>
    <xf numFmtId="0" fontId="79" fillId="7" borderId="1269" xfId="0" applyNumberFormat="1" applyFont="1" applyFill="1" applyBorder="1" applyAlignment="1">
      <alignment horizontal="center" vertical="center"/>
    </xf>
    <xf numFmtId="0" fontId="79" fillId="7" borderId="1270" xfId="0" applyNumberFormat="1" applyFont="1" applyFill="1" applyBorder="1" applyAlignment="1">
      <alignment horizontal="center" vertical="center"/>
    </xf>
    <xf numFmtId="0" fontId="79" fillId="7" borderId="1271" xfId="0" applyNumberFormat="1" applyFont="1" applyFill="1" applyBorder="1" applyAlignment="1">
      <alignment horizontal="center" vertical="center"/>
    </xf>
    <xf numFmtId="170" fontId="17" fillId="7" borderId="1222" xfId="0" applyNumberFormat="1" applyFont="1" applyFill="1" applyBorder="1" applyAlignment="1">
      <alignment horizontal="center" vertical="center" wrapText="1"/>
    </xf>
    <xf numFmtId="170" fontId="17" fillId="7" borderId="1223" xfId="0" applyNumberFormat="1" applyFont="1" applyFill="1" applyBorder="1" applyAlignment="1">
      <alignment horizontal="center" vertical="center" wrapText="1"/>
    </xf>
    <xf numFmtId="170" fontId="17" fillId="7" borderId="1224" xfId="0" applyNumberFormat="1" applyFont="1" applyFill="1" applyBorder="1" applyAlignment="1">
      <alignment horizontal="center" vertical="center" wrapText="1"/>
    </xf>
    <xf numFmtId="170" fontId="17" fillId="7" borderId="1225" xfId="0" applyNumberFormat="1" applyFont="1" applyFill="1" applyBorder="1" applyAlignment="1">
      <alignment horizontal="center" vertical="center" wrapText="1"/>
    </xf>
    <xf numFmtId="170" fontId="7" fillId="8" borderId="1187" xfId="0" applyNumberFormat="1" applyFont="1" applyFill="1" applyBorder="1" applyAlignment="1">
      <alignment horizontal="center" vertical="center" wrapText="1"/>
    </xf>
    <xf numFmtId="170" fontId="7" fillId="8" borderId="1188" xfId="0" applyNumberFormat="1" applyFont="1" applyFill="1" applyBorder="1" applyAlignment="1">
      <alignment horizontal="center" vertical="center" wrapText="1"/>
    </xf>
    <xf numFmtId="170" fontId="7" fillId="8" borderId="1189" xfId="0" applyNumberFormat="1" applyFont="1" applyFill="1" applyBorder="1" applyAlignment="1">
      <alignment horizontal="center" vertical="center" wrapText="1"/>
    </xf>
    <xf numFmtId="170" fontId="7" fillId="8" borderId="1190" xfId="0" applyNumberFormat="1" applyFont="1" applyFill="1" applyBorder="1" applyAlignment="1">
      <alignment horizontal="center" vertical="center" wrapText="1"/>
    </xf>
    <xf numFmtId="170" fontId="7" fillId="8" borderId="1191" xfId="0" applyNumberFormat="1" applyFont="1" applyFill="1" applyBorder="1" applyAlignment="1">
      <alignment horizontal="center" vertical="center" wrapText="1"/>
    </xf>
    <xf numFmtId="170" fontId="7" fillId="8" borderId="1192" xfId="0" applyNumberFormat="1" applyFont="1" applyFill="1" applyBorder="1" applyAlignment="1">
      <alignment horizontal="center" vertical="center" wrapText="1"/>
    </xf>
    <xf numFmtId="170" fontId="7" fillId="8" borderId="1193" xfId="0" applyNumberFormat="1" applyFont="1" applyFill="1" applyBorder="1" applyAlignment="1">
      <alignment horizontal="center" vertical="center" wrapText="1"/>
    </xf>
    <xf numFmtId="170" fontId="7" fillId="8" borderId="1194" xfId="0" applyNumberFormat="1" applyFont="1" applyFill="1" applyBorder="1" applyAlignment="1">
      <alignment horizontal="center" vertical="center" wrapText="1"/>
    </xf>
    <xf numFmtId="170" fontId="7" fillId="8" borderId="1195" xfId="0" applyNumberFormat="1" applyFont="1" applyFill="1" applyBorder="1" applyAlignment="1">
      <alignment horizontal="center" vertical="center" wrapText="1"/>
    </xf>
    <xf numFmtId="170" fontId="7" fillId="8" borderId="1196" xfId="0" applyNumberFormat="1" applyFont="1" applyFill="1" applyBorder="1" applyAlignment="1">
      <alignment horizontal="center" vertical="center" wrapText="1"/>
    </xf>
    <xf numFmtId="170" fontId="7" fillId="8" borderId="1197" xfId="0" applyNumberFormat="1" applyFont="1" applyFill="1" applyBorder="1" applyAlignment="1">
      <alignment horizontal="center" vertical="center" wrapText="1"/>
    </xf>
    <xf numFmtId="170" fontId="7" fillId="8" borderId="1198" xfId="0" applyNumberFormat="1" applyFont="1" applyFill="1" applyBorder="1" applyAlignment="1">
      <alignment horizontal="center" vertical="center" wrapText="1"/>
    </xf>
    <xf numFmtId="170" fontId="7" fillId="8" borderId="1199" xfId="0" applyNumberFormat="1" applyFont="1" applyFill="1" applyBorder="1" applyAlignment="1">
      <alignment horizontal="center" vertical="center" wrapText="1"/>
    </xf>
    <xf numFmtId="0" fontId="13" fillId="0" borderId="1283" xfId="0" applyNumberFormat="1" applyFont="1" applyBorder="1" applyAlignment="1">
      <alignment horizontal="center" vertical="center" textRotation="90"/>
    </xf>
    <xf numFmtId="0" fontId="13" fillId="0" borderId="1306" xfId="0" applyNumberFormat="1" applyFont="1" applyBorder="1" applyAlignment="1">
      <alignment horizontal="center" vertical="center" textRotation="90"/>
    </xf>
    <xf numFmtId="0" fontId="28" fillId="0" borderId="1284" xfId="0" applyNumberFormat="1" applyFont="1" applyBorder="1" applyAlignment="1">
      <alignment horizontal="center" vertical="center" wrapText="1"/>
    </xf>
    <xf numFmtId="0" fontId="28" fillId="0" borderId="1307" xfId="0" applyNumberFormat="1" applyFont="1" applyBorder="1" applyAlignment="1">
      <alignment horizontal="center" vertical="center" wrapText="1"/>
    </xf>
    <xf numFmtId="0" fontId="28" fillId="0" borderId="1285" xfId="0" applyNumberFormat="1" applyFont="1" applyBorder="1" applyAlignment="1">
      <alignment horizontal="center" vertical="center"/>
    </xf>
    <xf numFmtId="0" fontId="28" fillId="0" borderId="1286" xfId="0" applyNumberFormat="1" applyFont="1" applyBorder="1" applyAlignment="1">
      <alignment horizontal="center" vertical="center"/>
    </xf>
    <xf numFmtId="0" fontId="28" fillId="0" borderId="1308" xfId="0" applyNumberFormat="1" applyFont="1" applyBorder="1" applyAlignment="1">
      <alignment horizontal="center" vertical="center"/>
    </xf>
    <xf numFmtId="0" fontId="28" fillId="0" borderId="1309" xfId="0" applyNumberFormat="1" applyFont="1" applyBorder="1" applyAlignment="1">
      <alignment horizontal="center" vertical="center"/>
    </xf>
    <xf numFmtId="0" fontId="28" fillId="0" borderId="1310" xfId="0" applyNumberFormat="1" applyFont="1" applyBorder="1" applyAlignment="1">
      <alignment horizontal="center" vertical="center" wrapText="1"/>
    </xf>
    <xf numFmtId="0" fontId="27" fillId="0" borderId="1287" xfId="0" applyNumberFormat="1" applyFont="1" applyBorder="1" applyAlignment="1">
      <alignment horizontal="center" vertical="center" wrapText="1"/>
    </xf>
    <xf numFmtId="0" fontId="27" fillId="0" borderId="1311" xfId="0" applyNumberFormat="1" applyFont="1" applyBorder="1" applyAlignment="1">
      <alignment horizontal="center" vertical="center" wrapText="1"/>
    </xf>
    <xf numFmtId="0" fontId="28" fillId="0" borderId="1312" xfId="0" applyNumberFormat="1" applyFont="1" applyBorder="1" applyAlignment="1">
      <alignment horizontal="center" vertical="center"/>
    </xf>
    <xf numFmtId="0" fontId="28" fillId="0" borderId="1287" xfId="0" applyNumberFormat="1" applyFont="1" applyBorder="1" applyAlignment="1">
      <alignment horizontal="center" vertical="center" textRotation="90"/>
    </xf>
    <xf numFmtId="0" fontId="28" fillId="0" borderId="1313" xfId="0" applyNumberFormat="1" applyFont="1" applyBorder="1" applyAlignment="1">
      <alignment horizontal="center" vertical="center" textRotation="90"/>
    </xf>
    <xf numFmtId="0" fontId="28" fillId="0" borderId="1288" xfId="0" applyNumberFormat="1" applyFont="1" applyBorder="1" applyAlignment="1">
      <alignment horizontal="center" vertical="center"/>
    </xf>
    <xf numFmtId="0" fontId="28" fillId="0" borderId="1314" xfId="0" applyNumberFormat="1" applyFont="1" applyBorder="1" applyAlignment="1">
      <alignment horizontal="center" vertical="center"/>
    </xf>
    <xf numFmtId="0" fontId="28" fillId="0" borderId="1288" xfId="0" applyNumberFormat="1" applyFont="1" applyBorder="1" applyAlignment="1">
      <alignment vertical="center" textRotation="90"/>
    </xf>
    <xf numFmtId="0" fontId="28" fillId="0" borderId="1315" xfId="0" applyNumberFormat="1" applyFont="1" applyBorder="1" applyAlignment="1">
      <alignment vertical="center" textRotation="90"/>
    </xf>
    <xf numFmtId="170" fontId="85" fillId="0" borderId="1289" xfId="0" applyNumberFormat="1" applyFont="1" applyBorder="1" applyAlignment="1">
      <alignment horizontal="center" vertical="center" wrapText="1"/>
    </xf>
    <xf numFmtId="170" fontId="85" fillId="0" borderId="1290" xfId="0" applyNumberFormat="1" applyFont="1" applyBorder="1" applyAlignment="1">
      <alignment horizontal="center" vertical="center" wrapText="1"/>
    </xf>
    <xf numFmtId="170" fontId="85" fillId="0" borderId="1291" xfId="0" applyNumberFormat="1" applyFont="1" applyBorder="1" applyAlignment="1">
      <alignment horizontal="center" vertical="center" wrapText="1"/>
    </xf>
    <xf numFmtId="170" fontId="85" fillId="0" borderId="1292" xfId="0" applyNumberFormat="1" applyFont="1" applyBorder="1" applyAlignment="1">
      <alignment horizontal="center" vertical="center" wrapText="1"/>
    </xf>
    <xf numFmtId="170" fontId="85" fillId="0" borderId="1293" xfId="0" applyNumberFormat="1" applyFont="1" applyBorder="1" applyAlignment="1">
      <alignment horizontal="center" vertical="center" wrapText="1"/>
    </xf>
    <xf numFmtId="170" fontId="85" fillId="0" borderId="1294" xfId="0" applyNumberFormat="1" applyFont="1" applyBorder="1" applyAlignment="1">
      <alignment horizontal="center" vertical="center" wrapText="1"/>
    </xf>
    <xf numFmtId="170" fontId="85" fillId="0" borderId="1295" xfId="0" applyNumberFormat="1" applyFont="1" applyBorder="1" applyAlignment="1">
      <alignment horizontal="center" vertical="center" wrapText="1"/>
    </xf>
    <xf numFmtId="170" fontId="85" fillId="0" borderId="1296" xfId="0" applyNumberFormat="1" applyFont="1" applyBorder="1" applyAlignment="1">
      <alignment horizontal="center" vertical="center" wrapText="1"/>
    </xf>
    <xf numFmtId="170" fontId="16" fillId="0" borderId="1299" xfId="0" applyNumberFormat="1" applyFont="1" applyBorder="1" applyAlignment="1">
      <alignment horizontal="center" vertical="center" wrapText="1"/>
    </xf>
    <xf numFmtId="170" fontId="16" fillId="0" borderId="1300" xfId="0" applyNumberFormat="1" applyFont="1" applyBorder="1" applyAlignment="1">
      <alignment horizontal="center" vertical="center" wrapText="1"/>
    </xf>
    <xf numFmtId="170" fontId="16" fillId="0" borderId="1301" xfId="0" applyNumberFormat="1" applyFont="1" applyBorder="1" applyAlignment="1">
      <alignment horizontal="center" vertical="center" wrapText="1"/>
    </xf>
    <xf numFmtId="170" fontId="16" fillId="0" borderId="1302" xfId="0" applyNumberFormat="1" applyFont="1" applyBorder="1" applyAlignment="1">
      <alignment horizontal="center" vertical="center" wrapText="1"/>
    </xf>
    <xf numFmtId="170" fontId="16" fillId="0" borderId="1303" xfId="0" applyNumberFormat="1" applyFont="1" applyBorder="1" applyAlignment="1">
      <alignment horizontal="center" vertical="center" wrapText="1"/>
    </xf>
    <xf numFmtId="170" fontId="16" fillId="0" borderId="1304" xfId="0" applyNumberFormat="1" applyFont="1" applyBorder="1" applyAlignment="1">
      <alignment horizontal="center" vertical="center" wrapText="1"/>
    </xf>
    <xf numFmtId="170" fontId="16" fillId="0" borderId="1305" xfId="0" applyNumberFormat="1" applyFont="1" applyBorder="1" applyAlignment="1">
      <alignment horizontal="center" vertical="center" wrapText="1"/>
    </xf>
    <xf numFmtId="170" fontId="85" fillId="0" borderId="1297" xfId="0" applyNumberFormat="1" applyFont="1" applyBorder="1" applyAlignment="1">
      <alignment horizontal="center" vertical="center" wrapText="1"/>
    </xf>
    <xf numFmtId="170" fontId="85" fillId="0" borderId="1298" xfId="0" applyNumberFormat="1" applyFont="1" applyBorder="1" applyAlignment="1">
      <alignment horizontal="center" vertical="center" wrapText="1"/>
    </xf>
    <xf numFmtId="0" fontId="61" fillId="0" borderId="15" xfId="0" applyNumberFormat="1" applyFont="1" applyBorder="1" applyAlignment="1">
      <alignment horizontal="right" vertical="center" indent="1"/>
    </xf>
    <xf numFmtId="0" fontId="61" fillId="0" borderId="1443" xfId="0" applyNumberFormat="1" applyFont="1" applyBorder="1" applyAlignment="1">
      <alignment horizontal="right" vertical="center" indent="1"/>
    </xf>
    <xf numFmtId="0" fontId="61" fillId="0" borderId="1441" xfId="0" applyNumberFormat="1" applyFont="1" applyBorder="1" applyAlignment="1">
      <alignment horizontal="right" vertical="center" indent="1"/>
    </xf>
    <xf numFmtId="0" fontId="43" fillId="0" borderId="0" xfId="0" applyNumberFormat="1" applyFont="1" applyAlignment="1">
      <alignment horizontal="center"/>
    </xf>
    <xf numFmtId="0" fontId="61" fillId="0" borderId="1439" xfId="0" applyNumberFormat="1" applyFont="1" applyBorder="1" applyAlignment="1">
      <alignment horizontal="right" vertical="center" indent="1"/>
    </xf>
    <xf numFmtId="0" fontId="61" fillId="0" borderId="1437" xfId="0" applyNumberFormat="1" applyFont="1" applyBorder="1" applyAlignment="1">
      <alignment horizontal="right" vertical="center" indent="1"/>
    </xf>
    <xf numFmtId="0" fontId="61" fillId="0" borderId="1435" xfId="0" applyNumberFormat="1" applyFont="1" applyBorder="1" applyAlignment="1">
      <alignment horizontal="right" vertical="center" indent="1"/>
    </xf>
    <xf numFmtId="0" fontId="61" fillId="0" borderId="1433" xfId="0" applyNumberFormat="1" applyFont="1" applyBorder="1" applyAlignment="1">
      <alignment horizontal="right" vertical="center" indent="1"/>
    </xf>
    <xf numFmtId="0" fontId="61" fillId="0" borderId="1431" xfId="0" applyNumberFormat="1" applyFont="1" applyBorder="1" applyAlignment="1">
      <alignment horizontal="right" vertical="center" indent="1"/>
    </xf>
    <xf numFmtId="0" fontId="61" fillId="0" borderId="1429" xfId="0" applyNumberFormat="1" applyFont="1" applyBorder="1" applyAlignment="1">
      <alignment horizontal="right" vertical="center" indent="1"/>
    </xf>
    <xf numFmtId="0" fontId="61" fillId="0" borderId="1427" xfId="0" applyNumberFormat="1" applyFont="1" applyBorder="1" applyAlignment="1">
      <alignment horizontal="right" vertical="center" indent="1"/>
    </xf>
    <xf numFmtId="0" fontId="61" fillId="0" borderId="1425" xfId="0" applyNumberFormat="1" applyFont="1" applyBorder="1" applyAlignment="1">
      <alignment horizontal="right" vertical="center" indent="1"/>
    </xf>
    <xf numFmtId="0" fontId="61" fillId="0" borderId="1423" xfId="0" applyNumberFormat="1" applyFont="1" applyBorder="1" applyAlignment="1">
      <alignment horizontal="right" vertical="center" indent="1"/>
    </xf>
    <xf numFmtId="0" fontId="61" fillId="0" borderId="1421" xfId="0" applyNumberFormat="1" applyFont="1" applyBorder="1" applyAlignment="1">
      <alignment horizontal="right" vertical="center" indent="1"/>
    </xf>
    <xf numFmtId="0" fontId="61" fillId="0" borderId="1419" xfId="0" applyNumberFormat="1" applyFont="1" applyBorder="1" applyAlignment="1">
      <alignment horizontal="right" vertical="center" indent="1"/>
    </xf>
    <xf numFmtId="0" fontId="61" fillId="0" borderId="1417" xfId="0" applyNumberFormat="1" applyFont="1" applyBorder="1" applyAlignment="1">
      <alignment horizontal="right" vertical="center" indent="1"/>
    </xf>
    <xf numFmtId="0" fontId="61" fillId="0" borderId="1415" xfId="0" applyNumberFormat="1" applyFont="1" applyBorder="1" applyAlignment="1">
      <alignment horizontal="right" vertical="center" indent="1"/>
    </xf>
    <xf numFmtId="0" fontId="61" fillId="0" borderId="1413" xfId="0" applyNumberFormat="1" applyFont="1" applyBorder="1" applyAlignment="1">
      <alignment horizontal="right" vertical="center" indent="1"/>
    </xf>
    <xf numFmtId="0" fontId="61" fillId="0" borderId="1411" xfId="0" applyNumberFormat="1" applyFont="1" applyBorder="1" applyAlignment="1">
      <alignment horizontal="right" vertical="center" indent="1"/>
    </xf>
    <xf numFmtId="0" fontId="61" fillId="0" borderId="1409" xfId="0" applyNumberFormat="1" applyFont="1" applyBorder="1" applyAlignment="1">
      <alignment horizontal="right" vertical="center" indent="1"/>
    </xf>
    <xf numFmtId="0" fontId="61" fillId="0" borderId="1407" xfId="0" applyNumberFormat="1" applyFont="1" applyBorder="1" applyAlignment="1">
      <alignment horizontal="right" vertical="center" indent="1"/>
    </xf>
    <xf numFmtId="0" fontId="61" fillId="0" borderId="1405" xfId="0" applyNumberFormat="1" applyFont="1" applyBorder="1" applyAlignment="1">
      <alignment horizontal="right" vertical="center" indent="1"/>
    </xf>
    <xf numFmtId="0" fontId="61" fillId="0" borderId="1403" xfId="0" applyNumberFormat="1" applyFont="1" applyBorder="1" applyAlignment="1">
      <alignment horizontal="right" vertical="center" indent="1"/>
    </xf>
    <xf numFmtId="0" fontId="61" fillId="0" borderId="1401" xfId="0" applyNumberFormat="1" applyFont="1" applyBorder="1" applyAlignment="1">
      <alignment horizontal="right" vertical="center" indent="1"/>
    </xf>
    <xf numFmtId="0" fontId="61" fillId="0" borderId="1399" xfId="0" applyNumberFormat="1" applyFont="1" applyBorder="1" applyAlignment="1">
      <alignment horizontal="right" vertical="center" indent="1"/>
    </xf>
    <xf numFmtId="0" fontId="61" fillId="0" borderId="1397" xfId="0" applyNumberFormat="1" applyFont="1" applyBorder="1" applyAlignment="1">
      <alignment horizontal="right" vertical="center" indent="1"/>
    </xf>
    <xf numFmtId="0" fontId="61" fillId="0" borderId="1395" xfId="0" applyNumberFormat="1" applyFont="1" applyBorder="1" applyAlignment="1">
      <alignment horizontal="right" vertical="center" indent="1"/>
    </xf>
    <xf numFmtId="0" fontId="61" fillId="0" borderId="1393" xfId="0" applyNumberFormat="1" applyFont="1" applyBorder="1" applyAlignment="1">
      <alignment horizontal="right" vertical="center" indent="1"/>
    </xf>
    <xf numFmtId="0" fontId="61" fillId="0" borderId="1391" xfId="0" applyNumberFormat="1" applyFont="1" applyBorder="1" applyAlignment="1">
      <alignment horizontal="right" vertical="center" indent="1"/>
    </xf>
    <xf numFmtId="0" fontId="61" fillId="0" borderId="1380" xfId="0" applyNumberFormat="1" applyFont="1" applyBorder="1" applyAlignment="1">
      <alignment horizontal="left" vertical="center"/>
    </xf>
    <xf numFmtId="0" fontId="61" fillId="0" borderId="1378" xfId="0" applyNumberFormat="1" applyFont="1" applyBorder="1" applyAlignment="1">
      <alignment horizontal="left" vertical="center"/>
    </xf>
    <xf numFmtId="0" fontId="61" fillId="0" borderId="1376" xfId="0" applyNumberFormat="1" applyFont="1" applyBorder="1" applyAlignment="1">
      <alignment horizontal="left" vertical="center"/>
    </xf>
    <xf numFmtId="0" fontId="61" fillId="0" borderId="1374" xfId="0" applyNumberFormat="1" applyFont="1" applyBorder="1" applyAlignment="1">
      <alignment horizontal="left" vertical="center"/>
    </xf>
    <xf numFmtId="0" fontId="61" fillId="0" borderId="1372" xfId="0" applyNumberFormat="1" applyFont="1" applyBorder="1" applyAlignment="1">
      <alignment horizontal="left" vertical="center"/>
    </xf>
    <xf numFmtId="0" fontId="61" fillId="0" borderId="1370" xfId="0" applyNumberFormat="1" applyFont="1" applyBorder="1" applyAlignment="1">
      <alignment horizontal="left" vertical="center"/>
    </xf>
    <xf numFmtId="0" fontId="61" fillId="0" borderId="1368" xfId="0" applyNumberFormat="1" applyFont="1" applyBorder="1" applyAlignment="1">
      <alignment horizontal="left" vertical="center"/>
    </xf>
    <xf numFmtId="0" fontId="61" fillId="0" borderId="1366" xfId="0" applyNumberFormat="1" applyFont="1" applyBorder="1" applyAlignment="1">
      <alignment horizontal="left" vertical="center"/>
    </xf>
    <xf numFmtId="0" fontId="61" fillId="0" borderId="1364" xfId="0" applyNumberFormat="1" applyFont="1" applyBorder="1" applyAlignment="1">
      <alignment horizontal="left" vertical="center"/>
    </xf>
    <xf numFmtId="0" fontId="61" fillId="0" borderId="1362" xfId="0" applyNumberFormat="1" applyFont="1" applyBorder="1" applyAlignment="1">
      <alignment horizontal="left" vertical="center"/>
    </xf>
    <xf numFmtId="0" fontId="61" fillId="0" borderId="1360" xfId="0" applyNumberFormat="1" applyFont="1" applyBorder="1" applyAlignment="1">
      <alignment horizontal="left" vertical="center"/>
    </xf>
    <xf numFmtId="0" fontId="61" fillId="0" borderId="1358" xfId="0" applyNumberFormat="1" applyFont="1" applyBorder="1" applyAlignment="1">
      <alignment horizontal="left" vertical="center"/>
    </xf>
    <xf numFmtId="0" fontId="61" fillId="0" borderId="1356" xfId="0" applyNumberFormat="1" applyFont="1" applyBorder="1" applyAlignment="1">
      <alignment horizontal="left" vertical="center"/>
    </xf>
    <xf numFmtId="0" fontId="61" fillId="0" borderId="1382" xfId="0" applyNumberFormat="1" applyFont="1" applyBorder="1" applyAlignment="1">
      <alignment horizontal="left" vertical="center"/>
    </xf>
    <xf numFmtId="0" fontId="61" fillId="0" borderId="1384" xfId="0" applyNumberFormat="1" applyFont="1" applyBorder="1" applyAlignment="1">
      <alignment horizontal="left" vertical="center"/>
    </xf>
    <xf numFmtId="0" fontId="61" fillId="0" borderId="1386" xfId="0" applyNumberFormat="1" applyFont="1" applyBorder="1" applyAlignment="1">
      <alignment horizontal="left" vertical="center"/>
    </xf>
    <xf numFmtId="0" fontId="61" fillId="0" borderId="1357" xfId="0" applyNumberFormat="1" applyFont="1" applyBorder="1" applyAlignment="1">
      <alignment horizontal="right" vertical="center" indent="1"/>
    </xf>
    <xf numFmtId="0" fontId="61" fillId="0" borderId="1359" xfId="0" applyNumberFormat="1" applyFont="1" applyBorder="1" applyAlignment="1">
      <alignment horizontal="right" vertical="center" indent="1"/>
    </xf>
    <xf numFmtId="0" fontId="61" fillId="0" borderId="1363" xfId="0" applyNumberFormat="1" applyFont="1" applyBorder="1" applyAlignment="1">
      <alignment horizontal="right" vertical="center" indent="1"/>
    </xf>
    <xf numFmtId="0" fontId="61" fillId="0" borderId="1361" xfId="0" applyNumberFormat="1" applyFont="1" applyBorder="1" applyAlignment="1">
      <alignment horizontal="right" vertical="center" indent="1"/>
    </xf>
    <xf numFmtId="0" fontId="61" fillId="0" borderId="1365" xfId="0" applyNumberFormat="1" applyFont="1" applyBorder="1" applyAlignment="1">
      <alignment horizontal="right" vertical="center" indent="1"/>
    </xf>
    <xf numFmtId="0" fontId="61" fillId="0" borderId="1355" xfId="0" applyNumberFormat="1" applyFont="1" applyBorder="1" applyAlignment="1">
      <alignment horizontal="right" vertical="center" indent="1"/>
    </xf>
    <xf numFmtId="0" fontId="61" fillId="0" borderId="1420" xfId="0" applyNumberFormat="1" applyFont="1" applyBorder="1" applyAlignment="1">
      <alignment horizontal="left" vertical="center"/>
    </xf>
    <xf numFmtId="0" fontId="61" fillId="0" borderId="1422" xfId="0" applyNumberFormat="1" applyFont="1" applyBorder="1" applyAlignment="1">
      <alignment horizontal="left" vertical="center"/>
    </xf>
    <xf numFmtId="0" fontId="61" fillId="0" borderId="1424" xfId="0" applyNumberFormat="1" applyFont="1" applyBorder="1" applyAlignment="1">
      <alignment horizontal="left" vertical="center"/>
    </xf>
    <xf numFmtId="0" fontId="61" fillId="0" borderId="1426" xfId="0" applyNumberFormat="1" applyFont="1" applyBorder="1" applyAlignment="1">
      <alignment horizontal="left" vertical="center"/>
    </xf>
    <xf numFmtId="0" fontId="61" fillId="0" borderId="1428" xfId="0" applyNumberFormat="1" applyFont="1" applyBorder="1" applyAlignment="1">
      <alignment horizontal="left" vertical="center"/>
    </xf>
    <xf numFmtId="0" fontId="61" fillId="0" borderId="1430" xfId="0" applyNumberFormat="1" applyFont="1" applyBorder="1" applyAlignment="1">
      <alignment horizontal="left" vertical="center"/>
    </xf>
    <xf numFmtId="0" fontId="61" fillId="0" borderId="1432" xfId="0" applyNumberFormat="1" applyFont="1" applyBorder="1" applyAlignment="1">
      <alignment horizontal="left" vertical="center"/>
    </xf>
    <xf numFmtId="0" fontId="61" fillId="0" borderId="1434" xfId="0" applyNumberFormat="1" applyFont="1" applyBorder="1" applyAlignment="1">
      <alignment horizontal="left" vertical="center"/>
    </xf>
    <xf numFmtId="0" fontId="61" fillId="0" borderId="1436" xfId="0" applyNumberFormat="1" applyFont="1" applyBorder="1" applyAlignment="1">
      <alignment horizontal="left" vertical="center"/>
    </xf>
    <xf numFmtId="0" fontId="61" fillId="0" borderId="1438" xfId="0" applyNumberFormat="1" applyFont="1" applyBorder="1" applyAlignment="1">
      <alignment horizontal="left" vertical="center"/>
    </xf>
    <xf numFmtId="0" fontId="61" fillId="0" borderId="1440" xfId="0" applyNumberFormat="1" applyFont="1" applyBorder="1" applyAlignment="1">
      <alignment horizontal="left" vertical="center"/>
    </xf>
    <xf numFmtId="0" fontId="61" fillId="0" borderId="1442" xfId="0" applyNumberFormat="1" applyFont="1" applyBorder="1" applyAlignment="1">
      <alignment horizontal="left" vertical="center"/>
    </xf>
    <xf numFmtId="0" fontId="61" fillId="0" borderId="1444" xfId="0" applyNumberFormat="1" applyFont="1" applyBorder="1" applyAlignment="1">
      <alignment horizontal="left" vertical="center"/>
    </xf>
    <xf numFmtId="0" fontId="61" fillId="0" borderId="1402" xfId="0" applyNumberFormat="1" applyFont="1" applyBorder="1" applyAlignment="1">
      <alignment horizontal="left" vertical="center"/>
    </xf>
    <xf numFmtId="0" fontId="61" fillId="0" borderId="1404" xfId="0" applyNumberFormat="1" applyFont="1" applyBorder="1" applyAlignment="1">
      <alignment horizontal="left" vertical="center"/>
    </xf>
    <xf numFmtId="0" fontId="61" fillId="0" borderId="1406" xfId="0" applyNumberFormat="1" applyFont="1" applyBorder="1" applyAlignment="1">
      <alignment horizontal="left" vertical="center"/>
    </xf>
    <xf numFmtId="0" fontId="61" fillId="0" borderId="1418" xfId="0" applyNumberFormat="1" applyFont="1" applyBorder="1" applyAlignment="1">
      <alignment horizontal="left" vertical="center"/>
    </xf>
    <xf numFmtId="0" fontId="61" fillId="0" borderId="1408" xfId="0" applyNumberFormat="1" applyFont="1" applyBorder="1" applyAlignment="1">
      <alignment horizontal="left" vertical="center"/>
    </xf>
    <xf numFmtId="0" fontId="61" fillId="0" borderId="1410" xfId="0" applyNumberFormat="1" applyFont="1" applyBorder="1" applyAlignment="1">
      <alignment horizontal="left" vertical="center"/>
    </xf>
    <xf numFmtId="0" fontId="61" fillId="0" borderId="1412" xfId="0" applyNumberFormat="1" applyFont="1" applyBorder="1" applyAlignment="1">
      <alignment horizontal="left" vertical="center"/>
    </xf>
    <xf numFmtId="0" fontId="61" fillId="0" borderId="1414" xfId="0" applyNumberFormat="1" applyFont="1" applyBorder="1" applyAlignment="1">
      <alignment horizontal="left" vertical="center"/>
    </xf>
    <xf numFmtId="0" fontId="61" fillId="0" borderId="1416" xfId="0" applyNumberFormat="1" applyFont="1" applyBorder="1" applyAlignment="1">
      <alignment horizontal="left" vertical="center"/>
    </xf>
    <xf numFmtId="0" fontId="61" fillId="0" borderId="1392" xfId="0" applyNumberFormat="1" applyFont="1" applyBorder="1" applyAlignment="1">
      <alignment horizontal="left" vertical="center"/>
    </xf>
    <xf numFmtId="0" fontId="61" fillId="0" borderId="1394" xfId="0" applyNumberFormat="1" applyFont="1" applyBorder="1" applyAlignment="1">
      <alignment horizontal="left" vertical="center"/>
    </xf>
    <xf numFmtId="0" fontId="61" fillId="0" borderId="1396" xfId="0" applyNumberFormat="1" applyFont="1" applyBorder="1" applyAlignment="1">
      <alignment horizontal="left" vertical="center"/>
    </xf>
    <xf numFmtId="0" fontId="61" fillId="0" borderId="1398" xfId="0" applyNumberFormat="1" applyFont="1" applyBorder="1" applyAlignment="1">
      <alignment horizontal="left" vertical="center"/>
    </xf>
    <xf numFmtId="0" fontId="61" fillId="0" borderId="1400" xfId="0" applyNumberFormat="1" applyFont="1" applyBorder="1" applyAlignment="1">
      <alignment horizontal="left" vertical="center"/>
    </xf>
    <xf numFmtId="0" fontId="61" fillId="0" borderId="1390" xfId="0" applyNumberFormat="1" applyFont="1" applyBorder="1" applyAlignment="1">
      <alignment horizontal="left" vertical="center"/>
    </xf>
    <xf numFmtId="0" fontId="61" fillId="0" borderId="1388" xfId="0" applyNumberFormat="1" applyFont="1" applyBorder="1" applyAlignment="1">
      <alignment horizontal="left" vertical="center"/>
    </xf>
    <xf numFmtId="0" fontId="61" fillId="0" borderId="1379" xfId="0" applyNumberFormat="1" applyFont="1" applyBorder="1" applyAlignment="1">
      <alignment horizontal="right" vertical="center" indent="1"/>
    </xf>
    <xf numFmtId="0" fontId="61" fillId="0" borderId="1389" xfId="0" applyNumberFormat="1" applyFont="1" applyBorder="1" applyAlignment="1">
      <alignment horizontal="right" vertical="center" indent="1"/>
    </xf>
    <xf numFmtId="0" fontId="61" fillId="0" borderId="1387" xfId="0" applyNumberFormat="1" applyFont="1" applyBorder="1" applyAlignment="1">
      <alignment horizontal="right" vertical="center" indent="1"/>
    </xf>
    <xf numFmtId="0" fontId="61" fillId="0" borderId="1385" xfId="0" applyNumberFormat="1" applyFont="1" applyBorder="1" applyAlignment="1">
      <alignment horizontal="right" vertical="center" indent="1"/>
    </xf>
    <xf numFmtId="0" fontId="61" fillId="0" borderId="1377" xfId="0" applyNumberFormat="1" applyFont="1" applyBorder="1" applyAlignment="1">
      <alignment horizontal="right" vertical="center" indent="1"/>
    </xf>
    <xf numFmtId="0" fontId="61" fillId="0" borderId="1375" xfId="0" applyNumberFormat="1" applyFont="1" applyBorder="1" applyAlignment="1">
      <alignment horizontal="right" vertical="center" indent="1"/>
    </xf>
    <xf numFmtId="0" fontId="61" fillId="0" borderId="1373" xfId="0" applyNumberFormat="1" applyFont="1" applyBorder="1" applyAlignment="1">
      <alignment horizontal="right" vertical="center" indent="1"/>
    </xf>
    <xf numFmtId="0" fontId="61" fillId="0" borderId="1371" xfId="0" applyNumberFormat="1" applyFont="1" applyBorder="1" applyAlignment="1">
      <alignment horizontal="right" vertical="center" indent="1"/>
    </xf>
    <xf numFmtId="0" fontId="61" fillId="0" borderId="1369" xfId="0" applyNumberFormat="1" applyFont="1" applyBorder="1" applyAlignment="1">
      <alignment horizontal="right" vertical="center" indent="1"/>
    </xf>
    <xf numFmtId="0" fontId="61" fillId="0" borderId="1367" xfId="0" applyNumberFormat="1" applyFont="1" applyBorder="1" applyAlignment="1">
      <alignment horizontal="right" vertical="center" indent="1"/>
    </xf>
    <xf numFmtId="0" fontId="61" fillId="0" borderId="1381" xfId="0" applyNumberFormat="1" applyFont="1" applyBorder="1" applyAlignment="1">
      <alignment horizontal="right" vertical="center" indent="1"/>
    </xf>
    <xf numFmtId="0" fontId="61" fillId="0" borderId="1383" xfId="0" applyNumberFormat="1" applyFont="1" applyBorder="1" applyAlignment="1">
      <alignment horizontal="right" vertical="center" indent="1"/>
    </xf>
    <xf numFmtId="0" fontId="61" fillId="0" borderId="1354" xfId="0" applyNumberFormat="1" applyFont="1" applyBorder="1" applyAlignment="1">
      <alignment horizontal="left" vertical="center"/>
    </xf>
    <xf numFmtId="0" fontId="61" fillId="0" borderId="1352" xfId="0" applyNumberFormat="1" applyFont="1" applyBorder="1" applyAlignment="1">
      <alignment horizontal="left" vertical="center"/>
    </xf>
    <xf numFmtId="0" fontId="61" fillId="0" borderId="1350" xfId="0" applyNumberFormat="1" applyFont="1" applyBorder="1" applyAlignment="1">
      <alignment horizontal="left" vertical="center"/>
    </xf>
    <xf numFmtId="0" fontId="61" fillId="0" borderId="1348" xfId="0" applyNumberFormat="1" applyFont="1" applyBorder="1" applyAlignment="1">
      <alignment horizontal="left" vertical="center"/>
    </xf>
    <xf numFmtId="0" fontId="61" fillId="0" borderId="1349" xfId="0" applyNumberFormat="1" applyFont="1" applyBorder="1" applyAlignment="1">
      <alignment horizontal="right" vertical="center" indent="1"/>
    </xf>
    <xf numFmtId="0" fontId="61" fillId="0" borderId="1347" xfId="0" applyNumberFormat="1" applyFont="1" applyBorder="1" applyAlignment="1">
      <alignment horizontal="right" vertical="center" indent="1"/>
    </xf>
    <xf numFmtId="0" fontId="61" fillId="0" borderId="1345" xfId="0" applyNumberFormat="1" applyFont="1" applyBorder="1" applyAlignment="1">
      <alignment horizontal="right" vertical="center" indent="1"/>
    </xf>
    <xf numFmtId="0" fontId="61" fillId="0" borderId="1346" xfId="0" applyNumberFormat="1" applyFont="1" applyBorder="1" applyAlignment="1">
      <alignment horizontal="left" vertical="center"/>
    </xf>
    <xf numFmtId="0" fontId="61" fillId="0" borderId="1344" xfId="0" applyNumberFormat="1" applyFont="1" applyBorder="1" applyAlignment="1">
      <alignment horizontal="center" vertical="center" wrapText="1"/>
    </xf>
    <xf numFmtId="0" fontId="61" fillId="0" borderId="1342" xfId="0" applyNumberFormat="1" applyFont="1" applyBorder="1" applyAlignment="1">
      <alignment horizontal="center" vertical="center" wrapText="1"/>
    </xf>
    <xf numFmtId="0" fontId="61" fillId="0" borderId="1343" xfId="0" applyNumberFormat="1" applyFont="1" applyBorder="1" applyAlignment="1">
      <alignment horizontal="center" vertical="center" wrapText="1"/>
    </xf>
    <xf numFmtId="0" fontId="61" fillId="0" borderId="1351" xfId="0" applyNumberFormat="1" applyFont="1" applyBorder="1" applyAlignment="1">
      <alignment horizontal="right" vertical="center" indent="1"/>
    </xf>
    <xf numFmtId="0" fontId="61" fillId="0" borderId="1353" xfId="0" applyNumberFormat="1" applyFont="1" applyBorder="1" applyAlignment="1">
      <alignment horizontal="right" vertical="center" indent="1"/>
    </xf>
    <xf numFmtId="0" fontId="44" fillId="0" borderId="1323" xfId="0" applyNumberFormat="1" applyFont="1" applyBorder="1" applyAlignment="1">
      <alignment horizontal="left" vertical="center" wrapText="1"/>
    </xf>
    <xf numFmtId="0" fontId="44" fillId="0" borderId="1324" xfId="0" applyNumberFormat="1" applyFont="1" applyBorder="1" applyAlignment="1">
      <alignment horizontal="left" vertical="center" wrapText="1"/>
    </xf>
    <xf numFmtId="0" fontId="44" fillId="0" borderId="1325" xfId="0" applyNumberFormat="1" applyFont="1" applyBorder="1" applyAlignment="1">
      <alignment horizontal="left" vertical="center" wrapText="1"/>
    </xf>
    <xf numFmtId="0" fontId="44" fillId="0" borderId="1326" xfId="0" applyNumberFormat="1" applyFont="1" applyBorder="1" applyAlignment="1">
      <alignment horizontal="left" vertical="center" wrapText="1"/>
    </xf>
    <xf numFmtId="0" fontId="44" fillId="0" borderId="1327" xfId="0" applyNumberFormat="1" applyFont="1" applyBorder="1" applyAlignment="1">
      <alignment horizontal="left" vertical="center" wrapText="1"/>
    </xf>
    <xf numFmtId="0" fontId="44" fillId="0" borderId="1328" xfId="0" applyNumberFormat="1" applyFont="1" applyBorder="1" applyAlignment="1">
      <alignment horizontal="left" vertical="center" wrapText="1"/>
    </xf>
    <xf numFmtId="0" fontId="44" fillId="0" borderId="1329" xfId="0" applyNumberFormat="1" applyFont="1" applyBorder="1" applyAlignment="1">
      <alignment horizontal="left" vertical="center" wrapText="1"/>
    </xf>
    <xf numFmtId="0" fontId="44" fillId="0" borderId="1330" xfId="0" applyNumberFormat="1" applyFont="1" applyBorder="1" applyAlignment="1">
      <alignment vertical="center" wrapText="1"/>
    </xf>
    <xf numFmtId="0" fontId="44" fillId="0" borderId="1331" xfId="0" applyNumberFormat="1" applyFont="1" applyBorder="1" applyAlignment="1">
      <alignment vertical="center" wrapText="1"/>
    </xf>
    <xf numFmtId="0" fontId="44" fillId="0" borderId="1332" xfId="0" applyNumberFormat="1" applyFont="1" applyBorder="1" applyAlignment="1">
      <alignment vertical="center" wrapText="1"/>
    </xf>
    <xf numFmtId="0" fontId="44" fillId="0" borderId="1333" xfId="0" applyNumberFormat="1" applyFont="1" applyBorder="1" applyAlignment="1">
      <alignment vertical="center" wrapText="1"/>
    </xf>
    <xf numFmtId="0" fontId="44" fillId="0" borderId="1334" xfId="0" applyNumberFormat="1" applyFont="1" applyBorder="1" applyAlignment="1">
      <alignment vertical="center" wrapText="1"/>
    </xf>
    <xf numFmtId="0" fontId="44" fillId="0" borderId="1335" xfId="0" applyNumberFormat="1" applyFont="1" applyBorder="1" applyAlignment="1">
      <alignment vertical="center" wrapText="1"/>
    </xf>
    <xf numFmtId="0" fontId="44" fillId="0" borderId="1336" xfId="0" applyNumberFormat="1" applyFont="1" applyBorder="1" applyAlignment="1">
      <alignment vertical="center" wrapText="1"/>
    </xf>
    <xf numFmtId="0" fontId="43" fillId="0" borderId="0" xfId="0" applyNumberFormat="1" applyFont="1" applyAlignment="1">
      <alignment horizontal="right" vertical="center" wrapText="1"/>
    </xf>
    <xf numFmtId="0" fontId="43" fillId="0" borderId="0" xfId="0" applyNumberFormat="1" applyFont="1" applyAlignment="1">
      <alignment horizontal="center" vertical="center" wrapText="1"/>
    </xf>
    <xf numFmtId="0" fontId="44" fillId="0" borderId="1337" xfId="0" applyNumberFormat="1" applyFont="1" applyBorder="1" applyAlignment="1">
      <alignment horizontal="left" vertical="center" wrapText="1"/>
    </xf>
    <xf numFmtId="0" fontId="44" fillId="0" borderId="1338" xfId="0" applyNumberFormat="1" applyFont="1" applyBorder="1" applyAlignment="1">
      <alignment horizontal="left" vertical="center" wrapText="1"/>
    </xf>
    <xf numFmtId="0" fontId="44" fillId="0" borderId="1339" xfId="0" applyNumberFormat="1" applyFont="1" applyBorder="1" applyAlignment="1">
      <alignment horizontal="left" vertical="center" wrapText="1"/>
    </xf>
    <xf numFmtId="0" fontId="44" fillId="0" borderId="1340" xfId="0" applyNumberFormat="1" applyFont="1" applyBorder="1" applyAlignment="1">
      <alignment horizontal="left" vertical="center" wrapText="1"/>
    </xf>
    <xf numFmtId="0" fontId="44" fillId="0" borderId="1341" xfId="0" applyNumberFormat="1" applyFont="1" applyBorder="1" applyAlignment="1">
      <alignment horizontal="left" vertical="center" wrapText="1"/>
    </xf>
    <xf numFmtId="0" fontId="32" fillId="0" borderId="1460" xfId="0" applyNumberFormat="1" applyFont="1" applyBorder="1" applyAlignment="1">
      <alignment horizontal="center"/>
    </xf>
    <xf numFmtId="0" fontId="32" fillId="0" borderId="1461" xfId="0" applyNumberFormat="1" applyFont="1" applyBorder="1" applyAlignment="1">
      <alignment horizontal="center"/>
    </xf>
    <xf numFmtId="0" fontId="32" fillId="0" borderId="1458" xfId="0" applyNumberFormat="1" applyFont="1" applyBorder="1" applyAlignment="1">
      <alignment horizontal="center"/>
    </xf>
    <xf numFmtId="0" fontId="32" fillId="0" borderId="1459" xfId="0" applyNumberFormat="1" applyFont="1" applyBorder="1" applyAlignment="1">
      <alignment horizontal="center"/>
    </xf>
    <xf numFmtId="0" fontId="61" fillId="0" borderId="1448" xfId="0" applyNumberFormat="1" applyFont="1" applyBorder="1" applyAlignment="1">
      <alignment horizontal="left" vertical="center" wrapText="1" indent="1"/>
    </xf>
    <xf numFmtId="0" fontId="61" fillId="0" borderId="1449" xfId="0" applyNumberFormat="1" applyFont="1" applyBorder="1" applyAlignment="1">
      <alignment horizontal="left" vertical="center" wrapText="1" indent="1"/>
    </xf>
    <xf numFmtId="0" fontId="61" fillId="0" borderId="1450" xfId="0" applyNumberFormat="1" applyFont="1" applyBorder="1" applyAlignment="1">
      <alignment horizontal="left" vertical="center" wrapText="1" indent="1"/>
    </xf>
    <xf numFmtId="0" fontId="61" fillId="0" borderId="1445" xfId="0" applyNumberFormat="1" applyFont="1" applyBorder="1" applyAlignment="1">
      <alignment horizontal="left" indent="1"/>
    </xf>
    <xf numFmtId="0" fontId="61" fillId="0" borderId="1446" xfId="0" applyNumberFormat="1" applyFont="1" applyBorder="1" applyAlignment="1">
      <alignment horizontal="left" indent="1"/>
    </xf>
    <xf numFmtId="0" fontId="61" fillId="0" borderId="1447" xfId="0" applyNumberFormat="1" applyFont="1" applyBorder="1" applyAlignment="1">
      <alignment horizontal="left" indent="1"/>
    </xf>
    <xf numFmtId="0" fontId="61" fillId="0" borderId="1451" xfId="0" applyNumberFormat="1" applyFont="1" applyBorder="1" applyAlignment="1">
      <alignment horizontal="left" vertical="center" wrapText="1" indent="1"/>
    </xf>
    <xf numFmtId="0" fontId="61" fillId="0" borderId="1452" xfId="0" applyNumberFormat="1" applyFont="1" applyBorder="1" applyAlignment="1">
      <alignment horizontal="left" vertical="center" wrapText="1" indent="1"/>
    </xf>
    <xf numFmtId="0" fontId="61" fillId="0" borderId="1453" xfId="0" applyNumberFormat="1" applyFont="1" applyBorder="1" applyAlignment="1">
      <alignment horizontal="left" vertical="center" wrapText="1" indent="1"/>
    </xf>
    <xf numFmtId="0" fontId="32" fillId="0" borderId="1454" xfId="0" applyNumberFormat="1" applyFont="1" applyBorder="1" applyAlignment="1">
      <alignment horizontal="center" vertical="center"/>
    </xf>
    <xf numFmtId="0" fontId="32" fillId="0" borderId="1455" xfId="0" applyNumberFormat="1" applyFont="1" applyBorder="1" applyAlignment="1">
      <alignment horizontal="center" vertical="center"/>
    </xf>
    <xf numFmtId="0" fontId="32" fillId="0" borderId="1456" xfId="0" applyNumberFormat="1" applyFont="1" applyBorder="1" applyAlignment="1">
      <alignment horizontal="center" vertical="center"/>
    </xf>
    <xf numFmtId="0" fontId="32" fillId="0" borderId="1457" xfId="0" applyNumberFormat="1" applyFont="1" applyBorder="1" applyAlignment="1">
      <alignment horizontal="center"/>
    </xf>
    <xf numFmtId="170" fontId="7" fillId="8" borderId="1478" xfId="0" applyNumberFormat="1" applyFont="1" applyFill="1" applyBorder="1" applyAlignment="1">
      <alignment horizontal="center" vertical="center" wrapText="1"/>
    </xf>
    <xf numFmtId="170" fontId="7" fillId="8" borderId="1479" xfId="0" applyNumberFormat="1" applyFont="1" applyFill="1" applyBorder="1" applyAlignment="1">
      <alignment horizontal="center" vertical="center" wrapText="1"/>
    </xf>
    <xf numFmtId="170" fontId="7" fillId="8" borderId="1480" xfId="0" applyNumberFormat="1" applyFont="1" applyFill="1" applyBorder="1" applyAlignment="1">
      <alignment horizontal="center" vertical="center" wrapText="1"/>
    </xf>
    <xf numFmtId="170" fontId="7" fillId="8" borderId="1481" xfId="0" applyNumberFormat="1" applyFont="1" applyFill="1" applyBorder="1" applyAlignment="1">
      <alignment horizontal="center" vertical="center" wrapText="1"/>
    </xf>
    <xf numFmtId="170" fontId="7" fillId="8" borderId="1482" xfId="0" applyNumberFormat="1" applyFont="1" applyFill="1" applyBorder="1" applyAlignment="1">
      <alignment horizontal="center" vertical="center" wrapText="1"/>
    </xf>
    <xf numFmtId="170" fontId="7" fillId="8" borderId="1483" xfId="0" applyNumberFormat="1" applyFont="1" applyFill="1" applyBorder="1" applyAlignment="1">
      <alignment horizontal="center" vertical="center" wrapText="1"/>
    </xf>
    <xf numFmtId="170" fontId="7" fillId="8" borderId="1484" xfId="0" applyNumberFormat="1" applyFont="1" applyFill="1" applyBorder="1" applyAlignment="1">
      <alignment horizontal="center" vertical="center" wrapText="1"/>
    </xf>
    <xf numFmtId="170" fontId="7" fillId="8" borderId="1485" xfId="0" applyNumberFormat="1" applyFont="1" applyFill="1" applyBorder="1" applyAlignment="1">
      <alignment horizontal="center" vertical="center" wrapText="1"/>
    </xf>
    <xf numFmtId="170" fontId="7" fillId="8" borderId="1486" xfId="0" applyNumberFormat="1" applyFont="1" applyFill="1" applyBorder="1" applyAlignment="1">
      <alignment horizontal="center" vertical="center" wrapText="1"/>
    </xf>
    <xf numFmtId="170" fontId="7" fillId="8" borderId="1487" xfId="0" applyNumberFormat="1" applyFont="1" applyFill="1" applyBorder="1" applyAlignment="1">
      <alignment horizontal="center" vertical="center" wrapText="1"/>
    </xf>
    <xf numFmtId="170" fontId="7" fillId="8" borderId="1488" xfId="0" applyNumberFormat="1" applyFont="1" applyFill="1" applyBorder="1" applyAlignment="1">
      <alignment horizontal="center" vertical="center" wrapText="1"/>
    </xf>
    <xf numFmtId="170" fontId="7" fillId="8" borderId="1489" xfId="0" applyNumberFormat="1" applyFont="1" applyFill="1" applyBorder="1" applyAlignment="1">
      <alignment horizontal="center" vertical="center" wrapText="1"/>
    </xf>
    <xf numFmtId="170" fontId="7" fillId="8" borderId="1490" xfId="0" applyNumberFormat="1" applyFont="1" applyFill="1" applyBorder="1" applyAlignment="1">
      <alignment horizontal="center" vertical="center" wrapText="1"/>
    </xf>
    <xf numFmtId="170" fontId="7" fillId="8" borderId="1491" xfId="0" applyNumberFormat="1" applyFont="1" applyFill="1" applyBorder="1" applyAlignment="1">
      <alignment horizontal="center" vertical="center" wrapText="1"/>
    </xf>
    <xf numFmtId="170" fontId="7" fillId="8" borderId="1492" xfId="0" applyNumberFormat="1" applyFont="1" applyFill="1" applyBorder="1" applyAlignment="1">
      <alignment horizontal="center" vertical="center" wrapText="1"/>
    </xf>
    <xf numFmtId="170" fontId="7" fillId="8" borderId="1493" xfId="0" applyNumberFormat="1" applyFont="1" applyFill="1" applyBorder="1" applyAlignment="1">
      <alignment horizontal="center" vertical="center" wrapText="1"/>
    </xf>
    <xf numFmtId="170" fontId="7" fillId="8" borderId="1494" xfId="0" applyNumberFormat="1" applyFont="1" applyFill="1" applyBorder="1" applyAlignment="1">
      <alignment horizontal="center" vertical="center" wrapText="1"/>
    </xf>
    <xf numFmtId="170" fontId="7" fillId="8" borderId="1495" xfId="0" applyNumberFormat="1" applyFont="1" applyFill="1" applyBorder="1" applyAlignment="1">
      <alignment horizontal="center" vertical="center" wrapText="1"/>
    </xf>
    <xf numFmtId="170" fontId="7" fillId="8" borderId="1496" xfId="0" applyNumberFormat="1" applyFont="1" applyFill="1" applyBorder="1" applyAlignment="1">
      <alignment horizontal="center" vertical="center" wrapText="1"/>
    </xf>
    <xf numFmtId="170" fontId="7" fillId="8" borderId="1497" xfId="0" applyNumberFormat="1" applyFont="1" applyFill="1" applyBorder="1" applyAlignment="1">
      <alignment horizontal="center" vertical="center" wrapText="1"/>
    </xf>
    <xf numFmtId="170" fontId="7" fillId="8" borderId="1498" xfId="0" applyNumberFormat="1" applyFont="1" applyFill="1" applyBorder="1" applyAlignment="1">
      <alignment horizontal="center" vertical="center" wrapText="1"/>
    </xf>
    <xf numFmtId="170" fontId="7" fillId="8" borderId="1499" xfId="0" applyNumberFormat="1" applyFont="1" applyFill="1" applyBorder="1" applyAlignment="1">
      <alignment horizontal="center" vertical="center" wrapText="1"/>
    </xf>
    <xf numFmtId="170" fontId="7" fillId="8" borderId="1500" xfId="0" applyNumberFormat="1" applyFont="1" applyFill="1" applyBorder="1" applyAlignment="1">
      <alignment horizontal="center" vertical="center" wrapText="1"/>
    </xf>
    <xf numFmtId="170" fontId="7" fillId="8" borderId="1501" xfId="0" applyNumberFormat="1" applyFont="1" applyFill="1" applyBorder="1" applyAlignment="1">
      <alignment horizontal="center" vertical="center" wrapText="1"/>
    </xf>
    <xf numFmtId="170" fontId="7" fillId="8" borderId="1502" xfId="0" applyNumberFormat="1" applyFont="1" applyFill="1" applyBorder="1" applyAlignment="1">
      <alignment horizontal="center" vertical="center" wrapText="1"/>
    </xf>
    <xf numFmtId="170" fontId="7" fillId="8" borderId="1503" xfId="0" applyNumberFormat="1" applyFont="1" applyFill="1" applyBorder="1" applyAlignment="1">
      <alignment horizontal="center" vertical="center" wrapText="1"/>
    </xf>
    <xf numFmtId="0" fontId="77" fillId="7" borderId="1514" xfId="0" applyNumberFormat="1" applyFont="1" applyFill="1" applyBorder="1" applyAlignment="1">
      <alignment horizontal="center" vertical="center"/>
    </xf>
    <xf numFmtId="0" fontId="77" fillId="7" borderId="1515" xfId="0" applyNumberFormat="1" applyFont="1" applyFill="1" applyBorder="1" applyAlignment="1">
      <alignment horizontal="center" vertical="center"/>
    </xf>
    <xf numFmtId="0" fontId="77" fillId="7" borderId="1516" xfId="0" applyNumberFormat="1" applyFont="1" applyFill="1" applyBorder="1" applyAlignment="1">
      <alignment horizontal="center" vertical="center"/>
    </xf>
    <xf numFmtId="0" fontId="77" fillId="7" borderId="1517" xfId="0" applyNumberFormat="1" applyFont="1" applyFill="1" applyBorder="1" applyAlignment="1">
      <alignment horizontal="center" vertical="center"/>
    </xf>
    <xf numFmtId="0" fontId="77" fillId="7" borderId="1518" xfId="0" applyNumberFormat="1" applyFont="1" applyFill="1" applyBorder="1" applyAlignment="1">
      <alignment horizontal="center" vertical="center"/>
    </xf>
    <xf numFmtId="0" fontId="77" fillId="7" borderId="1519" xfId="0" applyNumberFormat="1" applyFont="1" applyFill="1" applyBorder="1" applyAlignment="1">
      <alignment horizontal="center" vertical="center"/>
    </xf>
    <xf numFmtId="0" fontId="77" fillId="7" borderId="1520" xfId="0" applyNumberFormat="1" applyFont="1" applyFill="1" applyBorder="1" applyAlignment="1">
      <alignment horizontal="center" vertical="center"/>
    </xf>
    <xf numFmtId="0" fontId="77" fillId="7" borderId="1521" xfId="0" applyNumberFormat="1" applyFont="1" applyFill="1" applyBorder="1" applyAlignment="1">
      <alignment horizontal="center" vertical="center"/>
    </xf>
    <xf numFmtId="0" fontId="77" fillId="7" borderId="1522" xfId="0" applyNumberFormat="1" applyFont="1" applyFill="1" applyBorder="1" applyAlignment="1">
      <alignment horizontal="center" vertical="center"/>
    </xf>
    <xf numFmtId="0" fontId="77" fillId="7" borderId="1523" xfId="0" applyNumberFormat="1" applyFont="1" applyFill="1" applyBorder="1" applyAlignment="1">
      <alignment horizontal="center" vertical="center"/>
    </xf>
    <xf numFmtId="0" fontId="77" fillId="7" borderId="1524" xfId="0" applyNumberFormat="1" applyFont="1" applyFill="1" applyBorder="1" applyAlignment="1">
      <alignment horizontal="center" vertical="center"/>
    </xf>
    <xf numFmtId="0" fontId="77" fillId="7" borderId="1525" xfId="0" applyNumberFormat="1" applyFont="1" applyFill="1" applyBorder="1" applyAlignment="1">
      <alignment horizontal="center" vertical="center"/>
    </xf>
    <xf numFmtId="0" fontId="77" fillId="7" borderId="1531" xfId="0" applyNumberFormat="1" applyFont="1" applyFill="1" applyBorder="1" applyAlignment="1">
      <alignment horizontal="center" vertical="center"/>
    </xf>
    <xf numFmtId="0" fontId="77" fillId="7" borderId="1532" xfId="0" applyNumberFormat="1" applyFont="1" applyFill="1" applyBorder="1" applyAlignment="1">
      <alignment horizontal="center" vertical="center"/>
    </xf>
    <xf numFmtId="0" fontId="77" fillId="7" borderId="1533" xfId="0" applyNumberFormat="1" applyFont="1" applyFill="1" applyBorder="1" applyAlignment="1">
      <alignment horizontal="center" vertical="center"/>
    </xf>
    <xf numFmtId="0" fontId="77" fillId="7" borderId="1534" xfId="0" applyNumberFormat="1" applyFont="1" applyFill="1" applyBorder="1" applyAlignment="1">
      <alignment horizontal="center" vertical="center"/>
    </xf>
    <xf numFmtId="0" fontId="77" fillId="7" borderId="1535" xfId="0" applyNumberFormat="1" applyFont="1" applyFill="1" applyBorder="1" applyAlignment="1">
      <alignment horizontal="center" vertical="center"/>
    </xf>
    <xf numFmtId="0" fontId="77" fillId="7" borderId="1536" xfId="0" applyNumberFormat="1" applyFont="1" applyFill="1" applyBorder="1" applyAlignment="1">
      <alignment horizontal="center" vertical="center"/>
    </xf>
    <xf numFmtId="0" fontId="77" fillId="7" borderId="1537" xfId="0" applyNumberFormat="1" applyFont="1" applyFill="1" applyBorder="1" applyAlignment="1">
      <alignment horizontal="center" vertical="center"/>
    </xf>
    <xf numFmtId="0" fontId="77" fillId="7" borderId="1538" xfId="0" applyNumberFormat="1" applyFont="1" applyFill="1" applyBorder="1" applyAlignment="1">
      <alignment horizontal="center" vertical="center"/>
    </xf>
    <xf numFmtId="0" fontId="77" fillId="7" borderId="1539" xfId="0" applyNumberFormat="1" applyFont="1" applyFill="1" applyBorder="1" applyAlignment="1">
      <alignment horizontal="center" vertical="center"/>
    </xf>
    <xf numFmtId="0" fontId="77" fillId="7" borderId="1540" xfId="0" applyNumberFormat="1" applyFont="1" applyFill="1" applyBorder="1" applyAlignment="1">
      <alignment horizontal="center" vertical="center"/>
    </xf>
    <xf numFmtId="0" fontId="77" fillId="7" borderId="1541" xfId="0" applyNumberFormat="1" applyFont="1" applyFill="1" applyBorder="1" applyAlignment="1">
      <alignment horizontal="center" vertical="center"/>
    </xf>
    <xf numFmtId="0" fontId="77" fillId="7" borderId="1542" xfId="0" applyNumberFormat="1" applyFont="1" applyFill="1" applyBorder="1" applyAlignment="1">
      <alignment horizontal="center" vertical="center"/>
    </xf>
    <xf numFmtId="0" fontId="77" fillId="7" borderId="1543" xfId="0" applyNumberFormat="1" applyFont="1" applyFill="1" applyBorder="1" applyAlignment="1">
      <alignment horizontal="center" vertical="center"/>
    </xf>
    <xf numFmtId="0" fontId="77" fillId="7" borderId="1548" xfId="0" applyNumberFormat="1" applyFont="1" applyFill="1" applyBorder="1" applyAlignment="1">
      <alignment horizontal="center" vertical="center"/>
    </xf>
    <xf numFmtId="0" fontId="77" fillId="7" borderId="1549" xfId="0" applyNumberFormat="1" applyFont="1" applyFill="1" applyBorder="1" applyAlignment="1">
      <alignment horizontal="center" vertical="center"/>
    </xf>
    <xf numFmtId="0" fontId="77" fillId="7" borderId="1550" xfId="0" applyNumberFormat="1" applyFont="1" applyFill="1" applyBorder="1" applyAlignment="1">
      <alignment horizontal="center" vertical="center"/>
    </xf>
    <xf numFmtId="0" fontId="77" fillId="7" borderId="1551" xfId="0" applyNumberFormat="1" applyFont="1" applyFill="1" applyBorder="1" applyAlignment="1">
      <alignment horizontal="center" vertical="center"/>
    </xf>
    <xf numFmtId="0" fontId="77" fillId="7" borderId="1552" xfId="0" applyNumberFormat="1" applyFont="1" applyFill="1" applyBorder="1" applyAlignment="1">
      <alignment horizontal="center" vertical="center"/>
    </xf>
    <xf numFmtId="0" fontId="77" fillId="7" borderId="1553" xfId="0" applyNumberFormat="1" applyFont="1" applyFill="1" applyBorder="1" applyAlignment="1">
      <alignment horizontal="center" vertical="center"/>
    </xf>
    <xf numFmtId="0" fontId="77" fillId="7" borderId="1554" xfId="0" applyNumberFormat="1" applyFont="1" applyFill="1" applyBorder="1" applyAlignment="1">
      <alignment horizontal="center" vertical="center"/>
    </xf>
    <xf numFmtId="0" fontId="77" fillId="7" borderId="1555" xfId="0" applyNumberFormat="1" applyFont="1" applyFill="1" applyBorder="1" applyAlignment="1">
      <alignment horizontal="center" vertical="center"/>
    </xf>
    <xf numFmtId="0" fontId="77" fillId="7" borderId="1556" xfId="0" applyNumberFormat="1" applyFont="1" applyFill="1" applyBorder="1" applyAlignment="1">
      <alignment horizontal="center" vertical="center"/>
    </xf>
    <xf numFmtId="0" fontId="77" fillId="7" borderId="1557" xfId="0" applyNumberFormat="1" applyFont="1" applyFill="1" applyBorder="1" applyAlignment="1">
      <alignment horizontal="center" vertical="center"/>
    </xf>
    <xf numFmtId="0" fontId="77" fillId="7" borderId="1558" xfId="0" applyNumberFormat="1" applyFont="1" applyFill="1" applyBorder="1" applyAlignment="1">
      <alignment horizontal="center" vertical="center"/>
    </xf>
    <xf numFmtId="0" fontId="77" fillId="7" borderId="1559" xfId="0" applyNumberFormat="1" applyFont="1" applyFill="1" applyBorder="1" applyAlignment="1">
      <alignment horizontal="center" vertical="center"/>
    </xf>
    <xf numFmtId="0" fontId="77" fillId="7" borderId="1566" xfId="0" applyNumberFormat="1" applyFont="1" applyFill="1" applyBorder="1" applyAlignment="1">
      <alignment horizontal="center" vertical="center"/>
    </xf>
    <xf numFmtId="0" fontId="77" fillId="7" borderId="1567" xfId="0" applyNumberFormat="1" applyFont="1" applyFill="1" applyBorder="1" applyAlignment="1">
      <alignment horizontal="center" vertical="center"/>
    </xf>
    <xf numFmtId="0" fontId="77" fillId="7" borderId="1568" xfId="0" applyNumberFormat="1" applyFont="1" applyFill="1" applyBorder="1" applyAlignment="1">
      <alignment horizontal="center" vertical="center"/>
    </xf>
    <xf numFmtId="0" fontId="77" fillId="7" borderId="1569" xfId="0" applyNumberFormat="1" applyFont="1" applyFill="1" applyBorder="1" applyAlignment="1">
      <alignment horizontal="center" vertical="center"/>
    </xf>
    <xf numFmtId="0" fontId="77" fillId="7" borderId="1570" xfId="0" applyNumberFormat="1" applyFont="1" applyFill="1" applyBorder="1" applyAlignment="1">
      <alignment horizontal="center" vertical="center"/>
    </xf>
    <xf numFmtId="0" fontId="77" fillId="7" borderId="1571" xfId="0" applyNumberFormat="1" applyFont="1" applyFill="1" applyBorder="1" applyAlignment="1">
      <alignment horizontal="center" vertical="center"/>
    </xf>
    <xf numFmtId="0" fontId="77" fillId="7" borderId="1572" xfId="0" applyNumberFormat="1" applyFont="1" applyFill="1" applyBorder="1" applyAlignment="1">
      <alignment horizontal="center" vertical="center"/>
    </xf>
    <xf numFmtId="0" fontId="77" fillId="7" borderId="1573" xfId="0" applyNumberFormat="1" applyFont="1" applyFill="1" applyBorder="1" applyAlignment="1">
      <alignment horizontal="center" vertical="center"/>
    </xf>
    <xf numFmtId="0" fontId="77" fillId="7" borderId="1574" xfId="0" applyNumberFormat="1" applyFont="1" applyFill="1" applyBorder="1" applyAlignment="1">
      <alignment horizontal="center" vertical="center"/>
    </xf>
    <xf numFmtId="0" fontId="77" fillId="7" borderId="1575" xfId="0" applyNumberFormat="1" applyFont="1" applyFill="1" applyBorder="1" applyAlignment="1">
      <alignment horizontal="center" vertical="center"/>
    </xf>
    <xf numFmtId="0" fontId="77" fillId="7" borderId="1576" xfId="0" applyNumberFormat="1" applyFont="1" applyFill="1" applyBorder="1" applyAlignment="1">
      <alignment horizontal="center" vertical="center"/>
    </xf>
    <xf numFmtId="0" fontId="77" fillId="7" borderId="1577" xfId="0" applyNumberFormat="1" applyFont="1" applyFill="1" applyBorder="1" applyAlignment="1">
      <alignment horizontal="center" vertical="center"/>
    </xf>
    <xf numFmtId="0" fontId="77" fillId="7" borderId="1578" xfId="0" applyNumberFormat="1" applyFont="1" applyFill="1" applyBorder="1" applyAlignment="1">
      <alignment horizontal="center" vertical="center"/>
    </xf>
    <xf numFmtId="0" fontId="79" fillId="7" borderId="1510" xfId="0" applyNumberFormat="1" applyFont="1" applyFill="1" applyBorder="1" applyAlignment="1">
      <alignment horizontal="center" vertical="center"/>
    </xf>
    <xf numFmtId="0" fontId="79" fillId="7" borderId="1511" xfId="0" applyNumberFormat="1" applyFont="1" applyFill="1" applyBorder="1" applyAlignment="1">
      <alignment horizontal="center" vertical="center"/>
    </xf>
    <xf numFmtId="0" fontId="79" fillId="7" borderId="1512" xfId="0" applyNumberFormat="1" applyFont="1" applyFill="1" applyBorder="1" applyAlignment="1">
      <alignment horizontal="center" vertical="center"/>
    </xf>
    <xf numFmtId="0" fontId="79" fillId="7" borderId="1513" xfId="0" applyNumberFormat="1" applyFont="1" applyFill="1" applyBorder="1" applyAlignment="1">
      <alignment horizontal="center" vertical="center"/>
    </xf>
    <xf numFmtId="0" fontId="79" fillId="7" borderId="1526" xfId="0" applyNumberFormat="1" applyFont="1" applyFill="1" applyBorder="1" applyAlignment="1">
      <alignment horizontal="center" vertical="center"/>
    </xf>
    <xf numFmtId="0" fontId="79" fillId="7" borderId="1527" xfId="0" applyNumberFormat="1" applyFont="1" applyFill="1" applyBorder="1" applyAlignment="1">
      <alignment horizontal="center" vertical="center"/>
    </xf>
    <xf numFmtId="0" fontId="79" fillId="7" borderId="1528" xfId="0" applyNumberFormat="1" applyFont="1" applyFill="1" applyBorder="1" applyAlignment="1">
      <alignment horizontal="center" vertical="center"/>
    </xf>
    <xf numFmtId="0" fontId="79" fillId="7" borderId="1529" xfId="0" applyNumberFormat="1" applyFont="1" applyFill="1" applyBorder="1" applyAlignment="1">
      <alignment horizontal="center" vertical="center"/>
    </xf>
    <xf numFmtId="0" fontId="79" fillId="7" borderId="1530" xfId="0" applyNumberFormat="1" applyFont="1" applyFill="1" applyBorder="1" applyAlignment="1">
      <alignment horizontal="center" vertical="center"/>
    </xf>
    <xf numFmtId="0" fontId="79" fillId="7" borderId="1544" xfId="0" applyNumberFormat="1" applyFont="1" applyFill="1" applyBorder="1" applyAlignment="1">
      <alignment horizontal="center" vertical="center"/>
    </xf>
    <xf numFmtId="0" fontId="79" fillId="7" borderId="1545" xfId="0" applyNumberFormat="1" applyFont="1" applyFill="1" applyBorder="1" applyAlignment="1">
      <alignment horizontal="center" vertical="center"/>
    </xf>
    <xf numFmtId="0" fontId="79" fillId="7" borderId="1546" xfId="0" applyNumberFormat="1" applyFont="1" applyFill="1" applyBorder="1" applyAlignment="1">
      <alignment horizontal="center" vertical="center"/>
    </xf>
    <xf numFmtId="0" fontId="79" fillId="7" borderId="1547" xfId="0" applyNumberFormat="1" applyFont="1" applyFill="1" applyBorder="1" applyAlignment="1">
      <alignment horizontal="center" vertical="center"/>
    </xf>
    <xf numFmtId="0" fontId="79" fillId="7" borderId="1561" xfId="0" applyNumberFormat="1" applyFont="1" applyFill="1" applyBorder="1" applyAlignment="1">
      <alignment horizontal="center" vertical="center"/>
    </xf>
    <xf numFmtId="0" fontId="79" fillId="7" borderId="1562" xfId="0" applyNumberFormat="1" applyFont="1" applyFill="1" applyBorder="1" applyAlignment="1">
      <alignment horizontal="center" vertical="center"/>
    </xf>
    <xf numFmtId="0" fontId="79" fillId="7" borderId="1563" xfId="0" applyNumberFormat="1" applyFont="1" applyFill="1" applyBorder="1" applyAlignment="1">
      <alignment horizontal="center" vertical="center"/>
    </xf>
    <xf numFmtId="0" fontId="79" fillId="7" borderId="1564" xfId="0" applyNumberFormat="1" applyFont="1" applyFill="1" applyBorder="1" applyAlignment="1">
      <alignment horizontal="center" vertical="center"/>
    </xf>
    <xf numFmtId="0" fontId="79" fillId="7" borderId="1565" xfId="0" applyNumberFormat="1" applyFont="1" applyFill="1" applyBorder="1" applyAlignment="1">
      <alignment horizontal="center" vertical="center"/>
    </xf>
    <xf numFmtId="0" fontId="74" fillId="7" borderId="0" xfId="0" applyNumberFormat="1" applyFont="1" applyFill="1" applyAlignment="1">
      <alignment vertical="center"/>
    </xf>
    <xf numFmtId="0" fontId="74" fillId="7" borderId="0" xfId="0" applyNumberFormat="1" applyFont="1" applyFill="1" applyAlignment="1">
      <alignment vertical="center" wrapText="1"/>
    </xf>
    <xf numFmtId="170" fontId="17" fillId="7" borderId="1504" xfId="0" applyNumberFormat="1" applyFont="1" applyFill="1" applyBorder="1" applyAlignment="1">
      <alignment horizontal="center" vertical="center" wrapText="1"/>
    </xf>
    <xf numFmtId="170" fontId="17" fillId="7" borderId="1505" xfId="0" applyNumberFormat="1" applyFont="1" applyFill="1" applyBorder="1" applyAlignment="1">
      <alignment horizontal="center" vertical="center" wrapText="1"/>
    </xf>
    <xf numFmtId="170" fontId="17" fillId="7" borderId="1506" xfId="0" applyNumberFormat="1" applyFont="1" applyFill="1" applyBorder="1" applyAlignment="1">
      <alignment horizontal="center" vertical="center" wrapText="1"/>
    </xf>
    <xf numFmtId="170" fontId="17" fillId="7" borderId="1507" xfId="0" applyNumberFormat="1" applyFont="1" applyFill="1" applyBorder="1" applyAlignment="1">
      <alignment horizontal="center" vertical="center" wrapText="1"/>
    </xf>
    <xf numFmtId="170" fontId="17" fillId="7" borderId="1508" xfId="0" applyNumberFormat="1" applyFont="1" applyFill="1" applyBorder="1" applyAlignment="1">
      <alignment horizontal="center" vertical="center" wrapText="1"/>
    </xf>
    <xf numFmtId="170" fontId="17" fillId="7" borderId="1509" xfId="0" applyNumberFormat="1" applyFont="1" applyFill="1" applyBorder="1" applyAlignment="1">
      <alignment horizontal="center" vertical="center" wrapText="1"/>
    </xf>
    <xf numFmtId="170" fontId="7" fillId="8" borderId="1462" xfId="0" applyNumberFormat="1" applyFont="1" applyFill="1" applyBorder="1" applyAlignment="1">
      <alignment horizontal="center" vertical="center" wrapText="1"/>
    </xf>
    <xf numFmtId="170" fontId="7" fillId="8" borderId="1463" xfId="0" applyNumberFormat="1" applyFont="1" applyFill="1" applyBorder="1" applyAlignment="1">
      <alignment horizontal="center" vertical="center" wrapText="1"/>
    </xf>
    <xf numFmtId="170" fontId="7" fillId="8" borderId="1464" xfId="0" applyNumberFormat="1" applyFont="1" applyFill="1" applyBorder="1" applyAlignment="1">
      <alignment horizontal="center" vertical="center" wrapText="1"/>
    </xf>
    <xf numFmtId="170" fontId="7" fillId="8" borderId="1465" xfId="0" applyNumberFormat="1" applyFont="1" applyFill="1" applyBorder="1" applyAlignment="1">
      <alignment horizontal="center" vertical="center" wrapText="1"/>
    </xf>
    <xf numFmtId="170" fontId="7" fillId="8" borderId="1466" xfId="0" applyNumberFormat="1" applyFont="1" applyFill="1" applyBorder="1" applyAlignment="1">
      <alignment horizontal="center" vertical="center" wrapText="1"/>
    </xf>
    <xf numFmtId="170" fontId="7" fillId="8" borderId="1467" xfId="0" applyNumberFormat="1" applyFont="1" applyFill="1" applyBorder="1" applyAlignment="1">
      <alignment horizontal="center" vertical="center" wrapText="1"/>
    </xf>
    <xf numFmtId="170" fontId="7" fillId="8" borderId="1468" xfId="0" applyNumberFormat="1" applyFont="1" applyFill="1" applyBorder="1" applyAlignment="1">
      <alignment horizontal="center" vertical="center" wrapText="1"/>
    </xf>
    <xf numFmtId="170" fontId="7" fillId="8" borderId="1469" xfId="0" applyNumberFormat="1" applyFont="1" applyFill="1" applyBorder="1" applyAlignment="1">
      <alignment horizontal="center" vertical="center" wrapText="1"/>
    </xf>
    <xf numFmtId="170" fontId="7" fillId="8" borderId="1470" xfId="0" applyNumberFormat="1" applyFont="1" applyFill="1" applyBorder="1" applyAlignment="1">
      <alignment horizontal="center" vertical="center" wrapText="1"/>
    </xf>
    <xf numFmtId="170" fontId="7" fillId="8" borderId="1471" xfId="0" applyNumberFormat="1" applyFont="1" applyFill="1" applyBorder="1" applyAlignment="1">
      <alignment horizontal="center" vertical="center" wrapText="1"/>
    </xf>
    <xf numFmtId="170" fontId="7" fillId="8" borderId="1472" xfId="0" applyNumberFormat="1" applyFont="1" applyFill="1" applyBorder="1" applyAlignment="1">
      <alignment horizontal="center" vertical="center" wrapText="1"/>
    </xf>
    <xf numFmtId="170" fontId="7" fillId="8" borderId="1473" xfId="0" applyNumberFormat="1" applyFont="1" applyFill="1" applyBorder="1" applyAlignment="1">
      <alignment horizontal="center" vertical="center" wrapText="1"/>
    </xf>
    <xf numFmtId="170" fontId="7" fillId="8" borderId="1474" xfId="0" applyNumberFormat="1" applyFont="1" applyFill="1" applyBorder="1" applyAlignment="1">
      <alignment horizontal="center" vertical="center" wrapText="1"/>
    </xf>
    <xf numFmtId="170" fontId="7" fillId="8" borderId="1475" xfId="0" applyNumberFormat="1" applyFont="1" applyFill="1" applyBorder="1" applyAlignment="1">
      <alignment horizontal="center" vertical="center" wrapText="1"/>
    </xf>
    <xf numFmtId="170" fontId="7" fillId="8" borderId="1476" xfId="0" applyNumberFormat="1" applyFont="1" applyFill="1" applyBorder="1" applyAlignment="1">
      <alignment horizontal="center" vertical="center" wrapText="1"/>
    </xf>
    <xf numFmtId="170" fontId="7" fillId="8" borderId="1477" xfId="0" applyNumberFormat="1" applyFont="1" applyFill="1" applyBorder="1" applyAlignment="1">
      <alignment horizontal="center" vertical="center" wrapText="1"/>
    </xf>
    <xf numFmtId="0" fontId="27" fillId="0" borderId="1611" xfId="0" applyNumberFormat="1" applyFont="1" applyBorder="1" applyAlignment="1">
      <alignment horizontal="center" vertical="center" wrapText="1"/>
    </xf>
    <xf numFmtId="0" fontId="28" fillId="0" borderId="1612" xfId="0" applyNumberFormat="1" applyFont="1" applyBorder="1" applyAlignment="1">
      <alignment horizontal="center" vertical="center"/>
    </xf>
    <xf numFmtId="0" fontId="28" fillId="0" borderId="1613" xfId="0" applyNumberFormat="1" applyFont="1" applyBorder="1" applyAlignment="1">
      <alignment horizontal="center" vertical="center"/>
    </xf>
    <xf numFmtId="0" fontId="28" fillId="0" borderId="1614" xfId="0" applyNumberFormat="1" applyFont="1" applyBorder="1" applyAlignment="1">
      <alignment horizontal="center" vertical="center" textRotation="90"/>
    </xf>
    <xf numFmtId="0" fontId="28" fillId="0" borderId="1615" xfId="0" applyNumberFormat="1" applyFont="1" applyBorder="1" applyAlignment="1">
      <alignment vertical="center" textRotation="90"/>
    </xf>
    <xf numFmtId="0" fontId="13" fillId="0" borderId="1606" xfId="0" applyNumberFormat="1" applyFont="1" applyBorder="1" applyAlignment="1">
      <alignment horizontal="center" vertical="center" textRotation="90"/>
    </xf>
    <xf numFmtId="170" fontId="85" fillId="0" borderId="1580" xfId="0" applyNumberFormat="1" applyFont="1" applyBorder="1" applyAlignment="1">
      <alignment horizontal="center" vertical="center" wrapText="1"/>
    </xf>
    <xf numFmtId="170" fontId="85" fillId="0" borderId="1581" xfId="0" applyNumberFormat="1" applyFont="1" applyBorder="1" applyAlignment="1">
      <alignment horizontal="center" vertical="center" wrapText="1"/>
    </xf>
    <xf numFmtId="170" fontId="85" fillId="0" borderId="1582" xfId="0" applyNumberFormat="1" applyFont="1" applyBorder="1" applyAlignment="1">
      <alignment horizontal="center" vertical="center" wrapText="1"/>
    </xf>
    <xf numFmtId="170" fontId="85" fillId="0" borderId="1583" xfId="0" applyNumberFormat="1" applyFont="1" applyBorder="1" applyAlignment="1">
      <alignment horizontal="center" vertical="center" wrapText="1"/>
    </xf>
    <xf numFmtId="170" fontId="85" fillId="0" borderId="1584" xfId="0" applyNumberFormat="1" applyFont="1" applyBorder="1" applyAlignment="1">
      <alignment horizontal="center" vertical="center" wrapText="1"/>
    </xf>
    <xf numFmtId="170" fontId="85" fillId="0" borderId="1585" xfId="0" applyNumberFormat="1" applyFont="1" applyBorder="1" applyAlignment="1">
      <alignment horizontal="center" vertical="center" wrapText="1"/>
    </xf>
    <xf numFmtId="170" fontId="85" fillId="0" borderId="1586" xfId="0" applyNumberFormat="1" applyFont="1" applyBorder="1" applyAlignment="1">
      <alignment horizontal="center" vertical="center" wrapText="1"/>
    </xf>
    <xf numFmtId="170" fontId="85" fillId="0" borderId="1587" xfId="0" applyNumberFormat="1" applyFont="1" applyBorder="1" applyAlignment="1">
      <alignment horizontal="center" vertical="center" wrapText="1"/>
    </xf>
    <xf numFmtId="170" fontId="85" fillId="0" borderId="1588" xfId="0" applyNumberFormat="1" applyFont="1" applyBorder="1" applyAlignment="1">
      <alignment horizontal="center" vertical="center" wrapText="1"/>
    </xf>
    <xf numFmtId="170" fontId="85" fillId="0" borderId="1589" xfId="0" applyNumberFormat="1" applyFont="1" applyBorder="1" applyAlignment="1">
      <alignment horizontal="center" vertical="center" wrapText="1"/>
    </xf>
    <xf numFmtId="170" fontId="85" fillId="0" borderId="1590" xfId="0" applyNumberFormat="1" applyFont="1" applyBorder="1" applyAlignment="1">
      <alignment horizontal="center" vertical="center" wrapText="1"/>
    </xf>
    <xf numFmtId="170" fontId="85" fillId="0" borderId="1591" xfId="0" applyNumberFormat="1" applyFont="1" applyBorder="1" applyAlignment="1">
      <alignment horizontal="center" vertical="center" wrapText="1"/>
    </xf>
    <xf numFmtId="170" fontId="85" fillId="0" borderId="1592" xfId="0" applyNumberFormat="1" applyFont="1" applyBorder="1" applyAlignment="1">
      <alignment horizontal="center" vertical="center" wrapText="1"/>
    </xf>
    <xf numFmtId="170" fontId="85" fillId="0" borderId="1593" xfId="0" applyNumberFormat="1" applyFont="1" applyBorder="1" applyAlignment="1">
      <alignment horizontal="center" vertical="center" wrapText="1"/>
    </xf>
    <xf numFmtId="170" fontId="85" fillId="0" borderId="1594" xfId="0" applyNumberFormat="1" applyFont="1" applyBorder="1" applyAlignment="1">
      <alignment horizontal="center" vertical="center" wrapText="1"/>
    </xf>
    <xf numFmtId="170" fontId="85" fillId="0" borderId="1595" xfId="0" applyNumberFormat="1" applyFont="1" applyBorder="1" applyAlignment="1">
      <alignment horizontal="center" vertical="center" wrapText="1"/>
    </xf>
    <xf numFmtId="170" fontId="85" fillId="0" borderId="1596" xfId="0" applyNumberFormat="1" applyFont="1" applyBorder="1" applyAlignment="1">
      <alignment horizontal="center" vertical="center" wrapText="1"/>
    </xf>
    <xf numFmtId="170" fontId="85" fillId="0" borderId="1597" xfId="0" applyNumberFormat="1" applyFont="1" applyBorder="1" applyAlignment="1">
      <alignment horizontal="center" vertical="center" wrapText="1"/>
    </xf>
    <xf numFmtId="170" fontId="85" fillId="0" borderId="1598" xfId="0" applyNumberFormat="1" applyFont="1" applyBorder="1" applyAlignment="1">
      <alignment horizontal="center" vertical="center" wrapText="1"/>
    </xf>
    <xf numFmtId="170" fontId="16" fillId="0" borderId="1599" xfId="0" applyNumberFormat="1" applyFont="1" applyBorder="1" applyAlignment="1">
      <alignment horizontal="center" vertical="center" wrapText="1"/>
    </xf>
    <xf numFmtId="170" fontId="16" fillId="0" borderId="1600" xfId="0" applyNumberFormat="1" applyFont="1" applyBorder="1" applyAlignment="1">
      <alignment horizontal="center" vertical="center" wrapText="1"/>
    </xf>
    <xf numFmtId="170" fontId="16" fillId="0" borderId="1601" xfId="0" applyNumberFormat="1" applyFont="1" applyBorder="1" applyAlignment="1">
      <alignment horizontal="center" vertical="center" wrapText="1"/>
    </xf>
    <xf numFmtId="170" fontId="16" fillId="0" borderId="1602" xfId="0" applyNumberFormat="1" applyFont="1" applyBorder="1" applyAlignment="1">
      <alignment horizontal="center" vertical="center" wrapText="1"/>
    </xf>
    <xf numFmtId="170" fontId="16" fillId="0" borderId="1603" xfId="0" applyNumberFormat="1" applyFont="1" applyBorder="1" applyAlignment="1">
      <alignment horizontal="center" vertical="center" wrapText="1"/>
    </xf>
    <xf numFmtId="170" fontId="16" fillId="0" borderId="1604" xfId="0" applyNumberFormat="1" applyFont="1" applyBorder="1" applyAlignment="1">
      <alignment horizontal="center" vertical="center" wrapText="1"/>
    </xf>
    <xf numFmtId="170" fontId="16" fillId="0" borderId="1605" xfId="0" applyNumberFormat="1" applyFont="1" applyBorder="1" applyAlignment="1">
      <alignment horizontal="center" vertical="center" wrapText="1"/>
    </xf>
    <xf numFmtId="0" fontId="28" fillId="0" borderId="1607" xfId="0" applyNumberFormat="1" applyFont="1" applyBorder="1" applyAlignment="1">
      <alignment horizontal="center" vertical="center" wrapText="1"/>
    </xf>
    <xf numFmtId="0" fontId="28" fillId="0" borderId="1579" xfId="0" applyNumberFormat="1" applyFont="1" applyBorder="1" applyAlignment="1">
      <alignment horizontal="center" vertical="center"/>
    </xf>
    <xf numFmtId="0" fontId="28" fillId="0" borderId="1608" xfId="0" applyNumberFormat="1" applyFont="1" applyBorder="1" applyAlignment="1">
      <alignment horizontal="center" vertical="center"/>
    </xf>
    <xf numFmtId="0" fontId="28" fillId="0" borderId="1609" xfId="0" applyNumberFormat="1" applyFont="1" applyBorder="1" applyAlignment="1">
      <alignment horizontal="center" vertical="center"/>
    </xf>
    <xf numFmtId="0" fontId="28" fillId="0" borderId="1610" xfId="0" applyNumberFormat="1" applyFont="1" applyBorder="1" applyAlignment="1">
      <alignment horizontal="center" vertical="center" wrapText="1"/>
    </xf>
    <xf numFmtId="0" fontId="61" fillId="0" borderId="1734" xfId="0" applyNumberFormat="1" applyFont="1" applyBorder="1" applyAlignment="1">
      <alignment horizontal="right" vertical="center" indent="1"/>
    </xf>
    <xf numFmtId="0" fontId="61" fillId="0" borderId="1736" xfId="0" applyNumberFormat="1" applyFont="1" applyBorder="1" applyAlignment="1">
      <alignment horizontal="right" vertical="center" indent="1"/>
    </xf>
    <xf numFmtId="0" fontId="32" fillId="0" borderId="1750" xfId="0" applyNumberFormat="1" applyFont="1" applyBorder="1" applyAlignment="1">
      <alignment horizontal="center"/>
    </xf>
    <xf numFmtId="0" fontId="32" fillId="0" borderId="1747" xfId="0" applyNumberFormat="1" applyFont="1" applyBorder="1" applyAlignment="1">
      <alignment horizontal="center" vertical="center"/>
    </xf>
    <xf numFmtId="0" fontId="32" fillId="0" borderId="1748" xfId="0" applyNumberFormat="1" applyFont="1" applyBorder="1" applyAlignment="1">
      <alignment horizontal="center" vertical="center"/>
    </xf>
    <xf numFmtId="0" fontId="32" fillId="0" borderId="1749" xfId="0" applyNumberFormat="1" applyFont="1" applyBorder="1" applyAlignment="1">
      <alignment horizontal="center" vertical="center"/>
    </xf>
    <xf numFmtId="0" fontId="61" fillId="0" borderId="1744" xfId="0" applyNumberFormat="1" applyFont="1" applyBorder="1" applyAlignment="1">
      <alignment horizontal="left" vertical="center" wrapText="1" indent="1"/>
    </xf>
    <xf numFmtId="0" fontId="61" fillId="0" borderId="1745" xfId="0" applyNumberFormat="1" applyFont="1" applyBorder="1" applyAlignment="1">
      <alignment horizontal="left" vertical="center" wrapText="1" indent="1"/>
    </xf>
    <xf numFmtId="0" fontId="61" fillId="0" borderId="1746" xfId="0" applyNumberFormat="1" applyFont="1" applyBorder="1" applyAlignment="1">
      <alignment horizontal="left" vertical="center" wrapText="1" indent="1"/>
    </xf>
    <xf numFmtId="0" fontId="61" fillId="0" borderId="1741" xfId="0" applyNumberFormat="1" applyFont="1" applyBorder="1" applyAlignment="1">
      <alignment horizontal="left" vertical="center" wrapText="1" indent="1"/>
    </xf>
    <xf numFmtId="0" fontId="61" fillId="0" borderId="1742" xfId="0" applyNumberFormat="1" applyFont="1" applyBorder="1" applyAlignment="1">
      <alignment horizontal="left" vertical="center" wrapText="1" indent="1"/>
    </xf>
    <xf numFmtId="0" fontId="61" fillId="0" borderId="1743" xfId="0" applyNumberFormat="1" applyFont="1" applyBorder="1" applyAlignment="1">
      <alignment horizontal="left" vertical="center" wrapText="1" indent="1"/>
    </xf>
    <xf numFmtId="0" fontId="61" fillId="0" borderId="1738" xfId="0" applyNumberFormat="1" applyFont="1" applyBorder="1" applyAlignment="1">
      <alignment horizontal="left" indent="1"/>
    </xf>
    <xf numFmtId="0" fontId="61" fillId="0" borderId="1739" xfId="0" applyNumberFormat="1" applyFont="1" applyBorder="1" applyAlignment="1">
      <alignment horizontal="left" indent="1"/>
    </xf>
    <xf numFmtId="0" fontId="61" fillId="0" borderId="1740" xfId="0" applyNumberFormat="1" applyFont="1" applyBorder="1" applyAlignment="1">
      <alignment horizontal="left" indent="1"/>
    </xf>
    <xf numFmtId="0" fontId="32" fillId="0" borderId="1751" xfId="0" applyNumberFormat="1" applyFont="1" applyBorder="1" applyAlignment="1">
      <alignment horizontal="center"/>
    </xf>
    <xf numFmtId="0" fontId="32" fillId="0" borderId="1752" xfId="0" applyNumberFormat="1" applyFont="1" applyBorder="1" applyAlignment="1">
      <alignment horizontal="center"/>
    </xf>
    <xf numFmtId="0" fontId="32" fillId="0" borderId="1753" xfId="0" applyNumberFormat="1" applyFont="1" applyBorder="1" applyAlignment="1">
      <alignment horizontal="center"/>
    </xf>
    <xf numFmtId="0" fontId="32" fillId="0" borderId="1754" xfId="0" applyNumberFormat="1" applyFont="1" applyBorder="1" applyAlignment="1">
      <alignment horizontal="center"/>
    </xf>
    <xf numFmtId="0" fontId="61" fillId="0" borderId="1737" xfId="0" applyNumberFormat="1" applyFont="1" applyBorder="1" applyAlignment="1">
      <alignment horizontal="left" vertical="center"/>
    </xf>
    <xf numFmtId="0" fontId="61" fillId="0" borderId="1735" xfId="0" applyNumberFormat="1" applyFont="1" applyBorder="1" applyAlignment="1">
      <alignment horizontal="left" vertical="center"/>
    </xf>
    <xf numFmtId="0" fontId="61" fillId="0" borderId="1733" xfId="0" applyNumberFormat="1" applyFont="1" applyBorder="1" applyAlignment="1">
      <alignment horizontal="left" vertical="center"/>
    </xf>
    <xf numFmtId="0" fontId="61" fillId="0" borderId="1731" xfId="0" applyNumberFormat="1" applyFont="1" applyBorder="1" applyAlignment="1">
      <alignment horizontal="left" vertical="center"/>
    </xf>
    <xf numFmtId="0" fontId="61" fillId="0" borderId="1729" xfId="0" applyNumberFormat="1" applyFont="1" applyBorder="1" applyAlignment="1">
      <alignment horizontal="left" vertical="center"/>
    </xf>
    <xf numFmtId="0" fontId="61" fillId="0" borderId="1727" xfId="0" applyNumberFormat="1" applyFont="1" applyBorder="1" applyAlignment="1">
      <alignment horizontal="left" vertical="center"/>
    </xf>
    <xf numFmtId="0" fontId="61" fillId="0" borderId="1725" xfId="0" applyNumberFormat="1" applyFont="1" applyBorder="1" applyAlignment="1">
      <alignment horizontal="left" vertical="center"/>
    </xf>
    <xf numFmtId="0" fontId="61" fillId="0" borderId="1723" xfId="0" applyNumberFormat="1" applyFont="1" applyBorder="1" applyAlignment="1">
      <alignment horizontal="left" vertical="center"/>
    </xf>
    <xf numFmtId="0" fontId="61" fillId="0" borderId="1721" xfId="0" applyNumberFormat="1" applyFont="1" applyBorder="1" applyAlignment="1">
      <alignment horizontal="left" vertical="center"/>
    </xf>
    <xf numFmtId="0" fontId="61" fillId="0" borderId="1732" xfId="0" applyNumberFormat="1" applyFont="1" applyBorder="1" applyAlignment="1">
      <alignment horizontal="right" vertical="center" indent="1"/>
    </xf>
    <xf numFmtId="0" fontId="61" fillId="0" borderId="1730" xfId="0" applyNumberFormat="1" applyFont="1" applyBorder="1" applyAlignment="1">
      <alignment horizontal="right" vertical="center" indent="1"/>
    </xf>
    <xf numFmtId="0" fontId="61" fillId="0" borderId="1728" xfId="0" applyNumberFormat="1" applyFont="1" applyBorder="1" applyAlignment="1">
      <alignment horizontal="right" vertical="center" indent="1"/>
    </xf>
    <xf numFmtId="0" fontId="61" fillId="0" borderId="1726" xfId="0" applyNumberFormat="1" applyFont="1" applyBorder="1" applyAlignment="1">
      <alignment horizontal="right" vertical="center" indent="1"/>
    </xf>
    <xf numFmtId="0" fontId="61" fillId="0" borderId="1724" xfId="0" applyNumberFormat="1" applyFont="1" applyBorder="1" applyAlignment="1">
      <alignment horizontal="right" vertical="center" indent="1"/>
    </xf>
    <xf numFmtId="0" fontId="61" fillId="0" borderId="1722" xfId="0" applyNumberFormat="1" applyFont="1" applyBorder="1" applyAlignment="1">
      <alignment horizontal="right" vertical="center" indent="1"/>
    </xf>
    <xf numFmtId="0" fontId="61" fillId="0" borderId="1720" xfId="0" applyNumberFormat="1" applyFont="1" applyBorder="1" applyAlignment="1">
      <alignment horizontal="right" vertical="center" indent="1"/>
    </xf>
    <xf numFmtId="0" fontId="61" fillId="0" borderId="1718" xfId="0" applyNumberFormat="1" applyFont="1" applyBorder="1" applyAlignment="1">
      <alignment horizontal="right" vertical="center" indent="1"/>
    </xf>
    <xf numFmtId="0" fontId="61" fillId="0" borderId="1716" xfId="0" applyNumberFormat="1" applyFont="1" applyBorder="1" applyAlignment="1">
      <alignment horizontal="right" vertical="center" indent="1"/>
    </xf>
    <xf numFmtId="0" fontId="61" fillId="0" borderId="1714" xfId="0" applyNumberFormat="1" applyFont="1" applyBorder="1" applyAlignment="1">
      <alignment horizontal="right" vertical="center" indent="1"/>
    </xf>
    <xf numFmtId="0" fontId="61" fillId="0" borderId="1712" xfId="0" applyNumberFormat="1" applyFont="1" applyBorder="1" applyAlignment="1">
      <alignment horizontal="right" vertical="center" indent="1"/>
    </xf>
    <xf numFmtId="0" fontId="61" fillId="0" borderId="1710" xfId="0" applyNumberFormat="1" applyFont="1" applyBorder="1" applyAlignment="1">
      <alignment horizontal="right" vertical="center" indent="1"/>
    </xf>
    <xf numFmtId="0" fontId="61" fillId="0" borderId="1719" xfId="0" applyNumberFormat="1" applyFont="1" applyBorder="1" applyAlignment="1">
      <alignment horizontal="left" vertical="center"/>
    </xf>
    <xf numFmtId="0" fontId="61" fillId="0" borderId="1717" xfId="0" applyNumberFormat="1" applyFont="1" applyBorder="1" applyAlignment="1">
      <alignment horizontal="left" vertical="center"/>
    </xf>
    <xf numFmtId="0" fontId="61" fillId="0" borderId="1715" xfId="0" applyNumberFormat="1" applyFont="1" applyBorder="1" applyAlignment="1">
      <alignment horizontal="left" vertical="center"/>
    </xf>
    <xf numFmtId="0" fontId="61" fillId="0" borderId="1713" xfId="0" applyNumberFormat="1" applyFont="1" applyBorder="1" applyAlignment="1">
      <alignment horizontal="left" vertical="center"/>
    </xf>
    <xf numFmtId="0" fontId="61" fillId="0" borderId="1711" xfId="0" applyNumberFormat="1" applyFont="1" applyBorder="1" applyAlignment="1">
      <alignment horizontal="left" vertical="center"/>
    </xf>
    <xf numFmtId="0" fontId="61" fillId="0" borderId="1709" xfId="0" applyNumberFormat="1" applyFont="1" applyBorder="1" applyAlignment="1">
      <alignment horizontal="left" vertical="center"/>
    </xf>
    <xf numFmtId="0" fontId="61" fillId="0" borderId="1707" xfId="0" applyNumberFormat="1" applyFont="1" applyBorder="1" applyAlignment="1">
      <alignment horizontal="left" vertical="center"/>
    </xf>
    <xf numFmtId="0" fontId="61" fillId="0" borderId="1705" xfId="0" applyNumberFormat="1" applyFont="1" applyBorder="1" applyAlignment="1">
      <alignment horizontal="left" vertical="center"/>
    </xf>
    <xf numFmtId="0" fontId="61" fillId="0" borderId="1708" xfId="0" applyNumberFormat="1" applyFont="1" applyBorder="1" applyAlignment="1">
      <alignment horizontal="right" vertical="center" indent="1"/>
    </xf>
    <xf numFmtId="0" fontId="61" fillId="0" borderId="1706" xfId="0" applyNumberFormat="1" applyFont="1" applyBorder="1" applyAlignment="1">
      <alignment horizontal="right" vertical="center" indent="1"/>
    </xf>
    <xf numFmtId="0" fontId="61" fillId="0" borderId="1704" xfId="0" applyNumberFormat="1" applyFont="1" applyBorder="1" applyAlignment="1">
      <alignment horizontal="right" vertical="center" indent="1"/>
    </xf>
    <xf numFmtId="0" fontId="61" fillId="0" borderId="1702" xfId="0" applyNumberFormat="1" applyFont="1" applyBorder="1" applyAlignment="1">
      <alignment horizontal="right" vertical="center" indent="1"/>
    </xf>
    <xf numFmtId="0" fontId="61" fillId="0" borderId="1700" xfId="0" applyNumberFormat="1" applyFont="1" applyBorder="1" applyAlignment="1">
      <alignment horizontal="right" vertical="center" indent="1"/>
    </xf>
    <xf numFmtId="0" fontId="61" fillId="0" borderId="1703" xfId="0" applyNumberFormat="1" applyFont="1" applyBorder="1" applyAlignment="1">
      <alignment horizontal="left" vertical="center"/>
    </xf>
    <xf numFmtId="0" fontId="61" fillId="0" borderId="1701" xfId="0" applyNumberFormat="1" applyFont="1" applyBorder="1" applyAlignment="1">
      <alignment horizontal="left" vertical="center"/>
    </xf>
    <xf numFmtId="0" fontId="61" fillId="0" borderId="1699" xfId="0" applyNumberFormat="1" applyFont="1" applyBorder="1" applyAlignment="1">
      <alignment horizontal="left" vertical="center"/>
    </xf>
    <xf numFmtId="0" fontId="61" fillId="0" borderId="1697" xfId="0" applyNumberFormat="1" applyFont="1" applyBorder="1" applyAlignment="1">
      <alignment horizontal="left" vertical="center"/>
    </xf>
    <xf numFmtId="0" fontId="61" fillId="0" borderId="1695" xfId="0" applyNumberFormat="1" applyFont="1" applyBorder="1" applyAlignment="1">
      <alignment horizontal="left" vertical="center"/>
    </xf>
    <xf numFmtId="0" fontId="61" fillId="0" borderId="1693" xfId="0" applyNumberFormat="1" applyFont="1" applyBorder="1" applyAlignment="1">
      <alignment horizontal="left" vertical="center"/>
    </xf>
    <xf numFmtId="0" fontId="61" fillId="0" borderId="1691" xfId="0" applyNumberFormat="1" applyFont="1" applyBorder="1" applyAlignment="1">
      <alignment horizontal="left" vertical="center"/>
    </xf>
    <xf numFmtId="0" fontId="61" fillId="0" borderId="1689" xfId="0" applyNumberFormat="1" applyFont="1" applyBorder="1" applyAlignment="1">
      <alignment horizontal="left" vertical="center"/>
    </xf>
    <xf numFmtId="0" fontId="61" fillId="0" borderId="1687" xfId="0" applyNumberFormat="1" applyFont="1" applyBorder="1" applyAlignment="1">
      <alignment horizontal="left" vertical="center"/>
    </xf>
    <xf numFmtId="0" fontId="61" fillId="0" borderId="1698" xfId="0" applyNumberFormat="1" applyFont="1" applyBorder="1" applyAlignment="1">
      <alignment horizontal="right" vertical="center" indent="1"/>
    </xf>
    <xf numFmtId="0" fontId="61" fillId="0" borderId="1696" xfId="0" applyNumberFormat="1" applyFont="1" applyBorder="1" applyAlignment="1">
      <alignment horizontal="right" vertical="center" indent="1"/>
    </xf>
    <xf numFmtId="0" fontId="61" fillId="0" borderId="1694" xfId="0" applyNumberFormat="1" applyFont="1" applyBorder="1" applyAlignment="1">
      <alignment horizontal="right" vertical="center" indent="1"/>
    </xf>
    <xf numFmtId="0" fontId="61" fillId="0" borderId="1692" xfId="0" applyNumberFormat="1" applyFont="1" applyBorder="1" applyAlignment="1">
      <alignment horizontal="right" vertical="center" indent="1"/>
    </xf>
    <xf numFmtId="0" fontId="61" fillId="0" borderId="1690" xfId="0" applyNumberFormat="1" applyFont="1" applyBorder="1" applyAlignment="1">
      <alignment horizontal="right" vertical="center" indent="1"/>
    </xf>
    <xf numFmtId="0" fontId="61" fillId="0" borderId="1688" xfId="0" applyNumberFormat="1" applyFont="1" applyBorder="1" applyAlignment="1">
      <alignment horizontal="right" vertical="center" indent="1"/>
    </xf>
    <xf numFmtId="0" fontId="61" fillId="0" borderId="1686" xfId="0" applyNumberFormat="1" applyFont="1" applyBorder="1" applyAlignment="1">
      <alignment horizontal="right" vertical="center" indent="1"/>
    </xf>
    <xf numFmtId="0" fontId="61" fillId="0" borderId="1684" xfId="0" applyNumberFormat="1" applyFont="1" applyBorder="1" applyAlignment="1">
      <alignment horizontal="right" vertical="center" indent="1"/>
    </xf>
    <xf numFmtId="0" fontId="61" fillId="0" borderId="1682" xfId="0" applyNumberFormat="1" applyFont="1" applyBorder="1" applyAlignment="1">
      <alignment horizontal="right" vertical="center" indent="1"/>
    </xf>
    <xf numFmtId="0" fontId="61" fillId="0" borderId="1680" xfId="0" applyNumberFormat="1" applyFont="1" applyBorder="1" applyAlignment="1">
      <alignment horizontal="right" vertical="center" indent="1"/>
    </xf>
    <xf numFmtId="0" fontId="61" fillId="0" borderId="1678" xfId="0" applyNumberFormat="1" applyFont="1" applyBorder="1" applyAlignment="1">
      <alignment horizontal="right" vertical="center" indent="1"/>
    </xf>
    <xf numFmtId="0" fontId="61" fillId="0" borderId="1685" xfId="0" applyNumberFormat="1" applyFont="1" applyBorder="1" applyAlignment="1">
      <alignment horizontal="left" vertical="center"/>
    </xf>
    <xf numFmtId="0" fontId="61" fillId="0" borderId="1683" xfId="0" applyNumberFormat="1" applyFont="1" applyBorder="1" applyAlignment="1">
      <alignment horizontal="left" vertical="center"/>
    </xf>
    <xf numFmtId="0" fontId="61" fillId="0" borderId="1681" xfId="0" applyNumberFormat="1" applyFont="1" applyBorder="1" applyAlignment="1">
      <alignment horizontal="left" vertical="center"/>
    </xf>
    <xf numFmtId="0" fontId="61" fillId="0" borderId="1679" xfId="0" applyNumberFormat="1" applyFont="1" applyBorder="1" applyAlignment="1">
      <alignment horizontal="left" vertical="center"/>
    </xf>
    <xf numFmtId="0" fontId="61" fillId="0" borderId="1677" xfId="0" applyNumberFormat="1" applyFont="1" applyBorder="1" applyAlignment="1">
      <alignment horizontal="left" vertical="center"/>
    </xf>
    <xf numFmtId="0" fontId="61" fillId="0" borderId="1675" xfId="0" applyNumberFormat="1" applyFont="1" applyBorder="1" applyAlignment="1">
      <alignment horizontal="left" vertical="center"/>
    </xf>
    <xf numFmtId="0" fontId="61" fillId="0" borderId="1673" xfId="0" applyNumberFormat="1" applyFont="1" applyBorder="1" applyAlignment="1">
      <alignment horizontal="left" vertical="center"/>
    </xf>
    <xf numFmtId="0" fontId="61" fillId="0" borderId="1671" xfId="0" applyNumberFormat="1" applyFont="1" applyBorder="1" applyAlignment="1">
      <alignment horizontal="left" vertical="center"/>
    </xf>
    <xf numFmtId="0" fontId="61" fillId="0" borderId="1669" xfId="0" applyNumberFormat="1" applyFont="1" applyBorder="1" applyAlignment="1">
      <alignment horizontal="left" vertical="center"/>
    </xf>
    <xf numFmtId="0" fontId="61" fillId="0" borderId="1667" xfId="0" applyNumberFormat="1" applyFont="1" applyBorder="1" applyAlignment="1">
      <alignment horizontal="left" vertical="center"/>
    </xf>
    <xf numFmtId="0" fontId="61" fillId="0" borderId="1665" xfId="0" applyNumberFormat="1" applyFont="1" applyBorder="1" applyAlignment="1">
      <alignment horizontal="left" vertical="center"/>
    </xf>
    <xf numFmtId="0" fontId="61" fillId="0" borderId="1676" xfId="0" applyNumberFormat="1" applyFont="1" applyBorder="1" applyAlignment="1">
      <alignment horizontal="right" vertical="center" indent="1"/>
    </xf>
    <xf numFmtId="0" fontId="61" fillId="0" borderId="1674" xfId="0" applyNumberFormat="1" applyFont="1" applyBorder="1" applyAlignment="1">
      <alignment horizontal="right" vertical="center" indent="1"/>
    </xf>
    <xf numFmtId="0" fontId="61" fillId="0" borderId="1672" xfId="0" applyNumberFormat="1" applyFont="1" applyBorder="1" applyAlignment="1">
      <alignment horizontal="right" vertical="center" indent="1"/>
    </xf>
    <xf numFmtId="0" fontId="61" fillId="0" borderId="1670" xfId="0" applyNumberFormat="1" applyFont="1" applyBorder="1" applyAlignment="1">
      <alignment horizontal="right" vertical="center" indent="1"/>
    </xf>
    <xf numFmtId="0" fontId="61" fillId="0" borderId="1668" xfId="0" applyNumberFormat="1" applyFont="1" applyBorder="1" applyAlignment="1">
      <alignment horizontal="right" vertical="center" indent="1"/>
    </xf>
    <xf numFmtId="0" fontId="61" fillId="0" borderId="1666" xfId="0" applyNumberFormat="1" applyFont="1" applyBorder="1" applyAlignment="1">
      <alignment horizontal="right" vertical="center" indent="1"/>
    </xf>
    <xf numFmtId="0" fontId="61" fillId="0" borderId="1664" xfId="0" applyNumberFormat="1" applyFont="1" applyBorder="1" applyAlignment="1">
      <alignment horizontal="right" vertical="center" indent="1"/>
    </xf>
    <xf numFmtId="0" fontId="61" fillId="0" borderId="1662" xfId="0" applyNumberFormat="1" applyFont="1" applyBorder="1" applyAlignment="1">
      <alignment horizontal="right" vertical="center" indent="1"/>
    </xf>
    <xf numFmtId="0" fontId="61" fillId="0" borderId="1660" xfId="0" applyNumberFormat="1" applyFont="1" applyBorder="1" applyAlignment="1">
      <alignment horizontal="right" vertical="center" indent="1"/>
    </xf>
    <xf numFmtId="0" fontId="61" fillId="0" borderId="1658" xfId="0" applyNumberFormat="1" applyFont="1" applyBorder="1" applyAlignment="1">
      <alignment horizontal="right" vertical="center" indent="1"/>
    </xf>
    <xf numFmtId="0" fontId="61" fillId="0" borderId="1656" xfId="0" applyNumberFormat="1" applyFont="1" applyBorder="1" applyAlignment="1">
      <alignment horizontal="right" vertical="center" indent="1"/>
    </xf>
    <xf numFmtId="0" fontId="61" fillId="0" borderId="1654" xfId="0" applyNumberFormat="1" applyFont="1" applyBorder="1" applyAlignment="1">
      <alignment horizontal="right" vertical="center" indent="1"/>
    </xf>
    <xf numFmtId="0" fontId="61" fillId="0" borderId="1652" xfId="0" applyNumberFormat="1" applyFont="1" applyBorder="1" applyAlignment="1">
      <alignment horizontal="right" vertical="center" indent="1"/>
    </xf>
    <xf numFmtId="0" fontId="61" fillId="0" borderId="1643" xfId="0" applyNumberFormat="1" applyFont="1" applyBorder="1" applyAlignment="1">
      <alignment horizontal="left" vertical="center"/>
    </xf>
    <xf numFmtId="0" fontId="61" fillId="0" borderId="1645" xfId="0" applyNumberFormat="1" applyFont="1" applyBorder="1" applyAlignment="1">
      <alignment horizontal="left" vertical="center"/>
    </xf>
    <xf numFmtId="0" fontId="61" fillId="0" borderId="1647" xfId="0" applyNumberFormat="1" applyFont="1" applyBorder="1" applyAlignment="1">
      <alignment horizontal="left" vertical="center"/>
    </xf>
    <xf numFmtId="0" fontId="61" fillId="0" borderId="1649" xfId="0" applyNumberFormat="1" applyFont="1" applyBorder="1" applyAlignment="1">
      <alignment horizontal="left" vertical="center"/>
    </xf>
    <xf numFmtId="0" fontId="61" fillId="0" borderId="1651" xfId="0" applyNumberFormat="1" applyFont="1" applyBorder="1" applyAlignment="1">
      <alignment horizontal="left" vertical="center"/>
    </xf>
    <xf numFmtId="0" fontId="61" fillId="0" borderId="1653" xfId="0" applyNumberFormat="1" applyFont="1" applyBorder="1" applyAlignment="1">
      <alignment horizontal="left" vertical="center"/>
    </xf>
    <xf numFmtId="0" fontId="61" fillId="0" borderId="1655" xfId="0" applyNumberFormat="1" applyFont="1" applyBorder="1" applyAlignment="1">
      <alignment horizontal="left" vertical="center"/>
    </xf>
    <xf numFmtId="0" fontId="61" fillId="0" borderId="1657" xfId="0" applyNumberFormat="1" applyFont="1" applyBorder="1" applyAlignment="1">
      <alignment horizontal="left" vertical="center"/>
    </xf>
    <xf numFmtId="0" fontId="61" fillId="0" borderId="1659" xfId="0" applyNumberFormat="1" applyFont="1" applyBorder="1" applyAlignment="1">
      <alignment horizontal="left" vertical="center"/>
    </xf>
    <xf numFmtId="0" fontId="61" fillId="0" borderId="1661" xfId="0" applyNumberFormat="1" applyFont="1" applyBorder="1" applyAlignment="1">
      <alignment horizontal="left" vertical="center"/>
    </xf>
    <xf numFmtId="0" fontId="61" fillId="0" borderId="1663" xfId="0" applyNumberFormat="1" applyFont="1" applyBorder="1" applyAlignment="1">
      <alignment horizontal="left" vertical="center"/>
    </xf>
    <xf numFmtId="0" fontId="61" fillId="0" borderId="1637" xfId="0" applyNumberFormat="1" applyFont="1" applyBorder="1" applyAlignment="1">
      <alignment horizontal="center" vertical="center" wrapText="1"/>
    </xf>
    <xf numFmtId="0" fontId="61" fillId="0" borderId="1639" xfId="0" applyNumberFormat="1" applyFont="1" applyBorder="1" applyAlignment="1">
      <alignment horizontal="left" vertical="center"/>
    </xf>
    <xf numFmtId="0" fontId="61" fillId="0" borderId="1641" xfId="0" applyNumberFormat="1" applyFont="1" applyBorder="1" applyAlignment="1">
      <alignment horizontal="left" vertical="center"/>
    </xf>
    <xf numFmtId="0" fontId="61" fillId="0" borderId="1635" xfId="0" applyNumberFormat="1" applyFont="1" applyBorder="1" applyAlignment="1">
      <alignment horizontal="center" vertical="center" wrapText="1"/>
    </xf>
    <xf numFmtId="0" fontId="61" fillId="0" borderId="1636" xfId="0" applyNumberFormat="1" applyFont="1" applyBorder="1" applyAlignment="1">
      <alignment horizontal="center" vertical="center" wrapText="1"/>
    </xf>
    <xf numFmtId="0" fontId="61" fillId="0" borderId="1650" xfId="0" applyNumberFormat="1" applyFont="1" applyBorder="1" applyAlignment="1">
      <alignment horizontal="right" vertical="center" indent="1"/>
    </xf>
    <xf numFmtId="0" fontId="61" fillId="0" borderId="1648" xfId="0" applyNumberFormat="1" applyFont="1" applyBorder="1" applyAlignment="1">
      <alignment horizontal="right" vertical="center" indent="1"/>
    </xf>
    <xf numFmtId="0" fontId="61" fillId="0" borderId="1646" xfId="0" applyNumberFormat="1" applyFont="1" applyBorder="1" applyAlignment="1">
      <alignment horizontal="right" vertical="center" indent="1"/>
    </xf>
    <xf numFmtId="0" fontId="61" fillId="0" borderId="1638" xfId="0" applyNumberFormat="1" applyFont="1" applyBorder="1" applyAlignment="1">
      <alignment horizontal="right" vertical="center" indent="1"/>
    </xf>
    <xf numFmtId="0" fontId="61" fillId="0" borderId="1644" xfId="0" applyNumberFormat="1" applyFont="1" applyBorder="1" applyAlignment="1">
      <alignment horizontal="right" vertical="center" indent="1"/>
    </xf>
    <xf numFmtId="0" fontId="61" fillId="0" borderId="1642" xfId="0" applyNumberFormat="1" applyFont="1" applyBorder="1" applyAlignment="1">
      <alignment horizontal="right" vertical="center" indent="1"/>
    </xf>
    <xf numFmtId="0" fontId="61" fillId="0" borderId="1640" xfId="0" applyNumberFormat="1" applyFont="1" applyBorder="1" applyAlignment="1">
      <alignment horizontal="right" vertical="center" indent="1"/>
    </xf>
    <xf numFmtId="0" fontId="44" fillId="0" borderId="1616" xfId="0" applyNumberFormat="1" applyFont="1" applyBorder="1" applyAlignment="1">
      <alignment horizontal="left" vertical="center" wrapText="1"/>
    </xf>
    <xf numFmtId="0" fontId="44" fillId="0" borderId="1617" xfId="0" applyNumberFormat="1" applyFont="1" applyBorder="1" applyAlignment="1">
      <alignment horizontal="left" vertical="center" wrapText="1"/>
    </xf>
    <xf numFmtId="0" fontId="44" fillId="0" borderId="1618" xfId="0" applyNumberFormat="1" applyFont="1" applyBorder="1" applyAlignment="1">
      <alignment horizontal="left" vertical="center" wrapText="1"/>
    </xf>
    <xf numFmtId="0" fontId="44" fillId="0" borderId="1619" xfId="0" applyNumberFormat="1" applyFont="1" applyBorder="1" applyAlignment="1">
      <alignment horizontal="left" vertical="center" wrapText="1"/>
    </xf>
    <xf numFmtId="0" fontId="44" fillId="0" borderId="1620" xfId="0" applyNumberFormat="1" applyFont="1" applyBorder="1" applyAlignment="1">
      <alignment horizontal="left" vertical="center" wrapText="1"/>
    </xf>
    <xf numFmtId="0" fontId="44" fillId="0" borderId="1621" xfId="0" applyNumberFormat="1" applyFont="1" applyBorder="1" applyAlignment="1">
      <alignment horizontal="left" vertical="center" wrapText="1"/>
    </xf>
    <xf numFmtId="0" fontId="44" fillId="0" borderId="1622" xfId="0" applyNumberFormat="1" applyFont="1" applyBorder="1" applyAlignment="1">
      <alignment horizontal="left" vertical="center" wrapText="1"/>
    </xf>
    <xf numFmtId="0" fontId="44" fillId="0" borderId="1623" xfId="0" applyNumberFormat="1" applyFont="1" applyBorder="1" applyAlignment="1">
      <alignment vertical="center" wrapText="1"/>
    </xf>
    <xf numFmtId="0" fontId="44" fillId="0" borderId="1624" xfId="0" applyNumberFormat="1" applyFont="1" applyBorder="1" applyAlignment="1">
      <alignment vertical="center" wrapText="1"/>
    </xf>
    <xf numFmtId="0" fontId="44" fillId="0" borderId="1625" xfId="0" applyNumberFormat="1" applyFont="1" applyBorder="1" applyAlignment="1">
      <alignment vertical="center" wrapText="1"/>
    </xf>
    <xf numFmtId="0" fontId="44" fillId="0" borderId="1626" xfId="0" applyNumberFormat="1" applyFont="1" applyBorder="1" applyAlignment="1">
      <alignment vertical="center" wrapText="1"/>
    </xf>
    <xf numFmtId="0" fontId="44" fillId="0" borderId="1627" xfId="0" applyNumberFormat="1" applyFont="1" applyBorder="1" applyAlignment="1">
      <alignment vertical="center" wrapText="1"/>
    </xf>
    <xf numFmtId="0" fontId="44" fillId="0" borderId="1628" xfId="0" applyNumberFormat="1" applyFont="1" applyBorder="1" applyAlignment="1">
      <alignment vertical="center" wrapText="1"/>
    </xf>
    <xf numFmtId="0" fontId="44" fillId="0" borderId="1629" xfId="0" applyNumberFormat="1" applyFont="1" applyBorder="1" applyAlignment="1">
      <alignment vertical="center" wrapText="1"/>
    </xf>
    <xf numFmtId="0" fontId="44" fillId="0" borderId="1630" xfId="0" applyNumberFormat="1" applyFont="1" applyBorder="1" applyAlignment="1">
      <alignment horizontal="left" vertical="center" wrapText="1"/>
    </xf>
    <xf numFmtId="0" fontId="44" fillId="0" borderId="1631" xfId="0" applyNumberFormat="1" applyFont="1" applyBorder="1" applyAlignment="1">
      <alignment horizontal="left" vertical="center" wrapText="1"/>
    </xf>
    <xf numFmtId="0" fontId="44" fillId="0" borderId="1632" xfId="0" applyNumberFormat="1" applyFont="1" applyBorder="1" applyAlignment="1">
      <alignment horizontal="left" vertical="center" wrapText="1"/>
    </xf>
    <xf numFmtId="0" fontId="44" fillId="0" borderId="1633" xfId="0" applyNumberFormat="1" applyFont="1" applyBorder="1" applyAlignment="1">
      <alignment horizontal="left" vertical="center" wrapText="1"/>
    </xf>
    <xf numFmtId="0" fontId="44" fillId="0" borderId="1634" xfId="0" applyNumberFormat="1" applyFont="1" applyBorder="1" applyAlignment="1">
      <alignment horizontal="left" vertical="center" wrapText="1"/>
    </xf>
    <xf numFmtId="170" fontId="21" fillId="7" borderId="1826" xfId="0" applyNumberFormat="1" applyFont="1" applyFill="1" applyBorder="1" applyAlignment="1">
      <alignment horizontal="center" vertical="center" wrapText="1"/>
    </xf>
    <xf numFmtId="170" fontId="21" fillId="7" borderId="1825" xfId="0" applyNumberFormat="1" applyFont="1" applyFill="1" applyBorder="1" applyAlignment="1">
      <alignment horizontal="center" vertical="center" wrapText="1"/>
    </xf>
    <xf numFmtId="170" fontId="21" fillId="7" borderId="1823" xfId="0" applyNumberFormat="1" applyFont="1" applyFill="1" applyBorder="1" applyAlignment="1">
      <alignment horizontal="center" vertical="center" wrapText="1"/>
    </xf>
    <xf numFmtId="170" fontId="21" fillId="7" borderId="1824" xfId="0" applyNumberFormat="1" applyFont="1" applyFill="1" applyBorder="1" applyAlignment="1">
      <alignment horizontal="center" vertical="center" wrapText="1"/>
    </xf>
    <xf numFmtId="0" fontId="13" fillId="0" borderId="1856" xfId="0" applyNumberFormat="1" applyFont="1" applyBorder="1" applyAlignment="1">
      <alignment horizontal="center" vertical="center" textRotation="90"/>
    </xf>
    <xf numFmtId="170" fontId="85" fillId="0" borderId="1854" xfId="0" applyNumberFormat="1" applyFont="1" applyBorder="1" applyAlignment="1">
      <alignment horizontal="center" vertical="center" wrapText="1"/>
    </xf>
    <xf numFmtId="0" fontId="28" fillId="0" borderId="1865" xfId="0" applyNumberFormat="1" applyFont="1" applyBorder="1" applyAlignment="1">
      <alignment vertical="center" textRotation="90"/>
    </xf>
    <xf numFmtId="0" fontId="27" fillId="0" borderId="1861" xfId="0" applyNumberFormat="1" applyFont="1" applyBorder="1" applyAlignment="1">
      <alignment horizontal="center" vertical="center" wrapText="1"/>
    </xf>
    <xf numFmtId="0" fontId="28" fillId="0" borderId="1852" xfId="0" applyNumberFormat="1" applyFont="1" applyBorder="1" applyAlignment="1">
      <alignment horizontal="center" vertical="center"/>
    </xf>
    <xf numFmtId="0" fontId="28" fillId="0" borderId="1858" xfId="0" applyNumberFormat="1" applyFont="1" applyBorder="1" applyAlignment="1">
      <alignment horizontal="center" vertical="center"/>
    </xf>
    <xf numFmtId="0" fontId="28" fillId="0" borderId="1859" xfId="0" applyNumberFormat="1" applyFont="1" applyBorder="1" applyAlignment="1">
      <alignment horizontal="center" vertical="center"/>
    </xf>
    <xf numFmtId="0" fontId="28" fillId="0" borderId="1860" xfId="0" applyNumberFormat="1" applyFont="1" applyBorder="1" applyAlignment="1">
      <alignment horizontal="center" vertical="center" wrapText="1"/>
    </xf>
    <xf numFmtId="0" fontId="28" fillId="0" borderId="1857" xfId="0" applyNumberFormat="1" applyFont="1" applyBorder="1" applyAlignment="1">
      <alignment horizontal="center" vertical="center" wrapText="1"/>
    </xf>
    <xf numFmtId="170" fontId="16" fillId="0" borderId="1855" xfId="0" applyNumberFormat="1" applyFont="1" applyBorder="1" applyAlignment="1">
      <alignment horizontal="center" vertical="center" wrapText="1"/>
    </xf>
    <xf numFmtId="0" fontId="28" fillId="0" borderId="1863" xfId="0" applyNumberFormat="1" applyFont="1" applyBorder="1" applyAlignment="1">
      <alignment horizontal="center" vertical="center"/>
    </xf>
    <xf numFmtId="170" fontId="17" fillId="7" borderId="1755" xfId="0" applyNumberFormat="1" applyFont="1" applyFill="1" applyBorder="1" applyAlignment="1">
      <alignment horizontal="center" vertical="center" wrapText="1"/>
    </xf>
    <xf numFmtId="170" fontId="17" fillId="7" borderId="1756" xfId="0" applyNumberFormat="1" applyFont="1" applyFill="1" applyBorder="1" applyAlignment="1">
      <alignment horizontal="center" vertical="center" wrapText="1"/>
    </xf>
    <xf numFmtId="170" fontId="17" fillId="7" borderId="1757" xfId="0" applyNumberFormat="1" applyFont="1" applyFill="1" applyBorder="1" applyAlignment="1">
      <alignment horizontal="center" vertical="center" wrapText="1"/>
    </xf>
    <xf numFmtId="170" fontId="17" fillId="7" borderId="1758" xfId="0" applyNumberFormat="1" applyFont="1" applyFill="1" applyBorder="1" applyAlignment="1">
      <alignment horizontal="center" vertical="center" wrapText="1"/>
    </xf>
    <xf numFmtId="170" fontId="17" fillId="7" borderId="1759" xfId="0" applyNumberFormat="1" applyFont="1" applyFill="1" applyBorder="1" applyAlignment="1">
      <alignment horizontal="center" vertical="center" wrapText="1"/>
    </xf>
    <xf numFmtId="170" fontId="17" fillId="7" borderId="1760" xfId="0" applyNumberFormat="1" applyFont="1" applyFill="1" applyBorder="1" applyAlignment="1">
      <alignment horizontal="center" vertical="center" wrapText="1"/>
    </xf>
    <xf numFmtId="170" fontId="17" fillId="7" borderId="1761" xfId="0" applyNumberFormat="1" applyFont="1" applyFill="1" applyBorder="1" applyAlignment="1">
      <alignment horizontal="center" vertical="center" wrapText="1"/>
    </xf>
    <xf numFmtId="0" fontId="77" fillId="7" borderId="1766" xfId="0" applyNumberFormat="1" applyFont="1" applyFill="1" applyBorder="1" applyAlignment="1">
      <alignment horizontal="center" vertical="center"/>
    </xf>
    <xf numFmtId="0" fontId="77" fillId="7" borderId="1767" xfId="0" applyNumberFormat="1" applyFont="1" applyFill="1" applyBorder="1" applyAlignment="1">
      <alignment horizontal="center" vertical="center"/>
    </xf>
    <xf numFmtId="0" fontId="77" fillId="7" borderId="1768" xfId="0" applyNumberFormat="1" applyFont="1" applyFill="1" applyBorder="1" applyAlignment="1">
      <alignment horizontal="center" vertical="center"/>
    </xf>
    <xf numFmtId="0" fontId="77" fillId="7" borderId="1769" xfId="0" applyNumberFormat="1" applyFont="1" applyFill="1" applyBorder="1" applyAlignment="1">
      <alignment horizontal="center" vertical="center"/>
    </xf>
    <xf numFmtId="0" fontId="77" fillId="7" borderId="1770" xfId="0" applyNumberFormat="1" applyFont="1" applyFill="1" applyBorder="1" applyAlignment="1">
      <alignment horizontal="center" vertical="center"/>
    </xf>
    <xf numFmtId="0" fontId="77" fillId="7" borderId="1771" xfId="0" applyNumberFormat="1" applyFont="1" applyFill="1" applyBorder="1" applyAlignment="1">
      <alignment horizontal="center" vertical="center"/>
    </xf>
    <xf numFmtId="0" fontId="77" fillId="7" borderId="1772" xfId="0" applyNumberFormat="1" applyFont="1" applyFill="1" applyBorder="1" applyAlignment="1">
      <alignment horizontal="center" vertical="center"/>
    </xf>
    <xf numFmtId="0" fontId="77" fillId="7" borderId="1773" xfId="0" applyNumberFormat="1" applyFont="1" applyFill="1" applyBorder="1" applyAlignment="1">
      <alignment horizontal="center" vertical="center"/>
    </xf>
    <xf numFmtId="0" fontId="77" fillId="7" borderId="1794" xfId="0" applyNumberFormat="1" applyFont="1" applyFill="1" applyBorder="1" applyAlignment="1">
      <alignment horizontal="center" vertical="center"/>
    </xf>
    <xf numFmtId="0" fontId="77" fillId="7" borderId="1795" xfId="0" applyNumberFormat="1" applyFont="1" applyFill="1" applyBorder="1" applyAlignment="1">
      <alignment horizontal="center" vertical="center"/>
    </xf>
    <xf numFmtId="0" fontId="77" fillId="7" borderId="1796" xfId="0" applyNumberFormat="1" applyFont="1" applyFill="1" applyBorder="1" applyAlignment="1">
      <alignment horizontal="center" vertical="center"/>
    </xf>
    <xf numFmtId="0" fontId="77" fillId="7" borderId="1797" xfId="0" applyNumberFormat="1" applyFont="1" applyFill="1" applyBorder="1" applyAlignment="1">
      <alignment horizontal="center" vertical="center"/>
    </xf>
    <xf numFmtId="0" fontId="77" fillId="7" borderId="1798" xfId="0" applyNumberFormat="1" applyFont="1" applyFill="1" applyBorder="1" applyAlignment="1">
      <alignment horizontal="center" vertical="center"/>
    </xf>
    <xf numFmtId="0" fontId="77" fillId="7" borderId="1799" xfId="0" applyNumberFormat="1" applyFont="1" applyFill="1" applyBorder="1" applyAlignment="1">
      <alignment horizontal="center" vertical="center"/>
    </xf>
    <xf numFmtId="0" fontId="77" fillId="7" borderId="1800" xfId="0" applyNumberFormat="1" applyFont="1" applyFill="1" applyBorder="1" applyAlignment="1">
      <alignment horizontal="center" vertical="center"/>
    </xf>
    <xf numFmtId="0" fontId="77" fillId="7" borderId="1801" xfId="0" applyNumberFormat="1" applyFont="1" applyFill="1" applyBorder="1" applyAlignment="1">
      <alignment horizontal="center" vertical="center"/>
    </xf>
    <xf numFmtId="0" fontId="77" fillId="7" borderId="1802" xfId="0" applyNumberFormat="1" applyFont="1" applyFill="1" applyBorder="1" applyAlignment="1">
      <alignment horizontal="center" vertical="center"/>
    </xf>
    <xf numFmtId="170" fontId="21" fillId="7" borderId="1787" xfId="0" applyNumberFormat="1" applyFont="1" applyFill="1" applyBorder="1" applyAlignment="1">
      <alignment horizontal="center" vertical="center" wrapText="1"/>
    </xf>
    <xf numFmtId="170" fontId="21" fillId="7" borderId="1788" xfId="0" applyNumberFormat="1" applyFont="1" applyFill="1" applyBorder="1" applyAlignment="1">
      <alignment horizontal="center" vertical="center" wrapText="1"/>
    </xf>
    <xf numFmtId="170" fontId="21" fillId="7" borderId="1785" xfId="0" applyNumberFormat="1" applyFont="1" applyFill="1" applyBorder="1" applyAlignment="1">
      <alignment horizontal="center" vertical="center" wrapText="1"/>
    </xf>
    <xf numFmtId="170" fontId="21" fillId="7" borderId="1786" xfId="0" applyNumberFormat="1" applyFont="1" applyFill="1" applyBorder="1" applyAlignment="1">
      <alignment horizontal="center" vertical="center" wrapText="1"/>
    </xf>
    <xf numFmtId="170" fontId="21" fillId="7" borderId="1805" xfId="0" applyNumberFormat="1" applyFont="1" applyFill="1" applyBorder="1" applyAlignment="1">
      <alignment horizontal="center" vertical="center" wrapText="1"/>
    </xf>
    <xf numFmtId="170" fontId="21" fillId="7" borderId="1806" xfId="0" applyNumberFormat="1" applyFont="1" applyFill="1" applyBorder="1" applyAlignment="1">
      <alignment horizontal="center" vertical="center" wrapText="1"/>
    </xf>
    <xf numFmtId="170" fontId="21" fillId="7" borderId="1807" xfId="0" applyNumberFormat="1" applyFont="1" applyFill="1" applyBorder="1" applyAlignment="1">
      <alignment horizontal="center" vertical="center" wrapText="1"/>
    </xf>
    <xf numFmtId="170" fontId="21" fillId="7" borderId="1808" xfId="0" applyNumberFormat="1" applyFont="1" applyFill="1" applyBorder="1" applyAlignment="1">
      <alignment horizontal="center" vertical="center" wrapText="1"/>
    </xf>
    <xf numFmtId="0" fontId="79" fillId="7" borderId="1809" xfId="0" applyNumberFormat="1" applyFont="1" applyFill="1" applyBorder="1" applyAlignment="1">
      <alignment horizontal="center" vertical="center"/>
    </xf>
    <xf numFmtId="0" fontId="79" fillId="7" borderId="1810" xfId="0" applyNumberFormat="1" applyFont="1" applyFill="1" applyBorder="1" applyAlignment="1">
      <alignment horizontal="center" vertical="center"/>
    </xf>
    <xf numFmtId="0" fontId="79" fillId="7" borderId="1811" xfId="0" applyNumberFormat="1" applyFont="1" applyFill="1" applyBorder="1" applyAlignment="1">
      <alignment horizontal="center" vertical="center"/>
    </xf>
    <xf numFmtId="0" fontId="79" fillId="7" borderId="1812" xfId="0" applyNumberFormat="1" applyFont="1" applyFill="1" applyBorder="1" applyAlignment="1">
      <alignment horizontal="center" vertical="center"/>
    </xf>
    <xf numFmtId="0" fontId="79" fillId="7" borderId="1827" xfId="0" applyNumberFormat="1" applyFont="1" applyFill="1" applyBorder="1" applyAlignment="1">
      <alignment horizontal="center" vertical="center"/>
    </xf>
    <xf numFmtId="0" fontId="79" fillId="7" borderId="1828" xfId="0" applyNumberFormat="1" applyFont="1" applyFill="1" applyBorder="1" applyAlignment="1">
      <alignment horizontal="center" vertical="center"/>
    </xf>
    <xf numFmtId="0" fontId="79" fillId="7" borderId="1829" xfId="0" applyNumberFormat="1" applyFont="1" applyFill="1" applyBorder="1" applyAlignment="1">
      <alignment horizontal="center" vertical="center"/>
    </xf>
    <xf numFmtId="0" fontId="79" fillId="7" borderId="1830" xfId="0" applyNumberFormat="1" applyFont="1" applyFill="1" applyBorder="1" applyAlignment="1">
      <alignment horizontal="center" vertical="center"/>
    </xf>
    <xf numFmtId="0" fontId="79" fillId="7" borderId="1831" xfId="0" applyNumberFormat="1" applyFont="1" applyFill="1" applyBorder="1" applyAlignment="1">
      <alignment horizontal="center" vertical="center"/>
    </xf>
    <xf numFmtId="0" fontId="77" fillId="7" borderId="1813" xfId="0" applyNumberFormat="1" applyFont="1" applyFill="1" applyBorder="1" applyAlignment="1">
      <alignment horizontal="center" vertical="center"/>
    </xf>
    <xf numFmtId="0" fontId="77" fillId="7" borderId="1814" xfId="0" applyNumberFormat="1" applyFont="1" applyFill="1" applyBorder="1" applyAlignment="1">
      <alignment horizontal="center" vertical="center"/>
    </xf>
    <xf numFmtId="0" fontId="77" fillId="7" borderId="1815" xfId="0" applyNumberFormat="1" applyFont="1" applyFill="1" applyBorder="1" applyAlignment="1">
      <alignment horizontal="center" vertical="center"/>
    </xf>
    <xf numFmtId="0" fontId="77" fillId="7" borderId="1816" xfId="0" applyNumberFormat="1" applyFont="1" applyFill="1" applyBorder="1" applyAlignment="1">
      <alignment horizontal="center" vertical="center"/>
    </xf>
    <xf numFmtId="0" fontId="77" fillId="7" borderId="1817" xfId="0" applyNumberFormat="1" applyFont="1" applyFill="1" applyBorder="1" applyAlignment="1">
      <alignment horizontal="center" vertical="center"/>
    </xf>
    <xf numFmtId="0" fontId="77" fillId="7" borderId="1818" xfId="0" applyNumberFormat="1" applyFont="1" applyFill="1" applyBorder="1" applyAlignment="1">
      <alignment horizontal="center" vertical="center"/>
    </xf>
    <xf numFmtId="0" fontId="77" fillId="7" borderId="1819" xfId="0" applyNumberFormat="1" applyFont="1" applyFill="1" applyBorder="1" applyAlignment="1">
      <alignment horizontal="center" vertical="center"/>
    </xf>
    <xf numFmtId="0" fontId="77" fillId="7" borderId="1820" xfId="0" applyNumberFormat="1" applyFont="1" applyFill="1" applyBorder="1" applyAlignment="1">
      <alignment horizontal="center" vertical="center"/>
    </xf>
    <xf numFmtId="0" fontId="77" fillId="7" borderId="1832" xfId="0" applyNumberFormat="1" applyFont="1" applyFill="1" applyBorder="1" applyAlignment="1">
      <alignment horizontal="center" vertical="center"/>
    </xf>
    <xf numFmtId="0" fontId="77" fillId="7" borderId="1833" xfId="0" applyNumberFormat="1" applyFont="1" applyFill="1" applyBorder="1" applyAlignment="1">
      <alignment horizontal="center" vertical="center"/>
    </xf>
    <xf numFmtId="0" fontId="77" fillId="7" borderId="1834" xfId="0" applyNumberFormat="1" applyFont="1" applyFill="1" applyBorder="1" applyAlignment="1">
      <alignment horizontal="center" vertical="center"/>
    </xf>
    <xf numFmtId="0" fontId="77" fillId="7" borderId="1835" xfId="0" applyNumberFormat="1" applyFont="1" applyFill="1" applyBorder="1" applyAlignment="1">
      <alignment horizontal="center" vertical="center"/>
    </xf>
    <xf numFmtId="0" fontId="77" fillId="7" borderId="1836" xfId="0" applyNumberFormat="1" applyFont="1" applyFill="1" applyBorder="1" applyAlignment="1">
      <alignment horizontal="center" vertical="center"/>
    </xf>
    <xf numFmtId="0" fontId="77" fillId="7" borderId="1837" xfId="0" applyNumberFormat="1" applyFont="1" applyFill="1" applyBorder="1" applyAlignment="1">
      <alignment horizontal="center" vertical="center"/>
    </xf>
    <xf numFmtId="0" fontId="77" fillId="7" borderId="1838" xfId="0" applyNumberFormat="1" applyFont="1" applyFill="1" applyBorder="1" applyAlignment="1">
      <alignment horizontal="center" vertical="center"/>
    </xf>
    <xf numFmtId="0" fontId="77" fillId="7" borderId="1839" xfId="0" applyNumberFormat="1" applyFont="1" applyFill="1" applyBorder="1" applyAlignment="1">
      <alignment horizontal="center" vertical="center"/>
    </xf>
    <xf numFmtId="0" fontId="77" fillId="7" borderId="1840" xfId="0" applyNumberFormat="1" applyFont="1" applyFill="1" applyBorder="1" applyAlignment="1">
      <alignment horizontal="center" vertical="center"/>
    </xf>
    <xf numFmtId="170" fontId="62" fillId="7" borderId="1774" xfId="0" applyNumberFormat="1" applyFont="1" applyFill="1" applyBorder="1" applyAlignment="1">
      <alignment horizontal="center" vertical="center" wrapText="1"/>
    </xf>
    <xf numFmtId="170" fontId="62" fillId="7" borderId="1775" xfId="0" applyNumberFormat="1" applyFont="1" applyFill="1" applyBorder="1" applyAlignment="1">
      <alignment horizontal="center" vertical="center" wrapText="1"/>
    </xf>
    <xf numFmtId="170" fontId="62" fillId="7" borderId="1776" xfId="0" applyNumberFormat="1" applyFont="1" applyFill="1" applyBorder="1" applyAlignment="1">
      <alignment horizontal="center" vertical="center" wrapText="1"/>
    </xf>
    <xf numFmtId="170" fontId="62" fillId="7" borderId="1777" xfId="0" applyNumberFormat="1" applyFont="1" applyFill="1" applyBorder="1" applyAlignment="1">
      <alignment horizontal="center" vertical="center" wrapText="1"/>
    </xf>
    <xf numFmtId="170" fontId="62" fillId="7" borderId="1778" xfId="0" applyNumberFormat="1" applyFont="1" applyFill="1" applyBorder="1" applyAlignment="1">
      <alignment horizontal="center" vertical="center" wrapText="1"/>
    </xf>
    <xf numFmtId="170" fontId="62" fillId="7" borderId="1779" xfId="0" applyNumberFormat="1" applyFont="1" applyFill="1" applyBorder="1" applyAlignment="1">
      <alignment horizontal="center" vertical="center" wrapText="1"/>
    </xf>
    <xf numFmtId="170" fontId="62" fillId="7" borderId="1780" xfId="0" applyNumberFormat="1" applyFont="1" applyFill="1" applyBorder="1" applyAlignment="1">
      <alignment horizontal="center" vertical="center" wrapText="1"/>
    </xf>
    <xf numFmtId="170" fontId="62" fillId="7" borderId="1781" xfId="0" applyNumberFormat="1" applyFont="1" applyFill="1" applyBorder="1" applyAlignment="1">
      <alignment horizontal="center" vertical="center" wrapText="1"/>
    </xf>
    <xf numFmtId="170" fontId="62" fillId="7" borderId="1782" xfId="0" applyNumberFormat="1" applyFont="1" applyFill="1" applyBorder="1" applyAlignment="1">
      <alignment horizontal="center" vertical="center" wrapText="1"/>
    </xf>
    <xf numFmtId="170" fontId="62" fillId="7" borderId="1783" xfId="0" applyNumberFormat="1" applyFont="1" applyFill="1" applyBorder="1" applyAlignment="1">
      <alignment horizontal="center" vertical="center" wrapText="1"/>
    </xf>
    <xf numFmtId="170" fontId="62" fillId="7" borderId="1784" xfId="0" applyNumberFormat="1" applyFont="1" applyFill="1" applyBorder="1" applyAlignment="1">
      <alignment horizontal="center" vertical="center" wrapText="1"/>
    </xf>
    <xf numFmtId="170" fontId="62" fillId="7" borderId="1803" xfId="0" applyNumberFormat="1" applyFont="1" applyFill="1" applyBorder="1" applyAlignment="1">
      <alignment horizontal="center" vertical="center" wrapText="1"/>
    </xf>
    <xf numFmtId="170" fontId="62" fillId="7" borderId="0" xfId="0" applyNumberFormat="1" applyFont="1" applyFill="1" applyAlignment="1">
      <alignment horizontal="center" vertical="center" wrapText="1"/>
    </xf>
    <xf numFmtId="170" fontId="62" fillId="7" borderId="1804" xfId="0" applyNumberFormat="1" applyFont="1" applyFill="1" applyBorder="1" applyAlignment="1">
      <alignment horizontal="center" vertical="center" wrapText="1"/>
    </xf>
    <xf numFmtId="170" fontId="62" fillId="7" borderId="1821" xfId="0" applyNumberFormat="1" applyFont="1" applyFill="1" applyBorder="1" applyAlignment="1">
      <alignment horizontal="center" vertical="center" wrapText="1"/>
    </xf>
    <xf numFmtId="170" fontId="62" fillId="7" borderId="1822" xfId="0" applyNumberFormat="1" applyFont="1" applyFill="1" applyBorder="1" applyAlignment="1">
      <alignment horizontal="center" vertical="center" wrapText="1"/>
    </xf>
    <xf numFmtId="170" fontId="62" fillId="7" borderId="1841" xfId="0" applyNumberFormat="1" applyFont="1" applyFill="1" applyBorder="1" applyAlignment="1">
      <alignment horizontal="center" vertical="center" wrapText="1"/>
    </xf>
    <xf numFmtId="170" fontId="62" fillId="7" borderId="1842" xfId="0" applyNumberFormat="1" applyFont="1" applyFill="1" applyBorder="1" applyAlignment="1">
      <alignment horizontal="center" vertical="center" wrapText="1"/>
    </xf>
    <xf numFmtId="170" fontId="62" fillId="7" borderId="1843" xfId="0" applyNumberFormat="1" applyFont="1" applyFill="1" applyBorder="1" applyAlignment="1">
      <alignment horizontal="center" vertical="center" wrapText="1"/>
    </xf>
    <xf numFmtId="170" fontId="62" fillId="7" borderId="1844" xfId="0" applyNumberFormat="1" applyFont="1" applyFill="1" applyBorder="1" applyAlignment="1">
      <alignment horizontal="center" vertical="center" wrapText="1"/>
    </xf>
    <xf numFmtId="170" fontId="62" fillId="7" borderId="1845" xfId="0" applyNumberFormat="1" applyFont="1" applyFill="1" applyBorder="1" applyAlignment="1">
      <alignment horizontal="center" vertical="center" wrapText="1"/>
    </xf>
    <xf numFmtId="170" fontId="62" fillId="7" borderId="1846" xfId="0" applyNumberFormat="1" applyFont="1" applyFill="1" applyBorder="1" applyAlignment="1">
      <alignment horizontal="center" vertical="center" wrapText="1"/>
    </xf>
    <xf numFmtId="170" fontId="62" fillId="7" borderId="1847" xfId="0" applyNumberFormat="1" applyFont="1" applyFill="1" applyBorder="1" applyAlignment="1">
      <alignment horizontal="center" vertical="center" wrapText="1"/>
    </xf>
    <xf numFmtId="170" fontId="62" fillId="7" borderId="1848" xfId="0" applyNumberFormat="1" applyFont="1" applyFill="1" applyBorder="1" applyAlignment="1">
      <alignment horizontal="center" vertical="center" wrapText="1"/>
    </xf>
    <xf numFmtId="170" fontId="62" fillId="7" borderId="1849" xfId="0" applyNumberFormat="1" applyFont="1" applyFill="1" applyBorder="1" applyAlignment="1">
      <alignment horizontal="center" vertical="center" wrapText="1"/>
    </xf>
    <xf numFmtId="170" fontId="62" fillId="7" borderId="1850" xfId="0" applyNumberFormat="1" applyFont="1" applyFill="1" applyBorder="1" applyAlignment="1">
      <alignment horizontal="center" vertical="center" wrapText="1"/>
    </xf>
    <xf numFmtId="170" fontId="62" fillId="7" borderId="1851" xfId="0" applyNumberFormat="1" applyFont="1" applyFill="1" applyBorder="1" applyAlignment="1">
      <alignment horizontal="center" vertical="center" wrapText="1"/>
    </xf>
    <xf numFmtId="0" fontId="79" fillId="7" borderId="1762" xfId="0" applyNumberFormat="1" applyFont="1" applyFill="1" applyBorder="1" applyAlignment="1">
      <alignment horizontal="center" vertical="center"/>
    </xf>
    <xf numFmtId="0" fontId="79" fillId="7" borderId="1763" xfId="0" applyNumberFormat="1" applyFont="1" applyFill="1" applyBorder="1" applyAlignment="1">
      <alignment horizontal="center" vertical="center"/>
    </xf>
    <xf numFmtId="0" fontId="79" fillId="7" borderId="1764" xfId="0" applyNumberFormat="1" applyFont="1" applyFill="1" applyBorder="1" applyAlignment="1">
      <alignment horizontal="center" vertical="center"/>
    </xf>
    <xf numFmtId="0" fontId="79" fillId="7" borderId="1765" xfId="0" applyNumberFormat="1" applyFont="1" applyFill="1" applyBorder="1" applyAlignment="1">
      <alignment horizontal="center" vertical="center"/>
    </xf>
    <xf numFmtId="0" fontId="79" fillId="7" borderId="1789" xfId="0" applyNumberFormat="1" applyFont="1" applyFill="1" applyBorder="1" applyAlignment="1">
      <alignment horizontal="center" vertical="center"/>
    </xf>
    <xf numFmtId="0" fontId="79" fillId="7" borderId="1790" xfId="0" applyNumberFormat="1" applyFont="1" applyFill="1" applyBorder="1" applyAlignment="1">
      <alignment horizontal="center" vertical="center"/>
    </xf>
    <xf numFmtId="0" fontId="79" fillId="7" borderId="1791" xfId="0" applyNumberFormat="1" applyFont="1" applyFill="1" applyBorder="1" applyAlignment="1">
      <alignment horizontal="center" vertical="center"/>
    </xf>
    <xf numFmtId="0" fontId="79" fillId="7" borderId="1792" xfId="0" applyNumberFormat="1" applyFont="1" applyFill="1" applyBorder="1" applyAlignment="1">
      <alignment horizontal="center" vertical="center"/>
    </xf>
    <xf numFmtId="0" fontId="79" fillId="7" borderId="1793" xfId="0" applyNumberFormat="1" applyFont="1" applyFill="1" applyBorder="1" applyAlignment="1">
      <alignment horizontal="center" vertical="center"/>
    </xf>
    <xf numFmtId="0" fontId="28" fillId="0" borderId="1862" xfId="0" applyNumberFormat="1" applyFont="1" applyBorder="1" applyAlignment="1">
      <alignment horizontal="center" vertical="center"/>
    </xf>
    <xf numFmtId="0" fontId="28" fillId="0" borderId="1853" xfId="0" applyNumberFormat="1" applyFont="1" applyBorder="1" applyAlignment="1">
      <alignment horizontal="center" vertical="center" textRotation="90"/>
    </xf>
    <xf numFmtId="0" fontId="28" fillId="0" borderId="1864" xfId="0" applyNumberFormat="1" applyFont="1" applyBorder="1" applyAlignment="1">
      <alignment horizontal="center" vertical="center" textRotation="90"/>
    </xf>
    <xf numFmtId="0" fontId="44" fillId="0" borderId="1866" xfId="0" applyNumberFormat="1" applyFont="1" applyBorder="1" applyAlignment="1">
      <alignment horizontal="left" vertical="center" wrapText="1"/>
    </xf>
    <xf numFmtId="0" fontId="44" fillId="0" borderId="1867" xfId="0" applyNumberFormat="1" applyFont="1" applyBorder="1" applyAlignment="1">
      <alignment horizontal="left" vertical="center" wrapText="1"/>
    </xf>
    <xf numFmtId="0" fontId="44" fillId="0" borderId="1868" xfId="0" applyNumberFormat="1" applyFont="1" applyBorder="1" applyAlignment="1">
      <alignment horizontal="left" vertical="center" wrapText="1"/>
    </xf>
    <xf numFmtId="0" fontId="44" fillId="0" borderId="1869" xfId="0" applyNumberFormat="1" applyFont="1" applyBorder="1" applyAlignment="1">
      <alignment horizontal="left" vertical="center" wrapText="1"/>
    </xf>
    <xf numFmtId="0" fontId="44" fillId="0" borderId="1870" xfId="0" applyNumberFormat="1" applyFont="1" applyBorder="1" applyAlignment="1">
      <alignment horizontal="left" vertical="center" wrapText="1"/>
    </xf>
    <xf numFmtId="0" fontId="44" fillId="0" borderId="1871" xfId="0" applyNumberFormat="1" applyFont="1" applyBorder="1" applyAlignment="1">
      <alignment horizontal="left" vertical="center" wrapText="1"/>
    </xf>
    <xf numFmtId="0" fontId="44" fillId="0" borderId="1872" xfId="0" applyNumberFormat="1" applyFont="1" applyBorder="1" applyAlignment="1">
      <alignment horizontal="left" vertical="center" wrapText="1"/>
    </xf>
    <xf numFmtId="0" fontId="44" fillId="0" borderId="1873" xfId="0" applyNumberFormat="1" applyFont="1" applyBorder="1" applyAlignment="1">
      <alignment vertical="center" wrapText="1"/>
    </xf>
    <xf numFmtId="0" fontId="44" fillId="0" borderId="1874" xfId="0" applyNumberFormat="1" applyFont="1" applyBorder="1" applyAlignment="1">
      <alignment vertical="center" wrapText="1"/>
    </xf>
    <xf numFmtId="0" fontId="44" fillId="0" borderId="1875" xfId="0" applyNumberFormat="1" applyFont="1" applyBorder="1" applyAlignment="1">
      <alignment vertical="center" wrapText="1"/>
    </xf>
    <xf numFmtId="0" fontId="44" fillId="0" borderId="1876" xfId="0" applyNumberFormat="1" applyFont="1" applyBorder="1" applyAlignment="1">
      <alignment vertical="center" wrapText="1"/>
    </xf>
    <xf numFmtId="0" fontId="44" fillId="0" borderId="1877" xfId="0" applyNumberFormat="1" applyFont="1" applyBorder="1" applyAlignment="1">
      <alignment vertical="center" wrapText="1"/>
    </xf>
    <xf numFmtId="0" fontId="44" fillId="0" borderId="1878" xfId="0" applyNumberFormat="1" applyFont="1" applyBorder="1" applyAlignment="1">
      <alignment vertical="center" wrapText="1"/>
    </xf>
    <xf numFmtId="0" fontId="44" fillId="0" borderId="1879" xfId="0" applyNumberFormat="1" applyFont="1" applyBorder="1" applyAlignment="1">
      <alignment vertical="center" wrapText="1"/>
    </xf>
    <xf numFmtId="0" fontId="61" fillId="0" borderId="1885" xfId="0" applyNumberFormat="1" applyFont="1" applyBorder="1" applyAlignment="1">
      <alignment horizontal="center" vertical="center" wrapText="1"/>
    </xf>
    <xf numFmtId="0" fontId="61" fillId="0" borderId="1886" xfId="0" applyNumberFormat="1" applyFont="1" applyBorder="1" applyAlignment="1">
      <alignment horizontal="center" vertical="center" wrapText="1"/>
    </xf>
    <xf numFmtId="0" fontId="44" fillId="0" borderId="1880" xfId="0" applyNumberFormat="1" applyFont="1" applyBorder="1" applyAlignment="1">
      <alignment horizontal="left" vertical="center" wrapText="1"/>
    </xf>
    <xf numFmtId="0" fontId="44" fillId="0" borderId="1881" xfId="0" applyNumberFormat="1" applyFont="1" applyBorder="1" applyAlignment="1">
      <alignment horizontal="left" vertical="center" wrapText="1"/>
    </xf>
    <xf numFmtId="0" fontId="44" fillId="0" borderId="1882" xfId="0" applyNumberFormat="1" applyFont="1" applyBorder="1" applyAlignment="1">
      <alignment horizontal="left" vertical="center" wrapText="1"/>
    </xf>
    <xf numFmtId="0" fontId="44" fillId="0" borderId="1883" xfId="0" applyNumberFormat="1" applyFont="1" applyBorder="1" applyAlignment="1">
      <alignment horizontal="left" vertical="center" wrapText="1"/>
    </xf>
    <xf numFmtId="0" fontId="44" fillId="0" borderId="1884" xfId="0" applyNumberFormat="1" applyFont="1" applyBorder="1" applyAlignment="1">
      <alignment horizontal="left" vertical="center" wrapText="1"/>
    </xf>
    <xf numFmtId="0" fontId="61" fillId="0" borderId="1887" xfId="0" applyNumberFormat="1" applyFont="1" applyBorder="1" applyAlignment="1">
      <alignment horizontal="center" vertical="center" wrapText="1"/>
    </xf>
    <xf numFmtId="0" fontId="61" fillId="0" borderId="1900" xfId="0" applyNumberFormat="1" applyFont="1" applyBorder="1" applyAlignment="1">
      <alignment horizontal="left" vertical="center"/>
    </xf>
    <xf numFmtId="0" fontId="61" fillId="0" borderId="1901" xfId="0" applyNumberFormat="1" applyFont="1" applyBorder="1" applyAlignment="1">
      <alignment horizontal="left" vertical="center"/>
    </xf>
    <xf numFmtId="0" fontId="61" fillId="0" borderId="1902" xfId="0" applyNumberFormat="1" applyFont="1" applyBorder="1" applyAlignment="1">
      <alignment horizontal="left" vertical="center"/>
    </xf>
    <xf numFmtId="0" fontId="61" fillId="0" borderId="1903" xfId="0" applyNumberFormat="1" applyFont="1" applyBorder="1" applyAlignment="1">
      <alignment horizontal="left" vertical="center"/>
    </xf>
    <xf numFmtId="0" fontId="61" fillId="0" borderId="1904" xfId="0" applyNumberFormat="1" applyFont="1" applyBorder="1" applyAlignment="1">
      <alignment horizontal="left" vertical="center"/>
    </xf>
    <xf numFmtId="0" fontId="61" fillId="0" borderId="1905" xfId="0" applyNumberFormat="1" applyFont="1" applyBorder="1" applyAlignment="1">
      <alignment horizontal="left" vertical="center"/>
    </xf>
    <xf numFmtId="0" fontId="61" fillId="0" borderId="1888" xfId="0" applyNumberFormat="1" applyFont="1" applyBorder="1" applyAlignment="1">
      <alignment horizontal="left" vertical="center"/>
    </xf>
    <xf numFmtId="0" fontId="61" fillId="0" borderId="1889" xfId="0" applyNumberFormat="1" applyFont="1" applyBorder="1" applyAlignment="1">
      <alignment horizontal="left" vertical="center"/>
    </xf>
    <xf numFmtId="0" fontId="61" fillId="0" borderId="1890" xfId="0" applyNumberFormat="1" applyFont="1" applyBorder="1" applyAlignment="1">
      <alignment horizontal="left" vertical="center"/>
    </xf>
    <xf numFmtId="0" fontId="61" fillId="0" borderId="1891" xfId="0" applyNumberFormat="1" applyFont="1" applyBorder="1" applyAlignment="1">
      <alignment horizontal="left" vertical="center"/>
    </xf>
    <xf numFmtId="0" fontId="61" fillId="0" borderId="1892" xfId="0" applyNumberFormat="1" applyFont="1" applyBorder="1" applyAlignment="1">
      <alignment horizontal="left" vertical="center"/>
    </xf>
    <xf numFmtId="0" fontId="61" fillId="0" borderId="1893" xfId="0" applyNumberFormat="1" applyFont="1" applyBorder="1" applyAlignment="1">
      <alignment horizontal="left" vertical="center"/>
    </xf>
    <xf numFmtId="0" fontId="61" fillId="0" borderId="1894" xfId="0" applyNumberFormat="1" applyFont="1" applyBorder="1" applyAlignment="1">
      <alignment horizontal="left" vertical="center"/>
    </xf>
    <xf numFmtId="0" fontId="61" fillId="0" borderId="1895" xfId="0" applyNumberFormat="1" applyFont="1" applyBorder="1" applyAlignment="1">
      <alignment horizontal="left" vertical="center"/>
    </xf>
    <xf numFmtId="0" fontId="61" fillId="0" borderId="1896" xfId="0" applyNumberFormat="1" applyFont="1" applyBorder="1" applyAlignment="1">
      <alignment horizontal="left" vertical="center"/>
    </xf>
    <xf numFmtId="0" fontId="61" fillId="0" borderId="1897" xfId="0" applyNumberFormat="1" applyFont="1" applyBorder="1" applyAlignment="1">
      <alignment horizontal="left" vertical="center"/>
    </xf>
    <xf numFmtId="0" fontId="61" fillId="0" borderId="1898" xfId="0" applyNumberFormat="1" applyFont="1" applyBorder="1" applyAlignment="1">
      <alignment horizontal="left" vertical="center"/>
    </xf>
    <xf numFmtId="0" fontId="61" fillId="0" borderId="1899" xfId="0" applyNumberFormat="1" applyFont="1" applyBorder="1" applyAlignment="1">
      <alignment horizontal="left" vertical="center"/>
    </xf>
    <xf numFmtId="0" fontId="61" fillId="0" borderId="1906" xfId="0" applyNumberFormat="1" applyFont="1" applyBorder="1" applyAlignment="1">
      <alignment horizontal="left" vertical="center"/>
    </xf>
    <xf numFmtId="0" fontId="61" fillId="0" borderId="1907" xfId="0" applyNumberFormat="1" applyFont="1" applyBorder="1" applyAlignment="1">
      <alignment horizontal="left" vertical="center"/>
    </xf>
    <xf numFmtId="0" fontId="61" fillId="0" borderId="1908" xfId="0" applyNumberFormat="1" applyFont="1" applyBorder="1" applyAlignment="1">
      <alignment horizontal="left" vertical="center"/>
    </xf>
    <xf numFmtId="0" fontId="61" fillId="0" borderId="1909" xfId="0" applyNumberFormat="1" applyFont="1" applyBorder="1" applyAlignment="1">
      <alignment horizontal="left" vertical="center"/>
    </xf>
    <xf numFmtId="0" fontId="61" fillId="0" borderId="1910" xfId="0" applyNumberFormat="1" applyFont="1" applyBorder="1" applyAlignment="1">
      <alignment horizontal="left" vertical="center"/>
    </xf>
    <xf numFmtId="0" fontId="61" fillId="0" borderId="1911" xfId="0" applyNumberFormat="1" applyFont="1" applyBorder="1" applyAlignment="1">
      <alignment horizontal="left" vertical="center"/>
    </xf>
    <xf numFmtId="0" fontId="61" fillId="0" borderId="1912" xfId="0" applyNumberFormat="1" applyFont="1" applyBorder="1" applyAlignment="1">
      <alignment horizontal="left" vertical="center"/>
    </xf>
    <xf numFmtId="0" fontId="61" fillId="0" borderId="1913" xfId="0" applyNumberFormat="1" applyFont="1" applyBorder="1" applyAlignment="1">
      <alignment horizontal="left" vertical="center"/>
    </xf>
    <xf numFmtId="0" fontId="61" fillId="0" borderId="1914" xfId="0" applyNumberFormat="1" applyFont="1" applyBorder="1" applyAlignment="1">
      <alignment horizontal="left" vertical="center"/>
    </xf>
    <xf numFmtId="0" fontId="61" fillId="0" borderId="1915" xfId="0" applyNumberFormat="1" applyFont="1" applyBorder="1" applyAlignment="1">
      <alignment horizontal="left" vertical="center"/>
    </xf>
    <xf numFmtId="0" fontId="61" fillId="0" borderId="1916" xfId="0" applyNumberFormat="1" applyFont="1" applyBorder="1" applyAlignment="1">
      <alignment horizontal="left" vertical="center"/>
    </xf>
    <xf numFmtId="0" fontId="61" fillId="0" borderId="1917" xfId="0" applyNumberFormat="1" applyFont="1" applyBorder="1" applyAlignment="1">
      <alignment horizontal="left" vertical="center"/>
    </xf>
    <xf numFmtId="0" fontId="61" fillId="0" borderId="1918" xfId="0" applyNumberFormat="1" applyFont="1" applyBorder="1" applyAlignment="1">
      <alignment horizontal="left" vertical="center"/>
    </xf>
    <xf numFmtId="0" fontId="61" fillId="0" borderId="1919" xfId="0" applyNumberFormat="1" applyFont="1" applyBorder="1" applyAlignment="1">
      <alignment horizontal="left" vertical="center"/>
    </xf>
    <xf numFmtId="0" fontId="61" fillId="0" borderId="1920" xfId="0" applyNumberFormat="1" applyFont="1" applyBorder="1" applyAlignment="1">
      <alignment horizontal="left" vertical="center"/>
    </xf>
    <xf numFmtId="0" fontId="61" fillId="0" borderId="1921" xfId="0" applyNumberFormat="1" applyFont="1" applyBorder="1" applyAlignment="1">
      <alignment horizontal="left" vertical="center"/>
    </xf>
    <xf numFmtId="0" fontId="61" fillId="0" borderId="1922" xfId="0" applyNumberFormat="1" applyFont="1" applyBorder="1" applyAlignment="1">
      <alignment horizontal="left" vertical="center"/>
    </xf>
    <xf numFmtId="0" fontId="61" fillId="0" borderId="1923" xfId="0" applyNumberFormat="1" applyFont="1" applyBorder="1" applyAlignment="1">
      <alignment horizontal="left" vertical="center"/>
    </xf>
    <xf numFmtId="0" fontId="61" fillId="0" borderId="1924" xfId="0" applyNumberFormat="1" applyFont="1" applyBorder="1" applyAlignment="1">
      <alignment horizontal="left" vertical="center"/>
    </xf>
    <xf numFmtId="0" fontId="61" fillId="0" borderId="1925" xfId="0" applyNumberFormat="1" applyFont="1" applyBorder="1" applyAlignment="1">
      <alignment horizontal="left" vertical="center"/>
    </xf>
    <xf numFmtId="0" fontId="61" fillId="0" borderId="1926" xfId="0" applyNumberFormat="1" applyFont="1" applyBorder="1" applyAlignment="1">
      <alignment horizontal="left" vertical="center"/>
    </xf>
    <xf numFmtId="0" fontId="61" fillId="0" borderId="1927" xfId="0" applyNumberFormat="1" applyFont="1" applyBorder="1" applyAlignment="1">
      <alignment horizontal="left" vertical="center"/>
    </xf>
    <xf numFmtId="0" fontId="61" fillId="0" borderId="1928" xfId="0" applyNumberFormat="1" applyFont="1" applyBorder="1" applyAlignment="1">
      <alignment horizontal="left" vertical="center"/>
    </xf>
    <xf numFmtId="0" fontId="61" fillId="0" borderId="1929" xfId="0" applyNumberFormat="1" applyFont="1" applyBorder="1" applyAlignment="1">
      <alignment horizontal="left" vertical="center"/>
    </xf>
    <xf numFmtId="0" fontId="61" fillId="0" borderId="1930" xfId="0" applyNumberFormat="1" applyFont="1" applyBorder="1" applyAlignment="1">
      <alignment horizontal="left" vertical="center"/>
    </xf>
    <xf numFmtId="0" fontId="61" fillId="0" borderId="1931" xfId="0" applyNumberFormat="1" applyFont="1" applyBorder="1" applyAlignment="1">
      <alignment horizontal="left" vertical="center"/>
    </xf>
    <xf numFmtId="0" fontId="61" fillId="0" borderId="1932" xfId="0" applyNumberFormat="1" applyFont="1" applyBorder="1" applyAlignment="1">
      <alignment horizontal="left" vertical="center"/>
    </xf>
    <xf numFmtId="0" fontId="61" fillId="0" borderId="1933" xfId="0" applyNumberFormat="1" applyFont="1" applyBorder="1" applyAlignment="1">
      <alignment horizontal="left" vertical="center"/>
    </xf>
    <xf numFmtId="0" fontId="61" fillId="0" borderId="1934" xfId="0" applyNumberFormat="1" applyFont="1" applyBorder="1" applyAlignment="1">
      <alignment horizontal="left" vertical="center"/>
    </xf>
    <xf numFmtId="0" fontId="61" fillId="0" borderId="1935" xfId="0" applyNumberFormat="1" applyFont="1" applyBorder="1" applyAlignment="1">
      <alignment horizontal="left" vertical="center"/>
    </xf>
    <xf numFmtId="0" fontId="61" fillId="0" borderId="1936" xfId="0" applyNumberFormat="1" applyFont="1" applyBorder="1" applyAlignment="1">
      <alignment horizontal="left" vertical="center"/>
    </xf>
    <xf numFmtId="0" fontId="61" fillId="0" borderId="1937" xfId="0" applyNumberFormat="1" applyFont="1" applyBorder="1" applyAlignment="1">
      <alignment horizontal="left" vertical="center"/>
    </xf>
    <xf numFmtId="0" fontId="61" fillId="0" borderId="1938" xfId="0" applyNumberFormat="1" applyFont="1" applyBorder="1" applyAlignment="1">
      <alignment horizontal="left" indent="1"/>
    </xf>
    <xf numFmtId="0" fontId="61" fillId="0" borderId="1939" xfId="0" applyNumberFormat="1" applyFont="1" applyBorder="1" applyAlignment="1">
      <alignment horizontal="left" indent="1"/>
    </xf>
    <xf numFmtId="0" fontId="61" fillId="0" borderId="1940" xfId="0" applyNumberFormat="1" applyFont="1" applyBorder="1" applyAlignment="1">
      <alignment horizontal="left" indent="1"/>
    </xf>
    <xf numFmtId="0" fontId="61" fillId="0" borderId="1941" xfId="0" applyNumberFormat="1" applyFont="1" applyBorder="1" applyAlignment="1">
      <alignment horizontal="left" vertical="center" wrapText="1" indent="1"/>
    </xf>
    <xf numFmtId="0" fontId="61" fillId="0" borderId="1942" xfId="0" applyNumberFormat="1" applyFont="1" applyBorder="1" applyAlignment="1">
      <alignment horizontal="left" vertical="center" wrapText="1" indent="1"/>
    </xf>
    <xf numFmtId="0" fontId="61" fillId="0" borderId="1943" xfId="0" applyNumberFormat="1" applyFont="1" applyBorder="1" applyAlignment="1">
      <alignment horizontal="left" vertical="center" wrapText="1" indent="1"/>
    </xf>
    <xf numFmtId="0" fontId="61" fillId="0" borderId="1944" xfId="0" applyNumberFormat="1" applyFont="1" applyBorder="1" applyAlignment="1">
      <alignment horizontal="left" vertical="center" wrapText="1" indent="1"/>
    </xf>
    <xf numFmtId="0" fontId="61" fillId="0" borderId="1945" xfId="0" applyNumberFormat="1" applyFont="1" applyBorder="1" applyAlignment="1">
      <alignment horizontal="left" vertical="center" wrapText="1" indent="1"/>
    </xf>
    <xf numFmtId="0" fontId="61" fillId="0" borderId="1946" xfId="0" applyNumberFormat="1" applyFont="1" applyBorder="1" applyAlignment="1">
      <alignment horizontal="left" vertical="center" wrapText="1" indent="1"/>
    </xf>
    <xf numFmtId="0" fontId="32" fillId="0" borderId="1947" xfId="0" applyNumberFormat="1" applyFont="1" applyBorder="1" applyAlignment="1">
      <alignment horizontal="center" vertical="center"/>
    </xf>
    <xf numFmtId="0" fontId="32" fillId="0" borderId="1948" xfId="0" applyNumberFormat="1" applyFont="1" applyBorder="1" applyAlignment="1">
      <alignment horizontal="center" vertical="center"/>
    </xf>
    <xf numFmtId="0" fontId="32" fillId="0" borderId="1949" xfId="0" applyNumberFormat="1" applyFont="1" applyBorder="1" applyAlignment="1">
      <alignment horizontal="center" vertical="center"/>
    </xf>
    <xf numFmtId="0" fontId="32" fillId="0" borderId="1951" xfId="0" applyNumberFormat="1" applyFont="1" applyBorder="1" applyAlignment="1">
      <alignment horizontal="center"/>
    </xf>
    <xf numFmtId="0" fontId="32" fillId="0" borderId="1952" xfId="0" applyNumberFormat="1" applyFont="1" applyBorder="1" applyAlignment="1">
      <alignment horizontal="center"/>
    </xf>
    <xf numFmtId="0" fontId="32" fillId="0" borderId="1950" xfId="0" applyNumberFormat="1" applyFont="1" applyBorder="1" applyAlignment="1">
      <alignment horizontal="center"/>
    </xf>
    <xf numFmtId="0" fontId="32" fillId="0" borderId="1953" xfId="0" applyNumberFormat="1" applyFont="1" applyBorder="1" applyAlignment="1">
      <alignment horizontal="center"/>
    </xf>
    <xf numFmtId="0" fontId="32" fillId="0" borderId="1954" xfId="0" applyNumberFormat="1" applyFont="1" applyBorder="1" applyAlignment="1">
      <alignment horizontal="center"/>
    </xf>
    <xf numFmtId="170" fontId="21" fillId="7" borderId="2760" xfId="0" applyNumberFormat="1" applyFont="1" applyFill="1" applyBorder="1" applyAlignment="1">
      <alignment horizontal="center" vertical="center" wrapText="1"/>
    </xf>
    <xf numFmtId="170" fontId="21" fillId="7" borderId="2761" xfId="0" applyNumberFormat="1" applyFont="1" applyFill="1" applyBorder="1" applyAlignment="1">
      <alignment horizontal="center" vertical="center" wrapText="1"/>
    </xf>
    <xf numFmtId="170" fontId="21" fillId="7" borderId="2758" xfId="0" applyNumberFormat="1" applyFont="1" applyFill="1" applyBorder="1" applyAlignment="1">
      <alignment horizontal="center" vertical="center" wrapText="1"/>
    </xf>
    <xf numFmtId="170" fontId="21" fillId="7" borderId="2759" xfId="0" applyNumberFormat="1" applyFont="1" applyFill="1" applyBorder="1" applyAlignment="1">
      <alignment horizontal="center" vertical="center" wrapText="1"/>
    </xf>
    <xf numFmtId="170" fontId="16" fillId="0" borderId="2903" xfId="0" applyNumberFormat="1" applyFont="1" applyBorder="1" applyAlignment="1">
      <alignment horizontal="center" vertical="center" wrapText="1"/>
    </xf>
    <xf numFmtId="170" fontId="16" fillId="0" borderId="2904" xfId="0" applyNumberFormat="1" applyFont="1" applyBorder="1" applyAlignment="1">
      <alignment horizontal="center" vertical="center" wrapText="1"/>
    </xf>
    <xf numFmtId="170" fontId="16" fillId="0" borderId="2905" xfId="0" applyNumberFormat="1" applyFont="1" applyBorder="1" applyAlignment="1">
      <alignment horizontal="center" vertical="center" wrapText="1"/>
    </xf>
    <xf numFmtId="170" fontId="16" fillId="0" borderId="2906" xfId="0" applyNumberFormat="1" applyFont="1" applyBorder="1" applyAlignment="1">
      <alignment horizontal="center" vertical="center" wrapText="1"/>
    </xf>
    <xf numFmtId="170" fontId="16" fillId="0" borderId="2907" xfId="0" applyNumberFormat="1" applyFont="1" applyBorder="1" applyAlignment="1">
      <alignment horizontal="center" vertical="center" wrapText="1"/>
    </xf>
    <xf numFmtId="170" fontId="16" fillId="0" borderId="2908" xfId="0" applyNumberFormat="1" applyFont="1" applyBorder="1" applyAlignment="1">
      <alignment horizontal="center" vertical="center" wrapText="1"/>
    </xf>
    <xf numFmtId="170" fontId="16" fillId="0" borderId="2909" xfId="0" applyNumberFormat="1" applyFont="1" applyBorder="1" applyAlignment="1">
      <alignment horizontal="center" vertical="center" wrapText="1"/>
    </xf>
    <xf numFmtId="170" fontId="16" fillId="0" borderId="2910" xfId="0" applyNumberFormat="1" applyFont="1" applyBorder="1" applyAlignment="1">
      <alignment horizontal="center" vertical="center" wrapText="1"/>
    </xf>
    <xf numFmtId="170" fontId="16" fillId="0" borderId="2911" xfId="0" applyNumberFormat="1" applyFont="1" applyBorder="1" applyAlignment="1">
      <alignment horizontal="center" vertical="center" wrapText="1"/>
    </xf>
    <xf numFmtId="170" fontId="16" fillId="0" borderId="2912" xfId="0" applyNumberFormat="1" applyFont="1" applyBorder="1" applyAlignment="1">
      <alignment horizontal="center" vertical="center" wrapText="1"/>
    </xf>
    <xf numFmtId="170" fontId="16" fillId="0" borderId="2913" xfId="0" applyNumberFormat="1" applyFont="1" applyBorder="1" applyAlignment="1">
      <alignment horizontal="center" vertical="center" wrapText="1"/>
    </xf>
    <xf numFmtId="170" fontId="16" fillId="0" borderId="2914" xfId="0" applyNumberFormat="1" applyFont="1" applyBorder="1" applyAlignment="1">
      <alignment horizontal="center" vertical="center" wrapText="1"/>
    </xf>
    <xf numFmtId="170" fontId="16" fillId="0" borderId="2915" xfId="0" applyNumberFormat="1" applyFont="1" applyBorder="1" applyAlignment="1">
      <alignment horizontal="center" vertical="center" wrapText="1"/>
    </xf>
    <xf numFmtId="170" fontId="16" fillId="0" borderId="2916" xfId="0" applyNumberFormat="1" applyFont="1" applyBorder="1" applyAlignment="1">
      <alignment horizontal="center" vertical="center" wrapText="1"/>
    </xf>
    <xf numFmtId="170" fontId="16" fillId="0" borderId="2917" xfId="0" applyNumberFormat="1" applyFont="1" applyBorder="1" applyAlignment="1">
      <alignment horizontal="center" vertical="center" wrapText="1"/>
    </xf>
    <xf numFmtId="170" fontId="16" fillId="0" borderId="2918" xfId="0" applyNumberFormat="1" applyFont="1" applyBorder="1" applyAlignment="1">
      <alignment horizontal="center" vertical="center" wrapText="1"/>
    </xf>
    <xf numFmtId="170" fontId="16" fillId="0" borderId="2919" xfId="0" applyNumberFormat="1" applyFont="1" applyBorder="1" applyAlignment="1">
      <alignment horizontal="center" vertical="center" wrapText="1"/>
    </xf>
    <xf numFmtId="170" fontId="16" fillId="0" borderId="2920" xfId="0" applyNumberFormat="1" applyFont="1" applyBorder="1" applyAlignment="1">
      <alignment horizontal="center" vertical="center" wrapText="1"/>
    </xf>
    <xf numFmtId="170" fontId="16" fillId="0" borderId="2921" xfId="0" applyNumberFormat="1" applyFont="1" applyBorder="1" applyAlignment="1">
      <alignment horizontal="center" vertical="center" wrapText="1"/>
    </xf>
    <xf numFmtId="170" fontId="16" fillId="0" borderId="2922" xfId="0" applyNumberFormat="1" applyFont="1" applyBorder="1" applyAlignment="1">
      <alignment horizontal="center" vertical="center" wrapText="1"/>
    </xf>
    <xf numFmtId="170" fontId="16" fillId="0" borderId="2923" xfId="0" applyNumberFormat="1" applyFont="1" applyBorder="1" applyAlignment="1">
      <alignment horizontal="center" vertical="center" wrapText="1"/>
    </xf>
    <xf numFmtId="170" fontId="16" fillId="0" borderId="2924" xfId="0" applyNumberFormat="1" applyFont="1" applyBorder="1" applyAlignment="1">
      <alignment horizontal="center" vertical="center" wrapText="1"/>
    </xf>
    <xf numFmtId="170" fontId="16" fillId="0" borderId="2925" xfId="0" applyNumberFormat="1" applyFont="1" applyBorder="1" applyAlignment="1">
      <alignment horizontal="center" vertical="center" wrapText="1"/>
    </xf>
    <xf numFmtId="170" fontId="85" fillId="0" borderId="2883" xfId="0" applyNumberFormat="1" applyFont="1" applyBorder="1" applyAlignment="1">
      <alignment horizontal="center" vertical="center" wrapText="1"/>
    </xf>
    <xf numFmtId="170" fontId="85" fillId="0" borderId="2884" xfId="0" applyNumberFormat="1" applyFont="1" applyBorder="1" applyAlignment="1">
      <alignment horizontal="center" vertical="center" wrapText="1"/>
    </xf>
    <xf numFmtId="170" fontId="85" fillId="0" borderId="2885" xfId="0" applyNumberFormat="1" applyFont="1" applyBorder="1" applyAlignment="1">
      <alignment horizontal="center" vertical="center" wrapText="1"/>
    </xf>
    <xf numFmtId="170" fontId="85" fillId="0" borderId="2886" xfId="0" applyNumberFormat="1" applyFont="1" applyBorder="1" applyAlignment="1">
      <alignment horizontal="center" vertical="center" wrapText="1"/>
    </xf>
    <xf numFmtId="170" fontId="85" fillId="0" borderId="2887" xfId="0" applyNumberFormat="1" applyFont="1" applyBorder="1" applyAlignment="1">
      <alignment horizontal="center" vertical="center" wrapText="1"/>
    </xf>
    <xf numFmtId="170" fontId="85" fillId="0" borderId="2888" xfId="0" applyNumberFormat="1" applyFont="1" applyBorder="1" applyAlignment="1">
      <alignment horizontal="center" vertical="center" wrapText="1"/>
    </xf>
    <xf numFmtId="170" fontId="85" fillId="0" borderId="2889" xfId="0" applyNumberFormat="1" applyFont="1" applyBorder="1" applyAlignment="1">
      <alignment horizontal="center" vertical="center" wrapText="1"/>
    </xf>
    <xf numFmtId="170" fontId="85" fillId="0" borderId="2890" xfId="0" applyNumberFormat="1" applyFont="1" applyBorder="1" applyAlignment="1">
      <alignment horizontal="center" vertical="center" wrapText="1"/>
    </xf>
    <xf numFmtId="170" fontId="85" fillId="0" borderId="2891" xfId="0" applyNumberFormat="1" applyFont="1" applyBorder="1" applyAlignment="1">
      <alignment horizontal="center" vertical="center" wrapText="1"/>
    </xf>
    <xf numFmtId="170" fontId="85" fillId="0" borderId="2892" xfId="0" applyNumberFormat="1" applyFont="1" applyBorder="1" applyAlignment="1">
      <alignment horizontal="center" vertical="center" wrapText="1"/>
    </xf>
    <xf numFmtId="170" fontId="85" fillId="0" borderId="2893" xfId="0" applyNumberFormat="1" applyFont="1" applyBorder="1" applyAlignment="1">
      <alignment horizontal="center" vertical="center" wrapText="1"/>
    </xf>
    <xf numFmtId="170" fontId="85" fillId="0" borderId="2894" xfId="0" applyNumberFormat="1" applyFont="1" applyBorder="1" applyAlignment="1">
      <alignment horizontal="center" vertical="center" wrapText="1"/>
    </xf>
    <xf numFmtId="170" fontId="85" fillId="0" borderId="2895" xfId="0" applyNumberFormat="1" applyFont="1" applyBorder="1" applyAlignment="1">
      <alignment horizontal="center" vertical="center" wrapText="1"/>
    </xf>
    <xf numFmtId="170" fontId="85" fillId="0" borderId="2896" xfId="0" applyNumberFormat="1" applyFont="1" applyBorder="1" applyAlignment="1">
      <alignment horizontal="center" vertical="center" wrapText="1"/>
    </xf>
    <xf numFmtId="170" fontId="85" fillId="0" borderId="2897" xfId="0" applyNumberFormat="1" applyFont="1" applyBorder="1" applyAlignment="1">
      <alignment horizontal="center" vertical="center" wrapText="1"/>
    </xf>
    <xf numFmtId="170" fontId="85" fillId="0" borderId="2898" xfId="0" applyNumberFormat="1" applyFont="1" applyBorder="1" applyAlignment="1">
      <alignment horizontal="center" vertical="center" wrapText="1"/>
    </xf>
    <xf numFmtId="170" fontId="85" fillId="0" borderId="2899" xfId="0" applyNumberFormat="1" applyFont="1" applyBorder="1" applyAlignment="1">
      <alignment horizontal="center" vertical="center" wrapText="1"/>
    </xf>
    <xf numFmtId="170" fontId="85" fillId="0" borderId="2900" xfId="0" applyNumberFormat="1" applyFont="1" applyBorder="1" applyAlignment="1">
      <alignment horizontal="center" vertical="center" wrapText="1"/>
    </xf>
    <xf numFmtId="170" fontId="85" fillId="0" borderId="2901" xfId="0" applyNumberFormat="1" applyFont="1" applyBorder="1" applyAlignment="1">
      <alignment horizontal="center" vertical="center" wrapText="1"/>
    </xf>
    <xf numFmtId="170" fontId="85" fillId="0" borderId="2902" xfId="0" applyNumberFormat="1" applyFont="1" applyBorder="1" applyAlignment="1">
      <alignment horizontal="center" vertical="center" wrapText="1"/>
    </xf>
    <xf numFmtId="0" fontId="28" fillId="0" borderId="2830" xfId="0" applyNumberFormat="1" applyFont="1" applyBorder="1" applyAlignment="1">
      <alignment horizontal="center" vertical="center"/>
    </xf>
    <xf numFmtId="0" fontId="28" fillId="0" borderId="2832" xfId="0" applyNumberFormat="1" applyFont="1" applyBorder="1" applyAlignment="1">
      <alignment horizontal="center" vertical="center"/>
    </xf>
    <xf numFmtId="0" fontId="28" fillId="0" borderId="2831" xfId="0" applyNumberFormat="1" applyFont="1" applyBorder="1" applyAlignment="1">
      <alignment horizontal="center" vertical="center"/>
    </xf>
    <xf numFmtId="170" fontId="85" fillId="0" borderId="2836" xfId="0" applyNumberFormat="1" applyFont="1" applyBorder="1" applyAlignment="1">
      <alignment horizontal="center" vertical="center" wrapText="1"/>
    </xf>
    <xf numFmtId="170" fontId="85" fillId="0" borderId="2837" xfId="0" applyNumberFormat="1" applyFont="1" applyBorder="1" applyAlignment="1">
      <alignment horizontal="center" vertical="center" wrapText="1"/>
    </xf>
    <xf numFmtId="170" fontId="85" fillId="0" borderId="2838" xfId="0" applyNumberFormat="1" applyFont="1" applyBorder="1" applyAlignment="1">
      <alignment horizontal="center" vertical="center" wrapText="1"/>
    </xf>
    <xf numFmtId="170" fontId="85" fillId="0" borderId="2839" xfId="0" applyNumberFormat="1" applyFont="1" applyBorder="1" applyAlignment="1">
      <alignment horizontal="center" vertical="center" wrapText="1"/>
    </xf>
    <xf numFmtId="170" fontId="85" fillId="0" borderId="2840" xfId="0" applyNumberFormat="1" applyFont="1" applyBorder="1" applyAlignment="1">
      <alignment horizontal="center" vertical="center" wrapText="1"/>
    </xf>
    <xf numFmtId="170" fontId="85" fillId="0" borderId="2841" xfId="0" applyNumberFormat="1" applyFont="1" applyBorder="1" applyAlignment="1">
      <alignment horizontal="center" vertical="center" wrapText="1"/>
    </xf>
    <xf numFmtId="170" fontId="85" fillId="0" borderId="2842" xfId="0" applyNumberFormat="1" applyFont="1" applyBorder="1" applyAlignment="1">
      <alignment horizontal="center" vertical="center" wrapText="1"/>
    </xf>
    <xf numFmtId="170" fontId="85" fillId="0" borderId="2843" xfId="0" applyNumberFormat="1" applyFont="1" applyBorder="1" applyAlignment="1">
      <alignment horizontal="center" vertical="center" wrapText="1"/>
    </xf>
    <xf numFmtId="170" fontId="85" fillId="0" borderId="2844" xfId="0" applyNumberFormat="1" applyFont="1" applyBorder="1" applyAlignment="1">
      <alignment horizontal="center" vertical="center" wrapText="1"/>
    </xf>
    <xf numFmtId="0" fontId="28" fillId="0" borderId="2834" xfId="0" applyNumberFormat="1" applyFont="1" applyBorder="1" applyAlignment="1">
      <alignment horizontal="center" vertical="center"/>
    </xf>
    <xf numFmtId="0" fontId="28" fillId="0" borderId="2835" xfId="0" applyNumberFormat="1" applyFont="1" applyBorder="1" applyAlignment="1">
      <alignment horizontal="center" vertical="center"/>
    </xf>
    <xf numFmtId="0" fontId="28" fillId="0" borderId="2833" xfId="0" applyNumberFormat="1" applyFont="1" applyBorder="1" applyAlignment="1">
      <alignment horizontal="center" vertical="center"/>
    </xf>
    <xf numFmtId="170" fontId="85" fillId="0" borderId="2845" xfId="0" applyNumberFormat="1" applyFont="1" applyBorder="1" applyAlignment="1">
      <alignment horizontal="center" vertical="center" wrapText="1"/>
    </xf>
    <xf numFmtId="170" fontId="85" fillId="0" borderId="2846" xfId="0" applyNumberFormat="1" applyFont="1" applyBorder="1" applyAlignment="1">
      <alignment horizontal="center" vertical="center" wrapText="1"/>
    </xf>
    <xf numFmtId="170" fontId="85" fillId="0" borderId="2847" xfId="0" applyNumberFormat="1" applyFont="1" applyBorder="1" applyAlignment="1">
      <alignment horizontal="center" vertical="center" wrapText="1"/>
    </xf>
    <xf numFmtId="170" fontId="85" fillId="0" borderId="2848" xfId="0" applyNumberFormat="1" applyFont="1" applyBorder="1" applyAlignment="1">
      <alignment horizontal="center" vertical="center" wrapText="1"/>
    </xf>
    <xf numFmtId="170" fontId="85" fillId="0" borderId="2849" xfId="0" applyNumberFormat="1" applyFont="1" applyBorder="1" applyAlignment="1">
      <alignment horizontal="center" vertical="center" wrapText="1"/>
    </xf>
    <xf numFmtId="170" fontId="85" fillId="0" borderId="2850" xfId="0" applyNumberFormat="1" applyFont="1" applyBorder="1" applyAlignment="1">
      <alignment horizontal="center" vertical="center" wrapText="1"/>
    </xf>
    <xf numFmtId="170" fontId="85" fillId="0" borderId="2851" xfId="0" applyNumberFormat="1" applyFont="1" applyBorder="1" applyAlignment="1">
      <alignment horizontal="center" vertical="center" wrapText="1"/>
    </xf>
    <xf numFmtId="170" fontId="85" fillId="0" borderId="2852" xfId="0" applyNumberFormat="1" applyFont="1" applyBorder="1" applyAlignment="1">
      <alignment horizontal="center" vertical="center" wrapText="1"/>
    </xf>
    <xf numFmtId="170" fontId="85" fillId="0" borderId="2853" xfId="0" applyNumberFormat="1" applyFont="1" applyBorder="1" applyAlignment="1">
      <alignment horizontal="center" vertical="center" wrapText="1"/>
    </xf>
    <xf numFmtId="170" fontId="85" fillId="0" borderId="2854" xfId="0" applyNumberFormat="1" applyFont="1" applyBorder="1" applyAlignment="1">
      <alignment horizontal="center" vertical="center" wrapText="1"/>
    </xf>
    <xf numFmtId="170" fontId="85" fillId="0" borderId="2855" xfId="0" applyNumberFormat="1" applyFont="1" applyBorder="1" applyAlignment="1">
      <alignment horizontal="center" vertical="center" wrapText="1"/>
    </xf>
    <xf numFmtId="170" fontId="85" fillId="0" borderId="2856" xfId="0" applyNumberFormat="1" applyFont="1" applyBorder="1" applyAlignment="1">
      <alignment horizontal="center" vertical="center" wrapText="1"/>
    </xf>
    <xf numFmtId="170" fontId="85" fillId="0" borderId="2857" xfId="0" applyNumberFormat="1" applyFont="1" applyBorder="1" applyAlignment="1">
      <alignment horizontal="center" vertical="center" wrapText="1"/>
    </xf>
    <xf numFmtId="170" fontId="85" fillId="0" borderId="2858" xfId="0" applyNumberFormat="1" applyFont="1" applyBorder="1" applyAlignment="1">
      <alignment horizontal="center" vertical="center" wrapText="1"/>
    </xf>
    <xf numFmtId="170" fontId="85" fillId="0" borderId="2859" xfId="0" applyNumberFormat="1" applyFont="1" applyBorder="1" applyAlignment="1">
      <alignment horizontal="center" vertical="center" wrapText="1"/>
    </xf>
    <xf numFmtId="170" fontId="85" fillId="0" borderId="2860" xfId="0" applyNumberFormat="1" applyFont="1" applyBorder="1" applyAlignment="1">
      <alignment horizontal="center" vertical="center" wrapText="1"/>
    </xf>
    <xf numFmtId="170" fontId="85" fillId="0" borderId="2861" xfId="0" applyNumberFormat="1" applyFont="1" applyBorder="1" applyAlignment="1">
      <alignment horizontal="center" vertical="center" wrapText="1"/>
    </xf>
    <xf numFmtId="170" fontId="85" fillId="0" borderId="2862" xfId="0" applyNumberFormat="1" applyFont="1" applyBorder="1" applyAlignment="1">
      <alignment horizontal="center" vertical="center" wrapText="1"/>
    </xf>
    <xf numFmtId="170" fontId="85" fillId="0" borderId="2863" xfId="0" applyNumberFormat="1" applyFont="1" applyBorder="1" applyAlignment="1">
      <alignment horizontal="center" vertical="center" wrapText="1"/>
    </xf>
    <xf numFmtId="170" fontId="85" fillId="0" borderId="2864" xfId="0" applyNumberFormat="1" applyFont="1" applyBorder="1" applyAlignment="1">
      <alignment horizontal="center" vertical="center" wrapText="1"/>
    </xf>
    <xf numFmtId="170" fontId="85" fillId="0" borderId="2865" xfId="0" applyNumberFormat="1" applyFont="1" applyBorder="1" applyAlignment="1">
      <alignment horizontal="center" vertical="center" wrapText="1"/>
    </xf>
    <xf numFmtId="170" fontId="85" fillId="0" borderId="2866" xfId="0" applyNumberFormat="1" applyFont="1" applyBorder="1" applyAlignment="1">
      <alignment horizontal="center" vertical="center" wrapText="1"/>
    </xf>
    <xf numFmtId="170" fontId="85" fillId="0" borderId="2867" xfId="0" applyNumberFormat="1" applyFont="1" applyBorder="1" applyAlignment="1">
      <alignment horizontal="center" vertical="center" wrapText="1"/>
    </xf>
    <xf numFmtId="170" fontId="85" fillId="0" borderId="2868" xfId="0" applyNumberFormat="1" applyFont="1" applyBorder="1" applyAlignment="1">
      <alignment horizontal="center" vertical="center" wrapText="1"/>
    </xf>
    <xf numFmtId="170" fontId="85" fillId="0" borderId="2869" xfId="0" applyNumberFormat="1" applyFont="1" applyBorder="1" applyAlignment="1">
      <alignment horizontal="center" vertical="center" wrapText="1"/>
    </xf>
    <xf numFmtId="170" fontId="85" fillId="0" borderId="2870" xfId="0" applyNumberFormat="1" applyFont="1" applyBorder="1" applyAlignment="1">
      <alignment horizontal="center" vertical="center" wrapText="1"/>
    </xf>
    <xf numFmtId="170" fontId="85" fillId="0" borderId="2871" xfId="0" applyNumberFormat="1" applyFont="1" applyBorder="1" applyAlignment="1">
      <alignment horizontal="center" vertical="center" wrapText="1"/>
    </xf>
    <xf numFmtId="170" fontId="85" fillId="0" borderId="2872" xfId="0" applyNumberFormat="1" applyFont="1" applyBorder="1" applyAlignment="1">
      <alignment horizontal="center" vertical="center" wrapText="1"/>
    </xf>
    <xf numFmtId="170" fontId="85" fillId="0" borderId="2873" xfId="0" applyNumberFormat="1" applyFont="1" applyBorder="1" applyAlignment="1">
      <alignment horizontal="center" vertical="center" wrapText="1"/>
    </xf>
    <xf numFmtId="170" fontId="85" fillId="0" borderId="2874" xfId="0" applyNumberFormat="1" applyFont="1" applyBorder="1" applyAlignment="1">
      <alignment horizontal="center" vertical="center" wrapText="1"/>
    </xf>
    <xf numFmtId="170" fontId="85" fillId="0" borderId="2875" xfId="0" applyNumberFormat="1" applyFont="1" applyBorder="1" applyAlignment="1">
      <alignment horizontal="center" vertical="center" wrapText="1"/>
    </xf>
    <xf numFmtId="170" fontId="85" fillId="0" borderId="2876" xfId="0" applyNumberFormat="1" applyFont="1" applyBorder="1" applyAlignment="1">
      <alignment horizontal="center" vertical="center" wrapText="1"/>
    </xf>
    <xf numFmtId="170" fontId="85" fillId="0" borderId="2877" xfId="0" applyNumberFormat="1" applyFont="1" applyBorder="1" applyAlignment="1">
      <alignment horizontal="center" vertical="center" wrapText="1"/>
    </xf>
    <xf numFmtId="170" fontId="85" fillId="0" borderId="2878" xfId="0" applyNumberFormat="1" applyFont="1" applyBorder="1" applyAlignment="1">
      <alignment horizontal="center" vertical="center" wrapText="1"/>
    </xf>
    <xf numFmtId="170" fontId="85" fillId="0" borderId="2879" xfId="0" applyNumberFormat="1" applyFont="1" applyBorder="1" applyAlignment="1">
      <alignment horizontal="center" vertical="center" wrapText="1"/>
    </xf>
    <xf numFmtId="170" fontId="85" fillId="0" borderId="2880" xfId="0" applyNumberFormat="1" applyFont="1" applyBorder="1" applyAlignment="1">
      <alignment horizontal="center" vertical="center" wrapText="1"/>
    </xf>
    <xf numFmtId="170" fontId="85" fillId="0" borderId="2881" xfId="0" applyNumberFormat="1" applyFont="1" applyBorder="1" applyAlignment="1">
      <alignment horizontal="center" vertical="center" wrapText="1"/>
    </xf>
    <xf numFmtId="170" fontId="85" fillId="0" borderId="2882" xfId="0" applyNumberFormat="1" applyFont="1" applyBorder="1" applyAlignment="1">
      <alignment horizontal="center" vertical="center" wrapText="1"/>
    </xf>
    <xf numFmtId="0" fontId="79" fillId="7" borderId="2508" xfId="0" applyNumberFormat="1" applyFont="1" applyFill="1" applyBorder="1" applyAlignment="1">
      <alignment horizontal="center" vertical="center"/>
    </xf>
    <xf numFmtId="0" fontId="79" fillId="7" borderId="2509" xfId="0" applyNumberFormat="1" applyFont="1" applyFill="1" applyBorder="1" applyAlignment="1">
      <alignment horizontal="center" vertical="center"/>
    </xf>
    <xf numFmtId="0" fontId="79" fillId="7" borderId="2510" xfId="0" applyNumberFormat="1" applyFont="1" applyFill="1" applyBorder="1" applyAlignment="1">
      <alignment horizontal="center" vertical="center"/>
    </xf>
    <xf numFmtId="0" fontId="79" fillId="7" borderId="2511" xfId="0" applyNumberFormat="1" applyFont="1" applyFill="1" applyBorder="1" applyAlignment="1">
      <alignment horizontal="center" vertical="center"/>
    </xf>
    <xf numFmtId="0" fontId="79" fillId="7" borderId="2512" xfId="0" applyNumberFormat="1" applyFont="1" applyFill="1" applyBorder="1" applyAlignment="1">
      <alignment horizontal="center" vertical="center"/>
    </xf>
    <xf numFmtId="0" fontId="79" fillId="7" borderId="2513" xfId="0" applyNumberFormat="1" applyFont="1" applyFill="1" applyBorder="1" applyAlignment="1">
      <alignment horizontal="center" vertical="center"/>
    </xf>
    <xf numFmtId="0" fontId="79" fillId="7" borderId="2514" xfId="0" applyNumberFormat="1" applyFont="1" applyFill="1" applyBorder="1" applyAlignment="1">
      <alignment horizontal="center" vertical="center"/>
    </xf>
    <xf numFmtId="0" fontId="79" fillId="7" borderId="2515" xfId="0" applyNumberFormat="1" applyFont="1" applyFill="1" applyBorder="1" applyAlignment="1">
      <alignment horizontal="center" vertical="center"/>
    </xf>
    <xf numFmtId="0" fontId="79" fillId="7" borderId="2516" xfId="0" applyNumberFormat="1" applyFont="1" applyFill="1" applyBorder="1" applyAlignment="1">
      <alignment horizontal="center" vertical="center"/>
    </xf>
    <xf numFmtId="0" fontId="79" fillId="7" borderId="2517" xfId="0" applyNumberFormat="1" applyFont="1" applyFill="1" applyBorder="1" applyAlignment="1">
      <alignment horizontal="center" vertical="center"/>
    </xf>
    <xf numFmtId="0" fontId="79" fillId="7" borderId="2544" xfId="0" applyNumberFormat="1" applyFont="1" applyFill="1" applyBorder="1" applyAlignment="1">
      <alignment horizontal="center" vertical="center"/>
    </xf>
    <xf numFmtId="0" fontId="79" fillId="7" borderId="2545" xfId="0" applyNumberFormat="1" applyFont="1" applyFill="1" applyBorder="1" applyAlignment="1">
      <alignment horizontal="center" vertical="center"/>
    </xf>
    <xf numFmtId="0" fontId="79" fillId="7" borderId="2546" xfId="0" applyNumberFormat="1" applyFont="1" applyFill="1" applyBorder="1" applyAlignment="1">
      <alignment horizontal="center" vertical="center"/>
    </xf>
    <xf numFmtId="0" fontId="79" fillId="7" borderId="2547" xfId="0" applyNumberFormat="1" applyFont="1" applyFill="1" applyBorder="1" applyAlignment="1">
      <alignment horizontal="center" vertical="center"/>
    </xf>
    <xf numFmtId="0" fontId="79" fillId="7" borderId="2548" xfId="0" applyNumberFormat="1" applyFont="1" applyFill="1" applyBorder="1" applyAlignment="1">
      <alignment horizontal="center" vertical="center"/>
    </xf>
    <xf numFmtId="0" fontId="79" fillId="7" borderId="2549" xfId="0" applyNumberFormat="1" applyFont="1" applyFill="1" applyBorder="1" applyAlignment="1">
      <alignment horizontal="center" vertical="center"/>
    </xf>
    <xf numFmtId="0" fontId="79" fillId="7" borderId="2550" xfId="0" applyNumberFormat="1" applyFont="1" applyFill="1" applyBorder="1" applyAlignment="1">
      <alignment horizontal="center" vertical="center"/>
    </xf>
    <xf numFmtId="0" fontId="79" fillId="7" borderId="2551" xfId="0" applyNumberFormat="1" applyFont="1" applyFill="1" applyBorder="1" applyAlignment="1">
      <alignment horizontal="center" vertical="center"/>
    </xf>
    <xf numFmtId="0" fontId="79" fillId="7" borderId="2552" xfId="0" applyNumberFormat="1" applyFont="1" applyFill="1" applyBorder="1" applyAlignment="1">
      <alignment horizontal="center" vertical="center"/>
    </xf>
    <xf numFmtId="0" fontId="79" fillId="7" borderId="2553" xfId="0" applyNumberFormat="1" applyFont="1" applyFill="1" applyBorder="1" applyAlignment="1">
      <alignment horizontal="center" vertical="center"/>
    </xf>
    <xf numFmtId="0" fontId="79" fillId="7" borderId="2554" xfId="0" applyNumberFormat="1" applyFont="1" applyFill="1" applyBorder="1" applyAlignment="1">
      <alignment horizontal="center" vertical="center"/>
    </xf>
    <xf numFmtId="0" fontId="77" fillId="7" borderId="2518" xfId="0" applyNumberFormat="1" applyFont="1" applyFill="1" applyBorder="1" applyAlignment="1">
      <alignment horizontal="center" vertical="center"/>
    </xf>
    <xf numFmtId="0" fontId="77" fillId="7" borderId="2519" xfId="0" applyNumberFormat="1" applyFont="1" applyFill="1" applyBorder="1" applyAlignment="1">
      <alignment horizontal="center" vertical="center"/>
    </xf>
    <xf numFmtId="0" fontId="77" fillId="7" borderId="2520" xfId="0" applyNumberFormat="1" applyFont="1" applyFill="1" applyBorder="1" applyAlignment="1">
      <alignment horizontal="center" vertical="center"/>
    </xf>
    <xf numFmtId="0" fontId="77" fillId="7" borderId="2521" xfId="0" applyNumberFormat="1" applyFont="1" applyFill="1" applyBorder="1" applyAlignment="1">
      <alignment horizontal="center" vertical="center"/>
    </xf>
    <xf numFmtId="0" fontId="77" fillId="7" borderId="2522" xfId="0" applyNumberFormat="1" applyFont="1" applyFill="1" applyBorder="1" applyAlignment="1">
      <alignment horizontal="center" vertical="center"/>
    </xf>
    <xf numFmtId="0" fontId="77" fillId="7" borderId="2523" xfId="0" applyNumberFormat="1" applyFont="1" applyFill="1" applyBorder="1" applyAlignment="1">
      <alignment horizontal="center" vertical="center"/>
    </xf>
    <xf numFmtId="0" fontId="77" fillId="7" borderId="2524" xfId="0" applyNumberFormat="1" applyFont="1" applyFill="1" applyBorder="1" applyAlignment="1">
      <alignment horizontal="center" vertical="center"/>
    </xf>
    <xf numFmtId="0" fontId="77" fillId="7" borderId="2525" xfId="0" applyNumberFormat="1" applyFont="1" applyFill="1" applyBorder="1" applyAlignment="1">
      <alignment horizontal="center" vertical="center"/>
    </xf>
    <xf numFmtId="0" fontId="77" fillId="7" borderId="2526" xfId="0" applyNumberFormat="1" applyFont="1" applyFill="1" applyBorder="1" applyAlignment="1">
      <alignment horizontal="center" vertical="center"/>
    </xf>
    <xf numFmtId="0" fontId="77" fillId="7" borderId="2527" xfId="0" applyNumberFormat="1" applyFont="1" applyFill="1" applyBorder="1" applyAlignment="1">
      <alignment horizontal="center" vertical="center"/>
    </xf>
    <xf numFmtId="0" fontId="77" fillId="7" borderId="2528" xfId="0" applyNumberFormat="1" applyFont="1" applyFill="1" applyBorder="1" applyAlignment="1">
      <alignment horizontal="center" vertical="center"/>
    </xf>
    <xf numFmtId="0" fontId="77" fillId="7" borderId="2529" xfId="0" applyNumberFormat="1" applyFont="1" applyFill="1" applyBorder="1" applyAlignment="1">
      <alignment horizontal="center" vertical="center"/>
    </xf>
    <xf numFmtId="0" fontId="77" fillId="7" borderId="2530" xfId="0" applyNumberFormat="1" applyFont="1" applyFill="1" applyBorder="1" applyAlignment="1">
      <alignment horizontal="center" vertical="center"/>
    </xf>
    <xf numFmtId="0" fontId="77" fillId="7" borderId="2531" xfId="0" applyNumberFormat="1" applyFont="1" applyFill="1" applyBorder="1" applyAlignment="1">
      <alignment horizontal="center" vertical="center"/>
    </xf>
    <xf numFmtId="0" fontId="77" fillId="7" borderId="2532" xfId="0" applyNumberFormat="1" applyFont="1" applyFill="1" applyBorder="1" applyAlignment="1">
      <alignment horizontal="center" vertical="center"/>
    </xf>
    <xf numFmtId="0" fontId="77" fillId="7" borderId="2533" xfId="0" applyNumberFormat="1" applyFont="1" applyFill="1" applyBorder="1" applyAlignment="1">
      <alignment horizontal="center" vertical="center"/>
    </xf>
    <xf numFmtId="0" fontId="77" fillId="7" borderId="2534" xfId="0" applyNumberFormat="1" applyFont="1" applyFill="1" applyBorder="1" applyAlignment="1">
      <alignment horizontal="center" vertical="center"/>
    </xf>
    <xf numFmtId="0" fontId="77" fillId="7" borderId="2535" xfId="0" applyNumberFormat="1" applyFont="1" applyFill="1" applyBorder="1" applyAlignment="1">
      <alignment horizontal="center" vertical="center"/>
    </xf>
    <xf numFmtId="0" fontId="77" fillId="7" borderId="2536" xfId="0" applyNumberFormat="1" applyFont="1" applyFill="1" applyBorder="1" applyAlignment="1">
      <alignment horizontal="center" vertical="center"/>
    </xf>
    <xf numFmtId="0" fontId="77" fillId="7" borderId="2537" xfId="0" applyNumberFormat="1" applyFont="1" applyFill="1" applyBorder="1" applyAlignment="1">
      <alignment horizontal="center" vertical="center"/>
    </xf>
    <xf numFmtId="0" fontId="77" fillId="7" borderId="2555" xfId="0" applyNumberFormat="1" applyFont="1" applyFill="1" applyBorder="1" applyAlignment="1">
      <alignment horizontal="center" vertical="center"/>
    </xf>
    <xf numFmtId="0" fontId="77" fillId="7" borderId="2556" xfId="0" applyNumberFormat="1" applyFont="1" applyFill="1" applyBorder="1" applyAlignment="1">
      <alignment horizontal="center" vertical="center"/>
    </xf>
    <xf numFmtId="0" fontId="77" fillId="7" borderId="2557" xfId="0" applyNumberFormat="1" applyFont="1" applyFill="1" applyBorder="1" applyAlignment="1">
      <alignment horizontal="center" vertical="center"/>
    </xf>
    <xf numFmtId="0" fontId="77" fillId="7" borderId="2558" xfId="0" applyNumberFormat="1" applyFont="1" applyFill="1" applyBorder="1" applyAlignment="1">
      <alignment horizontal="center" vertical="center"/>
    </xf>
    <xf numFmtId="0" fontId="77" fillId="7" borderId="2559" xfId="0" applyNumberFormat="1" applyFont="1" applyFill="1" applyBorder="1" applyAlignment="1">
      <alignment horizontal="center" vertical="center"/>
    </xf>
    <xf numFmtId="0" fontId="77" fillId="7" borderId="2560" xfId="0" applyNumberFormat="1" applyFont="1" applyFill="1" applyBorder="1" applyAlignment="1">
      <alignment horizontal="center" vertical="center"/>
    </xf>
    <xf numFmtId="0" fontId="77" fillId="7" borderId="2561" xfId="0" applyNumberFormat="1" applyFont="1" applyFill="1" applyBorder="1" applyAlignment="1">
      <alignment horizontal="center" vertical="center"/>
    </xf>
    <xf numFmtId="0" fontId="77" fillId="7" borderId="2562" xfId="0" applyNumberFormat="1" applyFont="1" applyFill="1" applyBorder="1" applyAlignment="1">
      <alignment horizontal="center" vertical="center"/>
    </xf>
    <xf numFmtId="0" fontId="77" fillId="7" borderId="2563" xfId="0" applyNumberFormat="1" applyFont="1" applyFill="1" applyBorder="1" applyAlignment="1">
      <alignment horizontal="center" vertical="center"/>
    </xf>
    <xf numFmtId="0" fontId="77" fillId="7" borderId="2564" xfId="0" applyNumberFormat="1" applyFont="1" applyFill="1" applyBorder="1" applyAlignment="1">
      <alignment horizontal="center" vertical="center"/>
    </xf>
    <xf numFmtId="0" fontId="77" fillId="7" borderId="2565" xfId="0" applyNumberFormat="1" applyFont="1" applyFill="1" applyBorder="1" applyAlignment="1">
      <alignment horizontal="center" vertical="center"/>
    </xf>
    <xf numFmtId="0" fontId="77" fillId="7" borderId="2566" xfId="0" applyNumberFormat="1" applyFont="1" applyFill="1" applyBorder="1" applyAlignment="1">
      <alignment horizontal="center" vertical="center"/>
    </xf>
    <xf numFmtId="0" fontId="77" fillId="7" borderId="2567" xfId="0" applyNumberFormat="1" applyFont="1" applyFill="1" applyBorder="1" applyAlignment="1">
      <alignment horizontal="center" vertical="center"/>
    </xf>
    <xf numFmtId="0" fontId="77" fillId="7" borderId="2568" xfId="0" applyNumberFormat="1" applyFont="1" applyFill="1" applyBorder="1" applyAlignment="1">
      <alignment horizontal="center" vertical="center"/>
    </xf>
    <xf numFmtId="0" fontId="77" fillId="7" borderId="2569" xfId="0" applyNumberFormat="1" applyFont="1" applyFill="1" applyBorder="1" applyAlignment="1">
      <alignment horizontal="center" vertical="center"/>
    </xf>
    <xf numFmtId="0" fontId="77" fillId="7" borderId="2570" xfId="0" applyNumberFormat="1" applyFont="1" applyFill="1" applyBorder="1" applyAlignment="1">
      <alignment horizontal="center" vertical="center"/>
    </xf>
    <xf numFmtId="0" fontId="77" fillId="7" borderId="2571" xfId="0" applyNumberFormat="1" applyFont="1" applyFill="1" applyBorder="1" applyAlignment="1">
      <alignment horizontal="center" vertical="center"/>
    </xf>
    <xf numFmtId="0" fontId="77" fillId="7" borderId="2572" xfId="0" applyNumberFormat="1" applyFont="1" applyFill="1" applyBorder="1" applyAlignment="1">
      <alignment horizontal="center" vertical="center"/>
    </xf>
    <xf numFmtId="0" fontId="77" fillId="7" borderId="2573" xfId="0" applyNumberFormat="1" applyFont="1" applyFill="1" applyBorder="1" applyAlignment="1">
      <alignment horizontal="center" vertical="center"/>
    </xf>
    <xf numFmtId="0" fontId="77" fillId="7" borderId="2574" xfId="0" applyNumberFormat="1" applyFont="1" applyFill="1" applyBorder="1" applyAlignment="1">
      <alignment horizontal="center" vertical="center"/>
    </xf>
    <xf numFmtId="0" fontId="77" fillId="7" borderId="2575" xfId="0" applyNumberFormat="1" applyFont="1" applyFill="1" applyBorder="1" applyAlignment="1">
      <alignment horizontal="center" vertical="center"/>
    </xf>
    <xf numFmtId="0" fontId="79" fillId="7" borderId="2622" xfId="0" applyNumberFormat="1" applyFont="1" applyFill="1" applyBorder="1" applyAlignment="1">
      <alignment horizontal="center" vertical="center"/>
    </xf>
    <xf numFmtId="0" fontId="79" fillId="7" borderId="2623" xfId="0" applyNumberFormat="1" applyFont="1" applyFill="1" applyBorder="1" applyAlignment="1">
      <alignment horizontal="center" vertical="center"/>
    </xf>
    <xf numFmtId="0" fontId="79" fillId="7" borderId="2624" xfId="0" applyNumberFormat="1" applyFont="1" applyFill="1" applyBorder="1" applyAlignment="1">
      <alignment horizontal="center" vertical="center"/>
    </xf>
    <xf numFmtId="0" fontId="79" fillId="7" borderId="2625" xfId="0" applyNumberFormat="1" applyFont="1" applyFill="1" applyBorder="1" applyAlignment="1">
      <alignment horizontal="center" vertical="center"/>
    </xf>
    <xf numFmtId="0" fontId="79" fillId="7" borderId="2626" xfId="0" applyNumberFormat="1" applyFont="1" applyFill="1" applyBorder="1" applyAlignment="1">
      <alignment horizontal="center" vertical="center"/>
    </xf>
    <xf numFmtId="0" fontId="79" fillId="7" borderId="2627" xfId="0" applyNumberFormat="1" applyFont="1" applyFill="1" applyBorder="1" applyAlignment="1">
      <alignment horizontal="center" vertical="center"/>
    </xf>
    <xf numFmtId="0" fontId="79" fillId="7" borderId="2628" xfId="0" applyNumberFormat="1" applyFont="1" applyFill="1" applyBorder="1" applyAlignment="1">
      <alignment horizontal="center" vertical="center"/>
    </xf>
    <xf numFmtId="0" fontId="79" fillId="7" borderId="2629" xfId="0" applyNumberFormat="1" applyFont="1" applyFill="1" applyBorder="1" applyAlignment="1">
      <alignment horizontal="center" vertical="center"/>
    </xf>
    <xf numFmtId="0" fontId="79" fillId="7" borderId="2630" xfId="0" applyNumberFormat="1" applyFont="1" applyFill="1" applyBorder="1" applyAlignment="1">
      <alignment horizontal="center" vertical="center"/>
    </xf>
    <xf numFmtId="0" fontId="79" fillId="7" borderId="2631" xfId="0" applyNumberFormat="1" applyFont="1" applyFill="1" applyBorder="1" applyAlignment="1">
      <alignment horizontal="center" vertical="center"/>
    </xf>
    <xf numFmtId="0" fontId="79" fillId="7" borderId="2688" xfId="0" applyNumberFormat="1" applyFont="1" applyFill="1" applyBorder="1" applyAlignment="1">
      <alignment horizontal="center" vertical="center"/>
    </xf>
    <xf numFmtId="0" fontId="79" fillId="7" borderId="2689" xfId="0" applyNumberFormat="1" applyFont="1" applyFill="1" applyBorder="1" applyAlignment="1">
      <alignment horizontal="center" vertical="center"/>
    </xf>
    <xf numFmtId="0" fontId="79" fillId="7" borderId="2690" xfId="0" applyNumberFormat="1" applyFont="1" applyFill="1" applyBorder="1" applyAlignment="1">
      <alignment horizontal="center" vertical="center"/>
    </xf>
    <xf numFmtId="0" fontId="79" fillId="7" borderId="2691" xfId="0" applyNumberFormat="1" applyFont="1" applyFill="1" applyBorder="1" applyAlignment="1">
      <alignment horizontal="center" vertical="center"/>
    </xf>
    <xf numFmtId="0" fontId="79" fillId="7" borderId="2692" xfId="0" applyNumberFormat="1" applyFont="1" applyFill="1" applyBorder="1" applyAlignment="1">
      <alignment horizontal="center" vertical="center"/>
    </xf>
    <xf numFmtId="0" fontId="79" fillId="7" borderId="2693" xfId="0" applyNumberFormat="1" applyFont="1" applyFill="1" applyBorder="1" applyAlignment="1">
      <alignment horizontal="center" vertical="center"/>
    </xf>
    <xf numFmtId="0" fontId="79" fillId="7" borderId="2694" xfId="0" applyNumberFormat="1" applyFont="1" applyFill="1" applyBorder="1" applyAlignment="1">
      <alignment horizontal="center" vertical="center"/>
    </xf>
    <xf numFmtId="0" fontId="79" fillId="7" borderId="2695" xfId="0" applyNumberFormat="1" applyFont="1" applyFill="1" applyBorder="1" applyAlignment="1">
      <alignment horizontal="center" vertical="center"/>
    </xf>
    <xf numFmtId="0" fontId="79" fillId="7" borderId="2696" xfId="0" applyNumberFormat="1" applyFont="1" applyFill="1" applyBorder="1" applyAlignment="1">
      <alignment horizontal="center" vertical="center"/>
    </xf>
    <xf numFmtId="0" fontId="79" fillId="7" borderId="2697" xfId="0" applyNumberFormat="1" applyFont="1" applyFill="1" applyBorder="1" applyAlignment="1">
      <alignment horizontal="center" vertical="center"/>
    </xf>
    <xf numFmtId="0" fontId="79" fillId="7" borderId="2698" xfId="0" applyNumberFormat="1" applyFont="1" applyFill="1" applyBorder="1" applyAlignment="1">
      <alignment horizontal="center" vertical="center"/>
    </xf>
    <xf numFmtId="0" fontId="77" fillId="7" borderId="2632" xfId="0" applyNumberFormat="1" applyFont="1" applyFill="1" applyBorder="1" applyAlignment="1">
      <alignment horizontal="center" vertical="center"/>
    </xf>
    <xf numFmtId="0" fontId="77" fillId="7" borderId="2633" xfId="0" applyNumberFormat="1" applyFont="1" applyFill="1" applyBorder="1" applyAlignment="1">
      <alignment horizontal="center" vertical="center"/>
    </xf>
    <xf numFmtId="0" fontId="77" fillId="7" borderId="2634" xfId="0" applyNumberFormat="1" applyFont="1" applyFill="1" applyBorder="1" applyAlignment="1">
      <alignment horizontal="center" vertical="center"/>
    </xf>
    <xf numFmtId="0" fontId="77" fillId="7" borderId="2635" xfId="0" applyNumberFormat="1" applyFont="1" applyFill="1" applyBorder="1" applyAlignment="1">
      <alignment horizontal="center" vertical="center"/>
    </xf>
    <xf numFmtId="0" fontId="77" fillId="7" borderId="2636" xfId="0" applyNumberFormat="1" applyFont="1" applyFill="1" applyBorder="1" applyAlignment="1">
      <alignment horizontal="center" vertical="center"/>
    </xf>
    <xf numFmtId="0" fontId="77" fillId="7" borderId="2637" xfId="0" applyNumberFormat="1" applyFont="1" applyFill="1" applyBorder="1" applyAlignment="1">
      <alignment horizontal="center" vertical="center"/>
    </xf>
    <xf numFmtId="0" fontId="77" fillId="7" borderId="2638" xfId="0" applyNumberFormat="1" applyFont="1" applyFill="1" applyBorder="1" applyAlignment="1">
      <alignment horizontal="center" vertical="center"/>
    </xf>
    <xf numFmtId="0" fontId="77" fillId="7" borderId="2639" xfId="0" applyNumberFormat="1" applyFont="1" applyFill="1" applyBorder="1" applyAlignment="1">
      <alignment horizontal="center" vertical="center"/>
    </xf>
    <xf numFmtId="0" fontId="77" fillId="7" borderId="2640" xfId="0" applyNumberFormat="1" applyFont="1" applyFill="1" applyBorder="1" applyAlignment="1">
      <alignment horizontal="center" vertical="center"/>
    </xf>
    <xf numFmtId="0" fontId="77" fillId="7" borderId="2641" xfId="0" applyNumberFormat="1" applyFont="1" applyFill="1" applyBorder="1" applyAlignment="1">
      <alignment horizontal="center" vertical="center"/>
    </xf>
    <xf numFmtId="0" fontId="77" fillId="7" borderId="2642" xfId="0" applyNumberFormat="1" applyFont="1" applyFill="1" applyBorder="1" applyAlignment="1">
      <alignment horizontal="center" vertical="center"/>
    </xf>
    <xf numFmtId="0" fontId="77" fillId="7" borderId="2643" xfId="0" applyNumberFormat="1" applyFont="1" applyFill="1" applyBorder="1" applyAlignment="1">
      <alignment horizontal="center" vertical="center"/>
    </xf>
    <xf numFmtId="0" fontId="77" fillId="7" borderId="2644" xfId="0" applyNumberFormat="1" applyFont="1" applyFill="1" applyBorder="1" applyAlignment="1">
      <alignment horizontal="center" vertical="center"/>
    </xf>
    <xf numFmtId="0" fontId="77" fillId="7" borderId="2645" xfId="0" applyNumberFormat="1" applyFont="1" applyFill="1" applyBorder="1" applyAlignment="1">
      <alignment horizontal="center" vertical="center"/>
    </xf>
    <xf numFmtId="0" fontId="77" fillId="7" borderId="2646" xfId="0" applyNumberFormat="1" applyFont="1" applyFill="1" applyBorder="1" applyAlignment="1">
      <alignment horizontal="center" vertical="center"/>
    </xf>
    <xf numFmtId="0" fontId="77" fillId="7" borderId="2647" xfId="0" applyNumberFormat="1" applyFont="1" applyFill="1" applyBorder="1" applyAlignment="1">
      <alignment horizontal="center" vertical="center"/>
    </xf>
    <xf numFmtId="0" fontId="77" fillId="7" borderId="2648" xfId="0" applyNumberFormat="1" applyFont="1" applyFill="1" applyBorder="1" applyAlignment="1">
      <alignment horizontal="center" vertical="center"/>
    </xf>
    <xf numFmtId="0" fontId="77" fillId="7" borderId="2649" xfId="0" applyNumberFormat="1" applyFont="1" applyFill="1" applyBorder="1" applyAlignment="1">
      <alignment horizontal="center" vertical="center"/>
    </xf>
    <xf numFmtId="0" fontId="77" fillId="7" borderId="2650" xfId="0" applyNumberFormat="1" applyFont="1" applyFill="1" applyBorder="1" applyAlignment="1">
      <alignment horizontal="center" vertical="center"/>
    </xf>
    <xf numFmtId="0" fontId="77" fillId="7" borderId="2651" xfId="0" applyNumberFormat="1" applyFont="1" applyFill="1" applyBorder="1" applyAlignment="1">
      <alignment horizontal="center" vertical="center"/>
    </xf>
    <xf numFmtId="0" fontId="77" fillId="7" borderId="2699" xfId="0" applyNumberFormat="1" applyFont="1" applyFill="1" applyBorder="1" applyAlignment="1">
      <alignment horizontal="center" vertical="center"/>
    </xf>
    <xf numFmtId="0" fontId="77" fillId="7" borderId="2700" xfId="0" applyNumberFormat="1" applyFont="1" applyFill="1" applyBorder="1" applyAlignment="1">
      <alignment horizontal="center" vertical="center"/>
    </xf>
    <xf numFmtId="0" fontId="77" fillId="7" borderId="2701" xfId="0" applyNumberFormat="1" applyFont="1" applyFill="1" applyBorder="1" applyAlignment="1">
      <alignment horizontal="center" vertical="center"/>
    </xf>
    <xf numFmtId="0" fontId="77" fillId="7" borderId="2702" xfId="0" applyNumberFormat="1" applyFont="1" applyFill="1" applyBorder="1" applyAlignment="1">
      <alignment horizontal="center" vertical="center"/>
    </xf>
    <xf numFmtId="0" fontId="77" fillId="7" borderId="2703" xfId="0" applyNumberFormat="1" applyFont="1" applyFill="1" applyBorder="1" applyAlignment="1">
      <alignment horizontal="center" vertical="center"/>
    </xf>
    <xf numFmtId="0" fontId="77" fillId="7" borderId="2704" xfId="0" applyNumberFormat="1" applyFont="1" applyFill="1" applyBorder="1" applyAlignment="1">
      <alignment horizontal="center" vertical="center"/>
    </xf>
    <xf numFmtId="0" fontId="77" fillId="7" borderId="2705" xfId="0" applyNumberFormat="1" applyFont="1" applyFill="1" applyBorder="1" applyAlignment="1">
      <alignment horizontal="center" vertical="center"/>
    </xf>
    <xf numFmtId="0" fontId="77" fillId="7" borderId="2706" xfId="0" applyNumberFormat="1" applyFont="1" applyFill="1" applyBorder="1" applyAlignment="1">
      <alignment horizontal="center" vertical="center"/>
    </xf>
    <xf numFmtId="0" fontId="77" fillId="7" borderId="2707" xfId="0" applyNumberFormat="1" applyFont="1" applyFill="1" applyBorder="1" applyAlignment="1">
      <alignment horizontal="center" vertical="center"/>
    </xf>
    <xf numFmtId="0" fontId="77" fillId="7" borderId="2708" xfId="0" applyNumberFormat="1" applyFont="1" applyFill="1" applyBorder="1" applyAlignment="1">
      <alignment horizontal="center" vertical="center"/>
    </xf>
    <xf numFmtId="0" fontId="77" fillId="7" borderId="2709" xfId="0" applyNumberFormat="1" applyFont="1" applyFill="1" applyBorder="1" applyAlignment="1">
      <alignment horizontal="center" vertical="center"/>
    </xf>
    <xf numFmtId="0" fontId="77" fillId="7" borderId="2710" xfId="0" applyNumberFormat="1" applyFont="1" applyFill="1" applyBorder="1" applyAlignment="1">
      <alignment horizontal="center" vertical="center"/>
    </xf>
    <xf numFmtId="0" fontId="77" fillId="7" borderId="2711" xfId="0" applyNumberFormat="1" applyFont="1" applyFill="1" applyBorder="1" applyAlignment="1">
      <alignment horizontal="center" vertical="center"/>
    </xf>
    <xf numFmtId="0" fontId="77" fillId="7" borderId="2712" xfId="0" applyNumberFormat="1" applyFont="1" applyFill="1" applyBorder="1" applyAlignment="1">
      <alignment horizontal="center" vertical="center"/>
    </xf>
    <xf numFmtId="0" fontId="77" fillId="7" borderId="2713" xfId="0" applyNumberFormat="1" applyFont="1" applyFill="1" applyBorder="1" applyAlignment="1">
      <alignment horizontal="center" vertical="center"/>
    </xf>
    <xf numFmtId="0" fontId="77" fillId="7" borderId="2714" xfId="0" applyNumberFormat="1" applyFont="1" applyFill="1" applyBorder="1" applyAlignment="1">
      <alignment horizontal="center" vertical="center"/>
    </xf>
    <xf numFmtId="0" fontId="77" fillId="7" borderId="2715" xfId="0" applyNumberFormat="1" applyFont="1" applyFill="1" applyBorder="1" applyAlignment="1">
      <alignment horizontal="center" vertical="center"/>
    </xf>
    <xf numFmtId="0" fontId="77" fillId="7" borderId="2716" xfId="0" applyNumberFormat="1" applyFont="1" applyFill="1" applyBorder="1" applyAlignment="1">
      <alignment horizontal="center" vertical="center"/>
    </xf>
    <xf numFmtId="0" fontId="77" fillId="7" borderId="2717" xfId="0" applyNumberFormat="1" applyFont="1" applyFill="1" applyBorder="1" applyAlignment="1">
      <alignment horizontal="center" vertical="center"/>
    </xf>
    <xf numFmtId="0" fontId="77" fillId="7" borderId="2718" xfId="0" applyNumberFormat="1" applyFont="1" applyFill="1" applyBorder="1" applyAlignment="1">
      <alignment horizontal="center" vertical="center"/>
    </xf>
    <xf numFmtId="0" fontId="77" fillId="7" borderId="2719" xfId="0" applyNumberFormat="1" applyFont="1" applyFill="1" applyBorder="1" applyAlignment="1">
      <alignment horizontal="center" vertical="center"/>
    </xf>
    <xf numFmtId="0" fontId="79" fillId="7" borderId="2726" xfId="0" applyNumberFormat="1" applyFont="1" applyFill="1" applyBorder="1" applyAlignment="1">
      <alignment horizontal="center" vertical="center"/>
    </xf>
    <xf numFmtId="0" fontId="79" fillId="7" borderId="2727" xfId="0" applyNumberFormat="1" applyFont="1" applyFill="1" applyBorder="1" applyAlignment="1">
      <alignment horizontal="center" vertical="center"/>
    </xf>
    <xf numFmtId="0" fontId="79" fillId="7" borderId="2728" xfId="0" applyNumberFormat="1" applyFont="1" applyFill="1" applyBorder="1" applyAlignment="1">
      <alignment horizontal="center" vertical="center"/>
    </xf>
    <xf numFmtId="0" fontId="79" fillId="7" borderId="2729" xfId="0" applyNumberFormat="1" applyFont="1" applyFill="1" applyBorder="1" applyAlignment="1">
      <alignment horizontal="center" vertical="center"/>
    </xf>
    <xf numFmtId="0" fontId="79" fillId="7" borderId="2730" xfId="0" applyNumberFormat="1" applyFont="1" applyFill="1" applyBorder="1" applyAlignment="1">
      <alignment horizontal="center" vertical="center"/>
    </xf>
    <xf numFmtId="0" fontId="79" fillId="7" borderId="2731" xfId="0" applyNumberFormat="1" applyFont="1" applyFill="1" applyBorder="1" applyAlignment="1">
      <alignment horizontal="center" vertical="center"/>
    </xf>
    <xf numFmtId="0" fontId="79" fillId="7" borderId="2732" xfId="0" applyNumberFormat="1" applyFont="1" applyFill="1" applyBorder="1" applyAlignment="1">
      <alignment horizontal="center" vertical="center"/>
    </xf>
    <xf numFmtId="0" fontId="79" fillId="7" borderId="2733" xfId="0" applyNumberFormat="1" applyFont="1" applyFill="1" applyBorder="1" applyAlignment="1">
      <alignment horizontal="center" vertical="center"/>
    </xf>
    <xf numFmtId="0" fontId="79" fillId="7" borderId="2734" xfId="0" applyNumberFormat="1" applyFont="1" applyFill="1" applyBorder="1" applyAlignment="1">
      <alignment horizontal="center" vertical="center"/>
    </xf>
    <xf numFmtId="0" fontId="79" fillId="7" borderId="2735" xfId="0" applyNumberFormat="1" applyFont="1" applyFill="1" applyBorder="1" applyAlignment="1">
      <alignment horizontal="center" vertical="center"/>
    </xf>
    <xf numFmtId="0" fontId="79" fillId="7" borderId="2762" xfId="0" applyNumberFormat="1" applyFont="1" applyFill="1" applyBorder="1" applyAlignment="1">
      <alignment horizontal="center" vertical="center"/>
    </xf>
    <xf numFmtId="0" fontId="79" fillId="7" borderId="2763" xfId="0" applyNumberFormat="1" applyFont="1" applyFill="1" applyBorder="1" applyAlignment="1">
      <alignment horizontal="center" vertical="center"/>
    </xf>
    <xf numFmtId="0" fontId="79" fillId="7" borderId="2764" xfId="0" applyNumberFormat="1" applyFont="1" applyFill="1" applyBorder="1" applyAlignment="1">
      <alignment horizontal="center" vertical="center"/>
    </xf>
    <xf numFmtId="0" fontId="79" fillId="7" borderId="2765" xfId="0" applyNumberFormat="1" applyFont="1" applyFill="1" applyBorder="1" applyAlignment="1">
      <alignment horizontal="center" vertical="center"/>
    </xf>
    <xf numFmtId="0" fontId="79" fillId="7" borderId="2766" xfId="0" applyNumberFormat="1" applyFont="1" applyFill="1" applyBorder="1" applyAlignment="1">
      <alignment horizontal="center" vertical="center"/>
    </xf>
    <xf numFmtId="0" fontId="79" fillId="7" borderId="2767" xfId="0" applyNumberFormat="1" applyFont="1" applyFill="1" applyBorder="1" applyAlignment="1">
      <alignment horizontal="center" vertical="center"/>
    </xf>
    <xf numFmtId="0" fontId="79" fillId="7" borderId="2768" xfId="0" applyNumberFormat="1" applyFont="1" applyFill="1" applyBorder="1" applyAlignment="1">
      <alignment horizontal="center" vertical="center"/>
    </xf>
    <xf numFmtId="0" fontId="79" fillId="7" borderId="2769" xfId="0" applyNumberFormat="1" applyFont="1" applyFill="1" applyBorder="1" applyAlignment="1">
      <alignment horizontal="center" vertical="center"/>
    </xf>
    <xf numFmtId="0" fontId="79" fillId="7" borderId="2770" xfId="0" applyNumberFormat="1" applyFont="1" applyFill="1" applyBorder="1" applyAlignment="1">
      <alignment horizontal="center" vertical="center"/>
    </xf>
    <xf numFmtId="0" fontId="79" fillId="7" borderId="2771" xfId="0" applyNumberFormat="1" applyFont="1" applyFill="1" applyBorder="1" applyAlignment="1">
      <alignment horizontal="center" vertical="center"/>
    </xf>
    <xf numFmtId="0" fontId="79" fillId="7" borderId="2772" xfId="0" applyNumberFormat="1" applyFont="1" applyFill="1" applyBorder="1" applyAlignment="1">
      <alignment horizontal="center" vertical="center"/>
    </xf>
    <xf numFmtId="0" fontId="77" fillId="7" borderId="2736" xfId="0" applyNumberFormat="1" applyFont="1" applyFill="1" applyBorder="1" applyAlignment="1">
      <alignment horizontal="center" vertical="center"/>
    </xf>
    <xf numFmtId="0" fontId="77" fillId="7" borderId="2737" xfId="0" applyNumberFormat="1" applyFont="1" applyFill="1" applyBorder="1" applyAlignment="1">
      <alignment horizontal="center" vertical="center"/>
    </xf>
    <xf numFmtId="0" fontId="77" fillId="7" borderId="2738" xfId="0" applyNumberFormat="1" applyFont="1" applyFill="1" applyBorder="1" applyAlignment="1">
      <alignment horizontal="center" vertical="center"/>
    </xf>
    <xf numFmtId="0" fontId="77" fillId="7" borderId="2739" xfId="0" applyNumberFormat="1" applyFont="1" applyFill="1" applyBorder="1" applyAlignment="1">
      <alignment horizontal="center" vertical="center"/>
    </xf>
    <xf numFmtId="0" fontId="77" fillId="7" borderId="2740" xfId="0" applyNumberFormat="1" applyFont="1" applyFill="1" applyBorder="1" applyAlignment="1">
      <alignment horizontal="center" vertical="center"/>
    </xf>
    <xf numFmtId="0" fontId="77" fillId="7" borderId="2741" xfId="0" applyNumberFormat="1" applyFont="1" applyFill="1" applyBorder="1" applyAlignment="1">
      <alignment horizontal="center" vertical="center"/>
    </xf>
    <xf numFmtId="0" fontId="77" fillId="7" borderId="2742" xfId="0" applyNumberFormat="1" applyFont="1" applyFill="1" applyBorder="1" applyAlignment="1">
      <alignment horizontal="center" vertical="center"/>
    </xf>
    <xf numFmtId="0" fontId="77" fillId="7" borderId="2743" xfId="0" applyNumberFormat="1" applyFont="1" applyFill="1" applyBorder="1" applyAlignment="1">
      <alignment horizontal="center" vertical="center"/>
    </xf>
    <xf numFmtId="0" fontId="77" fillId="7" borderId="2744" xfId="0" applyNumberFormat="1" applyFont="1" applyFill="1" applyBorder="1" applyAlignment="1">
      <alignment horizontal="center" vertical="center"/>
    </xf>
    <xf numFmtId="0" fontId="77" fillId="7" borderId="2745" xfId="0" applyNumberFormat="1" applyFont="1" applyFill="1" applyBorder="1" applyAlignment="1">
      <alignment horizontal="center" vertical="center"/>
    </xf>
    <xf numFmtId="0" fontId="77" fillId="7" borderId="2746" xfId="0" applyNumberFormat="1" applyFont="1" applyFill="1" applyBorder="1" applyAlignment="1">
      <alignment horizontal="center" vertical="center"/>
    </xf>
    <xf numFmtId="0" fontId="77" fillId="7" borderId="2747" xfId="0" applyNumberFormat="1" applyFont="1" applyFill="1" applyBorder="1" applyAlignment="1">
      <alignment horizontal="center" vertical="center"/>
    </xf>
    <xf numFmtId="0" fontId="77" fillId="7" borderId="2748" xfId="0" applyNumberFormat="1" applyFont="1" applyFill="1" applyBorder="1" applyAlignment="1">
      <alignment horizontal="center" vertical="center"/>
    </xf>
    <xf numFmtId="0" fontId="77" fillId="7" borderId="2749" xfId="0" applyNumberFormat="1" applyFont="1" applyFill="1" applyBorder="1" applyAlignment="1">
      <alignment horizontal="center" vertical="center"/>
    </xf>
    <xf numFmtId="0" fontId="77" fillId="7" borderId="2750" xfId="0" applyNumberFormat="1" applyFont="1" applyFill="1" applyBorder="1" applyAlignment="1">
      <alignment horizontal="center" vertical="center"/>
    </xf>
    <xf numFmtId="0" fontId="77" fillId="7" borderId="2751" xfId="0" applyNumberFormat="1" applyFont="1" applyFill="1" applyBorder="1" applyAlignment="1">
      <alignment horizontal="center" vertical="center"/>
    </xf>
    <xf numFmtId="0" fontId="77" fillId="7" borderId="2752" xfId="0" applyNumberFormat="1" applyFont="1" applyFill="1" applyBorder="1" applyAlignment="1">
      <alignment horizontal="center" vertical="center"/>
    </xf>
    <xf numFmtId="0" fontId="77" fillId="7" borderId="2753" xfId="0" applyNumberFormat="1" applyFont="1" applyFill="1" applyBorder="1" applyAlignment="1">
      <alignment horizontal="center" vertical="center"/>
    </xf>
    <xf numFmtId="0" fontId="77" fillId="7" borderId="2754" xfId="0" applyNumberFormat="1" applyFont="1" applyFill="1" applyBorder="1" applyAlignment="1">
      <alignment horizontal="center" vertical="center"/>
    </xf>
    <xf numFmtId="0" fontId="77" fillId="7" borderId="2755" xfId="0" applyNumberFormat="1" applyFont="1" applyFill="1" applyBorder="1" applyAlignment="1">
      <alignment horizontal="center" vertical="center"/>
    </xf>
    <xf numFmtId="0" fontId="77" fillId="7" borderId="2773" xfId="0" applyNumberFormat="1" applyFont="1" applyFill="1" applyBorder="1" applyAlignment="1">
      <alignment horizontal="center" vertical="center"/>
    </xf>
    <xf numFmtId="0" fontId="77" fillId="7" borderId="2774" xfId="0" applyNumberFormat="1" applyFont="1" applyFill="1" applyBorder="1" applyAlignment="1">
      <alignment horizontal="center" vertical="center"/>
    </xf>
    <xf numFmtId="0" fontId="77" fillId="7" borderId="2775" xfId="0" applyNumberFormat="1" applyFont="1" applyFill="1" applyBorder="1" applyAlignment="1">
      <alignment horizontal="center" vertical="center"/>
    </xf>
    <xf numFmtId="0" fontId="77" fillId="7" borderId="2776" xfId="0" applyNumberFormat="1" applyFont="1" applyFill="1" applyBorder="1" applyAlignment="1">
      <alignment horizontal="center" vertical="center"/>
    </xf>
    <xf numFmtId="0" fontId="77" fillId="7" borderId="2777" xfId="0" applyNumberFormat="1" applyFont="1" applyFill="1" applyBorder="1" applyAlignment="1">
      <alignment horizontal="center" vertical="center"/>
    </xf>
    <xf numFmtId="0" fontId="77" fillId="7" borderId="2778" xfId="0" applyNumberFormat="1" applyFont="1" applyFill="1" applyBorder="1" applyAlignment="1">
      <alignment horizontal="center" vertical="center"/>
    </xf>
    <xf numFmtId="0" fontId="77" fillId="7" borderId="2779" xfId="0" applyNumberFormat="1" applyFont="1" applyFill="1" applyBorder="1" applyAlignment="1">
      <alignment horizontal="center" vertical="center"/>
    </xf>
    <xf numFmtId="0" fontId="77" fillId="7" borderId="2780" xfId="0" applyNumberFormat="1" applyFont="1" applyFill="1" applyBorder="1" applyAlignment="1">
      <alignment horizontal="center" vertical="center"/>
    </xf>
    <xf numFmtId="0" fontId="77" fillId="7" borderId="2781" xfId="0" applyNumberFormat="1" applyFont="1" applyFill="1" applyBorder="1" applyAlignment="1">
      <alignment horizontal="center" vertical="center"/>
    </xf>
    <xf numFmtId="0" fontId="77" fillId="7" borderId="2782" xfId="0" applyNumberFormat="1" applyFont="1" applyFill="1" applyBorder="1" applyAlignment="1">
      <alignment horizontal="center" vertical="center"/>
    </xf>
    <xf numFmtId="0" fontId="77" fillId="7" borderId="2783" xfId="0" applyNumberFormat="1" applyFont="1" applyFill="1" applyBorder="1" applyAlignment="1">
      <alignment horizontal="center" vertical="center"/>
    </xf>
    <xf numFmtId="0" fontId="77" fillId="7" borderId="2784" xfId="0" applyNumberFormat="1" applyFont="1" applyFill="1" applyBorder="1" applyAlignment="1">
      <alignment horizontal="center" vertical="center"/>
    </xf>
    <xf numFmtId="0" fontId="77" fillId="7" borderId="2785" xfId="0" applyNumberFormat="1" applyFont="1" applyFill="1" applyBorder="1" applyAlignment="1">
      <alignment horizontal="center" vertical="center"/>
    </xf>
    <xf numFmtId="0" fontId="77" fillId="7" borderId="2786" xfId="0" applyNumberFormat="1" applyFont="1" applyFill="1" applyBorder="1" applyAlignment="1">
      <alignment horizontal="center" vertical="center"/>
    </xf>
    <xf numFmtId="0" fontId="77" fillId="7" borderId="2787" xfId="0" applyNumberFormat="1" applyFont="1" applyFill="1" applyBorder="1" applyAlignment="1">
      <alignment horizontal="center" vertical="center"/>
    </xf>
    <xf numFmtId="0" fontId="77" fillId="7" borderId="2788" xfId="0" applyNumberFormat="1" applyFont="1" applyFill="1" applyBorder="1" applyAlignment="1">
      <alignment horizontal="center" vertical="center"/>
    </xf>
    <xf numFmtId="0" fontId="77" fillId="7" borderId="2789" xfId="0" applyNumberFormat="1" applyFont="1" applyFill="1" applyBorder="1" applyAlignment="1">
      <alignment horizontal="center" vertical="center"/>
    </xf>
    <xf numFmtId="0" fontId="77" fillId="7" borderId="2790" xfId="0" applyNumberFormat="1" applyFont="1" applyFill="1" applyBorder="1" applyAlignment="1">
      <alignment horizontal="center" vertical="center"/>
    </xf>
    <xf numFmtId="0" fontId="77" fillId="7" borderId="2791" xfId="0" applyNumberFormat="1" applyFont="1" applyFill="1" applyBorder="1" applyAlignment="1">
      <alignment horizontal="center" vertical="center"/>
    </xf>
    <xf numFmtId="0" fontId="77" fillId="7" borderId="2792" xfId="0" applyNumberFormat="1" applyFont="1" applyFill="1" applyBorder="1" applyAlignment="1">
      <alignment horizontal="center" vertical="center"/>
    </xf>
    <xf numFmtId="0" fontId="77" fillId="7" borderId="2793" xfId="0" applyNumberFormat="1" applyFont="1" applyFill="1" applyBorder="1" applyAlignment="1">
      <alignment horizontal="center" vertical="center"/>
    </xf>
    <xf numFmtId="0" fontId="13" fillId="0" borderId="2926" xfId="0" applyNumberFormat="1" applyFont="1" applyBorder="1" applyAlignment="1">
      <alignment horizontal="center" vertical="center" textRotation="90"/>
    </xf>
    <xf numFmtId="0" fontId="28" fillId="0" borderId="2827" xfId="0" applyNumberFormat="1" applyFont="1" applyBorder="1" applyAlignment="1">
      <alignment horizontal="center" vertical="center" wrapText="1"/>
    </xf>
    <xf numFmtId="0" fontId="28" fillId="0" borderId="2927" xfId="0" applyNumberFormat="1" applyFont="1" applyBorder="1" applyAlignment="1">
      <alignment horizontal="center" vertical="center" wrapText="1"/>
    </xf>
    <xf numFmtId="0" fontId="28" fillId="0" borderId="2828" xfId="0" applyNumberFormat="1" applyFont="1" applyBorder="1" applyAlignment="1">
      <alignment horizontal="center" vertical="center"/>
    </xf>
    <xf numFmtId="0" fontId="28" fillId="0" borderId="2928" xfId="0" applyNumberFormat="1" applyFont="1" applyBorder="1" applyAlignment="1">
      <alignment horizontal="center" vertical="center"/>
    </xf>
    <xf numFmtId="0" fontId="28" fillId="0" borderId="2929" xfId="0" applyNumberFormat="1" applyFont="1" applyBorder="1" applyAlignment="1">
      <alignment horizontal="center" vertical="center"/>
    </xf>
    <xf numFmtId="0" fontId="28" fillId="0" borderId="2930" xfId="0" applyNumberFormat="1" applyFont="1" applyBorder="1" applyAlignment="1">
      <alignment horizontal="center" vertical="center" wrapText="1"/>
    </xf>
    <xf numFmtId="0" fontId="27" fillId="0" borderId="1218" xfId="0" applyNumberFormat="1" applyFont="1" applyBorder="1" applyAlignment="1">
      <alignment horizontal="center" vertical="center" wrapText="1"/>
    </xf>
    <xf numFmtId="0" fontId="27" fillId="0" borderId="2931" xfId="0" applyNumberFormat="1" applyFont="1" applyBorder="1" applyAlignment="1">
      <alignment horizontal="center" vertical="center" wrapText="1"/>
    </xf>
    <xf numFmtId="0" fontId="28" fillId="0" borderId="2829" xfId="0" applyNumberFormat="1" applyFont="1" applyBorder="1" applyAlignment="1">
      <alignment horizontal="center" vertical="center"/>
    </xf>
    <xf numFmtId="0" fontId="28" fillId="0" borderId="2932" xfId="0" applyNumberFormat="1" applyFont="1" applyBorder="1" applyAlignment="1">
      <alignment horizontal="center" vertical="center"/>
    </xf>
    <xf numFmtId="0" fontId="28" fillId="0" borderId="1319" xfId="0" applyNumberFormat="1" applyFont="1" applyBorder="1" applyAlignment="1">
      <alignment horizontal="center" vertical="center"/>
    </xf>
    <xf numFmtId="0" fontId="28" fillId="0" borderId="2933" xfId="0" applyNumberFormat="1" applyFont="1" applyBorder="1" applyAlignment="1">
      <alignment horizontal="center" vertical="center"/>
    </xf>
    <xf numFmtId="170" fontId="14" fillId="7" borderId="1998" xfId="0" applyNumberFormat="1" applyFont="1" applyFill="1" applyBorder="1" applyAlignment="1">
      <alignment horizontal="center" vertical="center" wrapText="1"/>
    </xf>
    <xf numFmtId="170" fontId="14" fillId="7" borderId="1999" xfId="0" applyNumberFormat="1" applyFont="1" applyFill="1" applyBorder="1" applyAlignment="1">
      <alignment horizontal="center" vertical="center" wrapText="1"/>
    </xf>
    <xf numFmtId="170" fontId="14" fillId="7" borderId="2000" xfId="0" applyNumberFormat="1" applyFont="1" applyFill="1" applyBorder="1" applyAlignment="1">
      <alignment horizontal="center" vertical="center" wrapText="1"/>
    </xf>
    <xf numFmtId="170" fontId="14" fillId="7" borderId="2001" xfId="0" applyNumberFormat="1" applyFont="1" applyFill="1" applyBorder="1" applyAlignment="1">
      <alignment horizontal="center" vertical="center" wrapText="1"/>
    </xf>
    <xf numFmtId="170" fontId="14" fillId="7" borderId="2002" xfId="0" applyNumberFormat="1" applyFont="1" applyFill="1" applyBorder="1" applyAlignment="1">
      <alignment horizontal="center" vertical="center" wrapText="1"/>
    </xf>
    <xf numFmtId="170" fontId="14" fillId="7" borderId="2003" xfId="0" applyNumberFormat="1" applyFont="1" applyFill="1" applyBorder="1" applyAlignment="1">
      <alignment horizontal="center" vertical="center" wrapText="1"/>
    </xf>
    <xf numFmtId="170" fontId="14" fillId="7" borderId="2004" xfId="0" applyNumberFormat="1" applyFont="1" applyFill="1" applyBorder="1" applyAlignment="1">
      <alignment horizontal="center" vertical="center" wrapText="1"/>
    </xf>
    <xf numFmtId="170" fontId="14" fillId="7" borderId="2005" xfId="0" applyNumberFormat="1" applyFont="1" applyFill="1" applyBorder="1" applyAlignment="1">
      <alignment horizontal="center" vertical="center" wrapText="1"/>
    </xf>
    <xf numFmtId="170" fontId="14" fillId="7" borderId="2006" xfId="0" applyNumberFormat="1" applyFont="1" applyFill="1" applyBorder="1" applyAlignment="1">
      <alignment horizontal="center" vertical="center" wrapText="1"/>
    </xf>
    <xf numFmtId="170" fontId="14" fillId="7" borderId="2007" xfId="0" applyNumberFormat="1" applyFont="1" applyFill="1" applyBorder="1" applyAlignment="1">
      <alignment horizontal="center" vertical="center" wrapText="1"/>
    </xf>
    <xf numFmtId="170" fontId="14" fillId="7" borderId="2008" xfId="0" applyNumberFormat="1" applyFont="1" applyFill="1" applyBorder="1" applyAlignment="1">
      <alignment horizontal="center" vertical="center" wrapText="1"/>
    </xf>
    <xf numFmtId="170" fontId="14" fillId="7" borderId="2009" xfId="0" applyNumberFormat="1" applyFont="1" applyFill="1" applyBorder="1" applyAlignment="1">
      <alignment horizontal="center" vertical="center" wrapText="1"/>
    </xf>
    <xf numFmtId="170" fontId="14" fillId="7" borderId="2010" xfId="0" applyNumberFormat="1" applyFont="1" applyFill="1" applyBorder="1" applyAlignment="1">
      <alignment horizontal="center" vertical="center" wrapText="1"/>
    </xf>
    <xf numFmtId="170" fontId="14" fillId="7" borderId="2011" xfId="0" applyNumberFormat="1" applyFont="1" applyFill="1" applyBorder="1" applyAlignment="1">
      <alignment horizontal="center" vertical="center" wrapText="1"/>
    </xf>
    <xf numFmtId="170" fontId="14" fillId="7" borderId="2012" xfId="0" applyNumberFormat="1" applyFont="1" applyFill="1" applyBorder="1" applyAlignment="1">
      <alignment horizontal="center" vertical="center" wrapText="1"/>
    </xf>
    <xf numFmtId="170" fontId="14" fillId="7" borderId="2013" xfId="0" applyNumberFormat="1" applyFont="1" applyFill="1" applyBorder="1" applyAlignment="1">
      <alignment horizontal="center" vertical="center" wrapText="1"/>
    </xf>
    <xf numFmtId="170" fontId="14" fillId="7" borderId="2014" xfId="0" applyNumberFormat="1" applyFont="1" applyFill="1" applyBorder="1" applyAlignment="1">
      <alignment horizontal="center" vertical="center" wrapText="1"/>
    </xf>
    <xf numFmtId="170" fontId="14" fillId="7" borderId="2015" xfId="0" applyNumberFormat="1" applyFont="1" applyFill="1" applyBorder="1" applyAlignment="1">
      <alignment horizontal="center" vertical="center" wrapText="1"/>
    </xf>
    <xf numFmtId="170" fontId="14" fillId="7" borderId="2016" xfId="0" applyNumberFormat="1" applyFont="1" applyFill="1" applyBorder="1" applyAlignment="1">
      <alignment horizontal="center" vertical="center" wrapText="1"/>
    </xf>
    <xf numFmtId="170" fontId="14" fillId="7" borderId="2017" xfId="0" applyNumberFormat="1" applyFont="1" applyFill="1" applyBorder="1" applyAlignment="1">
      <alignment horizontal="center" vertical="center" wrapText="1"/>
    </xf>
    <xf numFmtId="170" fontId="14" fillId="7" borderId="2018" xfId="0" applyNumberFormat="1" applyFont="1" applyFill="1" applyBorder="1" applyAlignment="1">
      <alignment horizontal="center" vertical="center" wrapText="1"/>
    </xf>
    <xf numFmtId="170" fontId="14" fillId="7" borderId="2019" xfId="0" applyNumberFormat="1" applyFont="1" applyFill="1" applyBorder="1" applyAlignment="1">
      <alignment horizontal="center" vertical="center" wrapText="1"/>
    </xf>
    <xf numFmtId="170" fontId="14" fillId="7" borderId="2020" xfId="0" applyNumberFormat="1" applyFont="1" applyFill="1" applyBorder="1" applyAlignment="1">
      <alignment horizontal="center" vertical="center" wrapText="1"/>
    </xf>
    <xf numFmtId="170" fontId="14" fillId="7" borderId="2021" xfId="0" applyNumberFormat="1" applyFont="1" applyFill="1" applyBorder="1" applyAlignment="1">
      <alignment horizontal="center" vertical="center" wrapText="1"/>
    </xf>
    <xf numFmtId="170" fontId="14" fillId="7" borderId="2022" xfId="0" applyNumberFormat="1" applyFont="1" applyFill="1" applyBorder="1" applyAlignment="1">
      <alignment horizontal="center" vertical="center" wrapText="1"/>
    </xf>
    <xf numFmtId="170" fontId="14" fillId="7" borderId="2023" xfId="0" applyNumberFormat="1" applyFont="1" applyFill="1" applyBorder="1" applyAlignment="1">
      <alignment horizontal="center" vertical="center" wrapText="1"/>
    </xf>
    <xf numFmtId="170" fontId="14" fillId="7" borderId="2024" xfId="0" applyNumberFormat="1" applyFont="1" applyFill="1" applyBorder="1" applyAlignment="1">
      <alignment horizontal="center" vertical="center" wrapText="1"/>
    </xf>
    <xf numFmtId="170" fontId="14" fillId="7" borderId="2025" xfId="0" applyNumberFormat="1" applyFont="1" applyFill="1" applyBorder="1" applyAlignment="1">
      <alignment horizontal="center" vertical="center" wrapText="1"/>
    </xf>
    <xf numFmtId="170" fontId="14" fillId="7" borderId="2026" xfId="0" applyNumberFormat="1" applyFont="1" applyFill="1" applyBorder="1" applyAlignment="1">
      <alignment horizontal="center" vertical="center" wrapText="1"/>
    </xf>
    <xf numFmtId="170" fontId="14" fillId="7" borderId="2027" xfId="0" applyNumberFormat="1" applyFont="1" applyFill="1" applyBorder="1" applyAlignment="1">
      <alignment horizontal="center" vertical="center" wrapText="1"/>
    </xf>
    <xf numFmtId="170" fontId="14" fillId="7" borderId="2028" xfId="0" applyNumberFormat="1" applyFont="1" applyFill="1" applyBorder="1" applyAlignment="1">
      <alignment horizontal="center" vertical="center" wrapText="1"/>
    </xf>
    <xf numFmtId="170" fontId="14" fillId="7" borderId="2029" xfId="0" applyNumberFormat="1" applyFont="1" applyFill="1" applyBorder="1" applyAlignment="1">
      <alignment horizontal="center" vertical="center" wrapText="1"/>
    </xf>
    <xf numFmtId="170" fontId="14" fillId="7" borderId="2066" xfId="0" applyNumberFormat="1" applyFont="1" applyFill="1" applyBorder="1" applyAlignment="1">
      <alignment horizontal="center" vertical="center" wrapText="1"/>
    </xf>
    <xf numFmtId="170" fontId="14" fillId="7" borderId="2067" xfId="0" applyNumberFormat="1" applyFont="1" applyFill="1" applyBorder="1" applyAlignment="1">
      <alignment horizontal="center" vertical="center" wrapText="1"/>
    </xf>
    <xf numFmtId="170" fontId="14" fillId="7" borderId="2102" xfId="0" applyNumberFormat="1" applyFont="1" applyFill="1" applyBorder="1" applyAlignment="1">
      <alignment horizontal="center" vertical="center" wrapText="1"/>
    </xf>
    <xf numFmtId="170" fontId="14" fillId="7" borderId="2103" xfId="0" applyNumberFormat="1" applyFont="1" applyFill="1" applyBorder="1" applyAlignment="1">
      <alignment horizontal="center" vertical="center" wrapText="1"/>
    </xf>
    <xf numFmtId="170" fontId="14" fillId="7" borderId="2140" xfId="0" applyNumberFormat="1" applyFont="1" applyFill="1" applyBorder="1" applyAlignment="1">
      <alignment horizontal="center" vertical="center" wrapText="1"/>
    </xf>
    <xf numFmtId="170" fontId="14" fillId="7" borderId="2141" xfId="0" applyNumberFormat="1" applyFont="1" applyFill="1" applyBorder="1" applyAlignment="1">
      <alignment horizontal="center" vertical="center" wrapText="1"/>
    </xf>
    <xf numFmtId="170" fontId="14" fillId="7" borderId="2142" xfId="0" applyNumberFormat="1" applyFont="1" applyFill="1" applyBorder="1" applyAlignment="1">
      <alignment horizontal="center" vertical="center" wrapText="1"/>
    </xf>
    <xf numFmtId="170" fontId="14" fillId="7" borderId="2143" xfId="0" applyNumberFormat="1" applyFont="1" applyFill="1" applyBorder="1" applyAlignment="1">
      <alignment horizontal="center" vertical="center" wrapText="1"/>
    </xf>
    <xf numFmtId="170" fontId="14" fillId="7" borderId="2144" xfId="0" applyNumberFormat="1" applyFont="1" applyFill="1" applyBorder="1" applyAlignment="1">
      <alignment horizontal="center" vertical="center" wrapText="1"/>
    </xf>
    <xf numFmtId="170" fontId="14" fillId="7" borderId="2145" xfId="0" applyNumberFormat="1" applyFont="1" applyFill="1" applyBorder="1" applyAlignment="1">
      <alignment horizontal="center" vertical="center" wrapText="1"/>
    </xf>
    <xf numFmtId="170" fontId="14" fillId="7" borderId="2146" xfId="0" applyNumberFormat="1" applyFont="1" applyFill="1" applyBorder="1" applyAlignment="1">
      <alignment horizontal="center" vertical="center" wrapText="1"/>
    </xf>
    <xf numFmtId="170" fontId="14" fillId="7" borderId="2147" xfId="0" applyNumberFormat="1" applyFont="1" applyFill="1" applyBorder="1" applyAlignment="1">
      <alignment horizontal="center" vertical="center" wrapText="1"/>
    </xf>
    <xf numFmtId="170" fontId="14" fillId="7" borderId="2148" xfId="0" applyNumberFormat="1" applyFont="1" applyFill="1" applyBorder="1" applyAlignment="1">
      <alignment horizontal="center" vertical="center" wrapText="1"/>
    </xf>
    <xf numFmtId="170" fontId="14" fillId="7" borderId="2149" xfId="0" applyNumberFormat="1" applyFont="1" applyFill="1" applyBorder="1" applyAlignment="1">
      <alignment horizontal="center" vertical="center" wrapText="1"/>
    </xf>
    <xf numFmtId="170" fontId="14" fillId="7" borderId="2150" xfId="0" applyNumberFormat="1" applyFont="1" applyFill="1" applyBorder="1" applyAlignment="1">
      <alignment horizontal="center" vertical="center" wrapText="1"/>
    </xf>
    <xf numFmtId="170" fontId="14" fillId="7" borderId="2151" xfId="0" applyNumberFormat="1" applyFont="1" applyFill="1" applyBorder="1" applyAlignment="1">
      <alignment horizontal="center" vertical="center" wrapText="1"/>
    </xf>
    <xf numFmtId="170" fontId="14" fillId="7" borderId="2152" xfId="0" applyNumberFormat="1" applyFont="1" applyFill="1" applyBorder="1" applyAlignment="1">
      <alignment horizontal="center" vertical="center" wrapText="1"/>
    </xf>
    <xf numFmtId="170" fontId="14" fillId="7" borderId="2153" xfId="0" applyNumberFormat="1" applyFont="1" applyFill="1" applyBorder="1" applyAlignment="1">
      <alignment horizontal="center" vertical="center" wrapText="1"/>
    </xf>
    <xf numFmtId="170" fontId="14" fillId="7" borderId="2154" xfId="0" applyNumberFormat="1" applyFont="1" applyFill="1" applyBorder="1" applyAlignment="1">
      <alignment horizontal="center" vertical="center" wrapText="1"/>
    </xf>
    <xf numFmtId="170" fontId="14" fillId="7" borderId="2155" xfId="0" applyNumberFormat="1" applyFont="1" applyFill="1" applyBorder="1" applyAlignment="1">
      <alignment horizontal="center" vertical="center" wrapText="1"/>
    </xf>
    <xf numFmtId="170" fontId="14" fillId="7" borderId="2156" xfId="0" applyNumberFormat="1" applyFont="1" applyFill="1" applyBorder="1" applyAlignment="1">
      <alignment horizontal="center" vertical="center" wrapText="1"/>
    </xf>
    <xf numFmtId="170" fontId="14" fillId="7" borderId="2157" xfId="0" applyNumberFormat="1" applyFont="1" applyFill="1" applyBorder="1" applyAlignment="1">
      <alignment horizontal="center" vertical="center" wrapText="1"/>
    </xf>
    <xf numFmtId="170" fontId="14" fillId="7" borderId="2158" xfId="0" applyNumberFormat="1" applyFont="1" applyFill="1" applyBorder="1" applyAlignment="1">
      <alignment horizontal="center" vertical="center" wrapText="1"/>
    </xf>
    <xf numFmtId="170" fontId="14" fillId="7" borderId="2159" xfId="0" applyNumberFormat="1" applyFont="1" applyFill="1" applyBorder="1" applyAlignment="1">
      <alignment horizontal="center" vertical="center" wrapText="1"/>
    </xf>
    <xf numFmtId="170" fontId="14" fillId="7" borderId="2160" xfId="0" applyNumberFormat="1" applyFont="1" applyFill="1" applyBorder="1" applyAlignment="1">
      <alignment horizontal="center" vertical="center" wrapText="1"/>
    </xf>
    <xf numFmtId="170" fontId="14" fillId="7" borderId="2161" xfId="0" applyNumberFormat="1" applyFont="1" applyFill="1" applyBorder="1" applyAlignment="1">
      <alignment horizontal="center" vertical="center" wrapText="1"/>
    </xf>
    <xf numFmtId="170" fontId="14" fillId="7" borderId="2162" xfId="0" applyNumberFormat="1" applyFont="1" applyFill="1" applyBorder="1" applyAlignment="1">
      <alignment horizontal="center" vertical="center" wrapText="1"/>
    </xf>
    <xf numFmtId="170" fontId="14" fillId="7" borderId="2163" xfId="0" applyNumberFormat="1" applyFont="1" applyFill="1" applyBorder="1" applyAlignment="1">
      <alignment horizontal="center" vertical="center" wrapText="1"/>
    </xf>
    <xf numFmtId="170" fontId="14" fillId="7" borderId="2164" xfId="0" applyNumberFormat="1" applyFont="1" applyFill="1" applyBorder="1" applyAlignment="1">
      <alignment horizontal="center" vertical="center" wrapText="1"/>
    </xf>
    <xf numFmtId="170" fontId="14" fillId="7" borderId="2165" xfId="0" applyNumberFormat="1" applyFont="1" applyFill="1" applyBorder="1" applyAlignment="1">
      <alignment horizontal="center" vertical="center" wrapText="1"/>
    </xf>
    <xf numFmtId="170" fontId="14" fillId="7" borderId="2166" xfId="0" applyNumberFormat="1" applyFont="1" applyFill="1" applyBorder="1" applyAlignment="1">
      <alignment horizontal="center" vertical="center" wrapText="1"/>
    </xf>
    <xf numFmtId="170" fontId="14" fillId="7" borderId="2167" xfId="0" applyNumberFormat="1" applyFont="1" applyFill="1" applyBorder="1" applyAlignment="1">
      <alignment horizontal="center" vertical="center" wrapText="1"/>
    </xf>
    <xf numFmtId="170" fontId="14" fillId="7" borderId="2168" xfId="0" applyNumberFormat="1" applyFont="1" applyFill="1" applyBorder="1" applyAlignment="1">
      <alignment horizontal="center" vertical="center" wrapText="1"/>
    </xf>
    <xf numFmtId="170" fontId="14" fillId="7" borderId="2169" xfId="0" applyNumberFormat="1" applyFont="1" applyFill="1" applyBorder="1" applyAlignment="1">
      <alignment horizontal="center" vertical="center" wrapText="1"/>
    </xf>
    <xf numFmtId="170" fontId="14" fillId="7" borderId="2170" xfId="0" applyNumberFormat="1" applyFont="1" applyFill="1" applyBorder="1" applyAlignment="1">
      <alignment horizontal="center" vertical="center" wrapText="1"/>
    </xf>
    <xf numFmtId="170" fontId="14" fillId="7" borderId="2171" xfId="0" applyNumberFormat="1" applyFont="1" applyFill="1" applyBorder="1" applyAlignment="1">
      <alignment horizontal="center" vertical="center" wrapText="1"/>
    </xf>
    <xf numFmtId="170" fontId="14" fillId="7" borderId="2172" xfId="0" applyNumberFormat="1" applyFont="1" applyFill="1" applyBorder="1" applyAlignment="1">
      <alignment horizontal="center" vertical="center" wrapText="1"/>
    </xf>
    <xf numFmtId="170" fontId="14" fillId="7" borderId="2216" xfId="0" applyNumberFormat="1" applyFont="1" applyFill="1" applyBorder="1" applyAlignment="1">
      <alignment horizontal="center" vertical="center" wrapText="1"/>
    </xf>
    <xf numFmtId="170" fontId="14" fillId="7" borderId="2217" xfId="0" applyNumberFormat="1" applyFont="1" applyFill="1" applyBorder="1" applyAlignment="1">
      <alignment horizontal="center" vertical="center" wrapText="1"/>
    </xf>
    <xf numFmtId="170" fontId="14" fillId="7" borderId="2218" xfId="0" applyNumberFormat="1" applyFont="1" applyFill="1" applyBorder="1" applyAlignment="1">
      <alignment horizontal="center" vertical="center" wrapText="1"/>
    </xf>
    <xf numFmtId="170" fontId="14" fillId="7" borderId="2219" xfId="0" applyNumberFormat="1" applyFont="1" applyFill="1" applyBorder="1" applyAlignment="1">
      <alignment horizontal="center" vertical="center" wrapText="1"/>
    </xf>
    <xf numFmtId="170" fontId="14" fillId="7" borderId="2220" xfId="0" applyNumberFormat="1" applyFont="1" applyFill="1" applyBorder="1" applyAlignment="1">
      <alignment horizontal="center" vertical="center" wrapText="1"/>
    </xf>
    <xf numFmtId="170" fontId="14" fillId="7" borderId="2221" xfId="0" applyNumberFormat="1" applyFont="1" applyFill="1" applyBorder="1" applyAlignment="1">
      <alignment horizontal="center" vertical="center" wrapText="1"/>
    </xf>
    <xf numFmtId="170" fontId="14" fillId="7" borderId="2222" xfId="0" applyNumberFormat="1" applyFont="1" applyFill="1" applyBorder="1" applyAlignment="1">
      <alignment horizontal="center" vertical="center" wrapText="1"/>
    </xf>
    <xf numFmtId="170" fontId="14" fillId="7" borderId="2223" xfId="0" applyNumberFormat="1" applyFont="1" applyFill="1" applyBorder="1" applyAlignment="1">
      <alignment horizontal="center" vertical="center" wrapText="1"/>
    </xf>
    <xf numFmtId="170" fontId="14" fillId="7" borderId="2224" xfId="0" applyNumberFormat="1" applyFont="1" applyFill="1" applyBorder="1" applyAlignment="1">
      <alignment horizontal="center" vertical="center" wrapText="1"/>
    </xf>
    <xf numFmtId="170" fontId="14" fillId="7" borderId="2225" xfId="0" applyNumberFormat="1" applyFont="1" applyFill="1" applyBorder="1" applyAlignment="1">
      <alignment horizontal="center" vertical="center" wrapText="1"/>
    </xf>
    <xf numFmtId="170" fontId="14" fillId="7" borderId="2226" xfId="0" applyNumberFormat="1" applyFont="1" applyFill="1" applyBorder="1" applyAlignment="1">
      <alignment horizontal="center" vertical="center" wrapText="1"/>
    </xf>
    <xf numFmtId="170" fontId="14" fillId="7" borderId="2227" xfId="0" applyNumberFormat="1" applyFont="1" applyFill="1" applyBorder="1" applyAlignment="1">
      <alignment horizontal="center" vertical="center" wrapText="1"/>
    </xf>
    <xf numFmtId="170" fontId="14" fillId="7" borderId="2228" xfId="0" applyNumberFormat="1" applyFont="1" applyFill="1" applyBorder="1" applyAlignment="1">
      <alignment horizontal="center" vertical="center" wrapText="1"/>
    </xf>
    <xf numFmtId="170" fontId="14" fillId="7" borderId="2229" xfId="0" applyNumberFormat="1" applyFont="1" applyFill="1" applyBorder="1" applyAlignment="1">
      <alignment horizontal="center" vertical="center" wrapText="1"/>
    </xf>
    <xf numFmtId="170" fontId="14" fillId="7" borderId="2230" xfId="0" applyNumberFormat="1" applyFont="1" applyFill="1" applyBorder="1" applyAlignment="1">
      <alignment horizontal="center" vertical="center" wrapText="1"/>
    </xf>
    <xf numFmtId="170" fontId="14" fillId="7" borderId="2231" xfId="0" applyNumberFormat="1" applyFont="1" applyFill="1" applyBorder="1" applyAlignment="1">
      <alignment horizontal="center" vertical="center" wrapText="1"/>
    </xf>
    <xf numFmtId="170" fontId="14" fillId="7" borderId="2232" xfId="0" applyNumberFormat="1" applyFont="1" applyFill="1" applyBorder="1" applyAlignment="1">
      <alignment horizontal="center" vertical="center" wrapText="1"/>
    </xf>
    <xf numFmtId="170" fontId="14" fillId="7" borderId="2233" xfId="0" applyNumberFormat="1" applyFont="1" applyFill="1" applyBorder="1" applyAlignment="1">
      <alignment horizontal="center" vertical="center" wrapText="1"/>
    </xf>
    <xf numFmtId="170" fontId="14" fillId="7" borderId="2234" xfId="0" applyNumberFormat="1" applyFont="1" applyFill="1" applyBorder="1" applyAlignment="1">
      <alignment horizontal="center" vertical="center" wrapText="1"/>
    </xf>
    <xf numFmtId="170" fontId="14" fillId="7" borderId="2235" xfId="0" applyNumberFormat="1" applyFont="1" applyFill="1" applyBorder="1" applyAlignment="1">
      <alignment horizontal="center" vertical="center" wrapText="1"/>
    </xf>
    <xf numFmtId="170" fontId="14" fillId="7" borderId="2236" xfId="0" applyNumberFormat="1" applyFont="1" applyFill="1" applyBorder="1" applyAlignment="1">
      <alignment horizontal="center" vertical="center" wrapText="1"/>
    </xf>
    <xf numFmtId="170" fontId="14" fillId="7" borderId="2237" xfId="0" applyNumberFormat="1" applyFont="1" applyFill="1" applyBorder="1" applyAlignment="1">
      <alignment horizontal="center" vertical="center" wrapText="1"/>
    </xf>
    <xf numFmtId="170" fontId="14" fillId="7" borderId="2238" xfId="0" applyNumberFormat="1" applyFont="1" applyFill="1" applyBorder="1" applyAlignment="1">
      <alignment horizontal="center" vertical="center" wrapText="1"/>
    </xf>
    <xf numFmtId="170" fontId="14" fillId="7" borderId="2239" xfId="0" applyNumberFormat="1" applyFont="1" applyFill="1" applyBorder="1" applyAlignment="1">
      <alignment horizontal="center" vertical="center" wrapText="1"/>
    </xf>
    <xf numFmtId="170" fontId="14" fillId="7" borderId="2240" xfId="0" applyNumberFormat="1" applyFont="1" applyFill="1" applyBorder="1" applyAlignment="1">
      <alignment horizontal="center" vertical="center" wrapText="1"/>
    </xf>
    <xf numFmtId="170" fontId="14" fillId="7" borderId="2241" xfId="0" applyNumberFormat="1" applyFont="1" applyFill="1" applyBorder="1" applyAlignment="1">
      <alignment horizontal="center" vertical="center" wrapText="1"/>
    </xf>
    <xf numFmtId="170" fontId="14" fillId="7" borderId="2242" xfId="0" applyNumberFormat="1" applyFont="1" applyFill="1" applyBorder="1" applyAlignment="1">
      <alignment horizontal="center" vertical="center" wrapText="1"/>
    </xf>
    <xf numFmtId="170" fontId="14" fillId="7" borderId="2243" xfId="0" applyNumberFormat="1" applyFont="1" applyFill="1" applyBorder="1" applyAlignment="1">
      <alignment horizontal="center" vertical="center" wrapText="1"/>
    </xf>
    <xf numFmtId="170" fontId="14" fillId="7" borderId="2244" xfId="0" applyNumberFormat="1" applyFont="1" applyFill="1" applyBorder="1" applyAlignment="1">
      <alignment horizontal="center" vertical="center" wrapText="1"/>
    </xf>
    <xf numFmtId="170" fontId="14" fillId="7" borderId="2245" xfId="0" applyNumberFormat="1" applyFont="1" applyFill="1" applyBorder="1" applyAlignment="1">
      <alignment horizontal="center" vertical="center" wrapText="1"/>
    </xf>
    <xf numFmtId="170" fontId="14" fillId="7" borderId="2246" xfId="0" applyNumberFormat="1" applyFont="1" applyFill="1" applyBorder="1" applyAlignment="1">
      <alignment horizontal="center" vertical="center" wrapText="1"/>
    </xf>
    <xf numFmtId="170" fontId="14" fillId="7" borderId="2247" xfId="0" applyNumberFormat="1" applyFont="1" applyFill="1" applyBorder="1" applyAlignment="1">
      <alignment horizontal="center" vertical="center" wrapText="1"/>
    </xf>
    <xf numFmtId="170" fontId="14" fillId="7" borderId="2284" xfId="0" applyNumberFormat="1" applyFont="1" applyFill="1" applyBorder="1" applyAlignment="1">
      <alignment horizontal="center" vertical="center" wrapText="1"/>
    </xf>
    <xf numFmtId="170" fontId="14" fillId="7" borderId="2285" xfId="0" applyNumberFormat="1" applyFont="1" applyFill="1" applyBorder="1" applyAlignment="1">
      <alignment horizontal="center" vertical="center" wrapText="1"/>
    </xf>
    <xf numFmtId="170" fontId="14" fillId="7" borderId="2320" xfId="0" applyNumberFormat="1" applyFont="1" applyFill="1" applyBorder="1" applyAlignment="1">
      <alignment horizontal="center" vertical="center" wrapText="1"/>
    </xf>
    <xf numFmtId="170" fontId="14" fillId="7" borderId="2321" xfId="0" applyNumberFormat="1" applyFont="1" applyFill="1" applyBorder="1" applyAlignment="1">
      <alignment horizontal="center" vertical="center" wrapText="1"/>
    </xf>
    <xf numFmtId="170" fontId="14" fillId="7" borderId="2358" xfId="0" applyNumberFormat="1" applyFont="1" applyFill="1" applyBorder="1" applyAlignment="1">
      <alignment horizontal="center" vertical="center" wrapText="1"/>
    </xf>
    <xf numFmtId="170" fontId="14" fillId="7" borderId="2359" xfId="0" applyNumberFormat="1" applyFont="1" applyFill="1" applyBorder="1" applyAlignment="1">
      <alignment horizontal="center" vertical="center" wrapText="1"/>
    </xf>
    <xf numFmtId="170" fontId="14" fillId="7" borderId="2360" xfId="0" applyNumberFormat="1" applyFont="1" applyFill="1" applyBorder="1" applyAlignment="1">
      <alignment horizontal="center" vertical="center" wrapText="1"/>
    </xf>
    <xf numFmtId="170" fontId="14" fillId="7" borderId="2361" xfId="0" applyNumberFormat="1" applyFont="1" applyFill="1" applyBorder="1" applyAlignment="1">
      <alignment horizontal="center" vertical="center" wrapText="1"/>
    </xf>
    <xf numFmtId="170" fontId="14" fillId="7" borderId="2362" xfId="0" applyNumberFormat="1" applyFont="1" applyFill="1" applyBorder="1" applyAlignment="1">
      <alignment horizontal="center" vertical="center" wrapText="1"/>
    </xf>
    <xf numFmtId="170" fontId="14" fillId="7" borderId="2363" xfId="0" applyNumberFormat="1" applyFont="1" applyFill="1" applyBorder="1" applyAlignment="1">
      <alignment horizontal="center" vertical="center" wrapText="1"/>
    </xf>
    <xf numFmtId="170" fontId="14" fillId="7" borderId="2364" xfId="0" applyNumberFormat="1" applyFont="1" applyFill="1" applyBorder="1" applyAlignment="1">
      <alignment horizontal="center" vertical="center" wrapText="1"/>
    </xf>
    <xf numFmtId="170" fontId="14" fillId="7" borderId="2365" xfId="0" applyNumberFormat="1" applyFont="1" applyFill="1" applyBorder="1" applyAlignment="1">
      <alignment horizontal="center" vertical="center" wrapText="1"/>
    </xf>
    <xf numFmtId="170" fontId="14" fillId="7" borderId="2366" xfId="0" applyNumberFormat="1" applyFont="1" applyFill="1" applyBorder="1" applyAlignment="1">
      <alignment horizontal="center" vertical="center" wrapText="1"/>
    </xf>
    <xf numFmtId="170" fontId="14" fillId="7" borderId="2367" xfId="0" applyNumberFormat="1" applyFont="1" applyFill="1" applyBorder="1" applyAlignment="1">
      <alignment horizontal="center" vertical="center" wrapText="1"/>
    </xf>
    <xf numFmtId="170" fontId="14" fillId="7" borderId="2368" xfId="0" applyNumberFormat="1" applyFont="1" applyFill="1" applyBorder="1" applyAlignment="1">
      <alignment horizontal="center" vertical="center" wrapText="1"/>
    </xf>
    <xf numFmtId="170" fontId="14" fillId="7" borderId="2369" xfId="0" applyNumberFormat="1" applyFont="1" applyFill="1" applyBorder="1" applyAlignment="1">
      <alignment horizontal="center" vertical="center" wrapText="1"/>
    </xf>
    <xf numFmtId="170" fontId="14" fillId="7" borderId="2370" xfId="0" applyNumberFormat="1" applyFont="1" applyFill="1" applyBorder="1" applyAlignment="1">
      <alignment horizontal="center" vertical="center" wrapText="1"/>
    </xf>
    <xf numFmtId="170" fontId="14" fillId="7" borderId="2371" xfId="0" applyNumberFormat="1" applyFont="1" applyFill="1" applyBorder="1" applyAlignment="1">
      <alignment horizontal="center" vertical="center" wrapText="1"/>
    </xf>
    <xf numFmtId="170" fontId="14" fillId="7" borderId="2372" xfId="0" applyNumberFormat="1" applyFont="1" applyFill="1" applyBorder="1" applyAlignment="1">
      <alignment horizontal="center" vertical="center" wrapText="1"/>
    </xf>
    <xf numFmtId="170" fontId="14" fillId="7" borderId="2373" xfId="0" applyNumberFormat="1" applyFont="1" applyFill="1" applyBorder="1" applyAlignment="1">
      <alignment horizontal="center" vertical="center" wrapText="1"/>
    </xf>
    <xf numFmtId="170" fontId="14" fillId="7" borderId="2374" xfId="0" applyNumberFormat="1" applyFont="1" applyFill="1" applyBorder="1" applyAlignment="1">
      <alignment horizontal="center" vertical="center" wrapText="1"/>
    </xf>
    <xf numFmtId="170" fontId="14" fillId="7" borderId="2375" xfId="0" applyNumberFormat="1" applyFont="1" applyFill="1" applyBorder="1" applyAlignment="1">
      <alignment horizontal="center" vertical="center" wrapText="1"/>
    </xf>
    <xf numFmtId="170" fontId="14" fillId="7" borderId="2376" xfId="0" applyNumberFormat="1" applyFont="1" applyFill="1" applyBorder="1" applyAlignment="1">
      <alignment horizontal="center" vertical="center" wrapText="1"/>
    </xf>
    <xf numFmtId="170" fontId="14" fillId="7" borderId="2377" xfId="0" applyNumberFormat="1" applyFont="1" applyFill="1" applyBorder="1" applyAlignment="1">
      <alignment horizontal="center" vertical="center" wrapText="1"/>
    </xf>
    <xf numFmtId="170" fontId="14" fillId="7" borderId="2378" xfId="0" applyNumberFormat="1" applyFont="1" applyFill="1" applyBorder="1" applyAlignment="1">
      <alignment horizontal="center" vertical="center" wrapText="1"/>
    </xf>
    <xf numFmtId="170" fontId="14" fillId="7" borderId="2379" xfId="0" applyNumberFormat="1" applyFont="1" applyFill="1" applyBorder="1" applyAlignment="1">
      <alignment horizontal="center" vertical="center" wrapText="1"/>
    </xf>
    <xf numFmtId="170" fontId="14" fillId="7" borderId="2380" xfId="0" applyNumberFormat="1" applyFont="1" applyFill="1" applyBorder="1" applyAlignment="1">
      <alignment horizontal="center" vertical="center" wrapText="1"/>
    </xf>
    <xf numFmtId="170" fontId="14" fillId="7" borderId="2381" xfId="0" applyNumberFormat="1" applyFont="1" applyFill="1" applyBorder="1" applyAlignment="1">
      <alignment horizontal="center" vertical="center" wrapText="1"/>
    </xf>
    <xf numFmtId="170" fontId="14" fillId="7" borderId="2382" xfId="0" applyNumberFormat="1" applyFont="1" applyFill="1" applyBorder="1" applyAlignment="1">
      <alignment horizontal="center" vertical="center" wrapText="1"/>
    </xf>
    <xf numFmtId="170" fontId="14" fillId="7" borderId="2383" xfId="0" applyNumberFormat="1" applyFont="1" applyFill="1" applyBorder="1" applyAlignment="1">
      <alignment horizontal="center" vertical="center" wrapText="1"/>
    </xf>
    <xf numFmtId="170" fontId="14" fillId="7" borderId="2384" xfId="0" applyNumberFormat="1" applyFont="1" applyFill="1" applyBorder="1" applyAlignment="1">
      <alignment horizontal="center" vertical="center" wrapText="1"/>
    </xf>
    <xf numFmtId="170" fontId="14" fillId="7" borderId="2385" xfId="0" applyNumberFormat="1" applyFont="1" applyFill="1" applyBorder="1" applyAlignment="1">
      <alignment horizontal="center" vertical="center" wrapText="1"/>
    </xf>
    <xf numFmtId="170" fontId="14" fillId="7" borderId="2386" xfId="0" applyNumberFormat="1" applyFont="1" applyFill="1" applyBorder="1" applyAlignment="1">
      <alignment horizontal="center" vertical="center" wrapText="1"/>
    </xf>
    <xf numFmtId="170" fontId="14" fillId="7" borderId="2387" xfId="0" applyNumberFormat="1" applyFont="1" applyFill="1" applyBorder="1" applyAlignment="1">
      <alignment horizontal="center" vertical="center" wrapText="1"/>
    </xf>
    <xf numFmtId="170" fontId="14" fillId="7" borderId="2388" xfId="0" applyNumberFormat="1" applyFont="1" applyFill="1" applyBorder="1" applyAlignment="1">
      <alignment horizontal="center" vertical="center" wrapText="1"/>
    </xf>
    <xf numFmtId="170" fontId="14" fillId="7" borderId="2389" xfId="0" applyNumberFormat="1" applyFont="1" applyFill="1" applyBorder="1" applyAlignment="1">
      <alignment horizontal="center" vertical="center" wrapText="1"/>
    </xf>
    <xf numFmtId="170" fontId="14" fillId="7" borderId="2390" xfId="0" applyNumberFormat="1" applyFont="1" applyFill="1" applyBorder="1" applyAlignment="1">
      <alignment horizontal="center" vertical="center" wrapText="1"/>
    </xf>
    <xf numFmtId="170" fontId="14" fillId="7" borderId="2652" xfId="0" applyNumberFormat="1" applyFont="1" applyFill="1" applyBorder="1" applyAlignment="1">
      <alignment horizontal="center" vertical="center" wrapText="1"/>
    </xf>
    <xf numFmtId="170" fontId="14" fillId="7" borderId="2653" xfId="0" applyNumberFormat="1" applyFont="1" applyFill="1" applyBorder="1" applyAlignment="1">
      <alignment horizontal="center" vertical="center" wrapText="1"/>
    </xf>
    <xf numFmtId="170" fontId="14" fillId="7" borderId="2654" xfId="0" applyNumberFormat="1" applyFont="1" applyFill="1" applyBorder="1" applyAlignment="1">
      <alignment horizontal="center" vertical="center" wrapText="1"/>
    </xf>
    <xf numFmtId="170" fontId="14" fillId="7" borderId="2655" xfId="0" applyNumberFormat="1" applyFont="1" applyFill="1" applyBorder="1" applyAlignment="1">
      <alignment horizontal="center" vertical="center" wrapText="1"/>
    </xf>
    <xf numFmtId="170" fontId="14" fillId="7" borderId="2656" xfId="0" applyNumberFormat="1" applyFont="1" applyFill="1" applyBorder="1" applyAlignment="1">
      <alignment horizontal="center" vertical="center" wrapText="1"/>
    </xf>
    <xf numFmtId="170" fontId="14" fillId="7" borderId="2657" xfId="0" applyNumberFormat="1" applyFont="1" applyFill="1" applyBorder="1" applyAlignment="1">
      <alignment horizontal="center" vertical="center" wrapText="1"/>
    </xf>
    <xf numFmtId="170" fontId="14" fillId="7" borderId="2658" xfId="0" applyNumberFormat="1" applyFont="1" applyFill="1" applyBorder="1" applyAlignment="1">
      <alignment horizontal="center" vertical="center" wrapText="1"/>
    </xf>
    <xf numFmtId="170" fontId="14" fillId="7" borderId="2659" xfId="0" applyNumberFormat="1" applyFont="1" applyFill="1" applyBorder="1" applyAlignment="1">
      <alignment horizontal="center" vertical="center" wrapText="1"/>
    </xf>
    <xf numFmtId="170" fontId="14" fillId="7" borderId="2660" xfId="0" applyNumberFormat="1" applyFont="1" applyFill="1" applyBorder="1" applyAlignment="1">
      <alignment horizontal="center" vertical="center" wrapText="1"/>
    </xf>
    <xf numFmtId="170" fontId="14" fillId="7" borderId="2661" xfId="0" applyNumberFormat="1" applyFont="1" applyFill="1" applyBorder="1" applyAlignment="1">
      <alignment horizontal="center" vertical="center" wrapText="1"/>
    </xf>
    <xf numFmtId="170" fontId="14" fillId="7" borderId="2662" xfId="0" applyNumberFormat="1" applyFont="1" applyFill="1" applyBorder="1" applyAlignment="1">
      <alignment horizontal="center" vertical="center" wrapText="1"/>
    </xf>
    <xf numFmtId="170" fontId="14" fillId="7" borderId="2663" xfId="0" applyNumberFormat="1" applyFont="1" applyFill="1" applyBorder="1" applyAlignment="1">
      <alignment horizontal="center" vertical="center" wrapText="1"/>
    </xf>
    <xf numFmtId="170" fontId="14" fillId="7" borderId="2664" xfId="0" applyNumberFormat="1" applyFont="1" applyFill="1" applyBorder="1" applyAlignment="1">
      <alignment horizontal="center" vertical="center" wrapText="1"/>
    </xf>
    <xf numFmtId="170" fontId="14" fillId="7" borderId="2665" xfId="0" applyNumberFormat="1" applyFont="1" applyFill="1" applyBorder="1" applyAlignment="1">
      <alignment horizontal="center" vertical="center" wrapText="1"/>
    </xf>
    <xf numFmtId="170" fontId="14" fillId="7" borderId="2666" xfId="0" applyNumberFormat="1" applyFont="1" applyFill="1" applyBorder="1" applyAlignment="1">
      <alignment horizontal="center" vertical="center" wrapText="1"/>
    </xf>
    <xf numFmtId="170" fontId="14" fillId="7" borderId="2667" xfId="0" applyNumberFormat="1" applyFont="1" applyFill="1" applyBorder="1" applyAlignment="1">
      <alignment horizontal="center" vertical="center" wrapText="1"/>
    </xf>
    <xf numFmtId="170" fontId="14" fillId="7" borderId="2668" xfId="0" applyNumberFormat="1" applyFont="1" applyFill="1" applyBorder="1" applyAlignment="1">
      <alignment horizontal="center" vertical="center" wrapText="1"/>
    </xf>
    <xf numFmtId="170" fontId="14" fillId="7" borderId="2669" xfId="0" applyNumberFormat="1" applyFont="1" applyFill="1" applyBorder="1" applyAlignment="1">
      <alignment horizontal="center" vertical="center" wrapText="1"/>
    </xf>
    <xf numFmtId="170" fontId="14" fillId="7" borderId="2670" xfId="0" applyNumberFormat="1" applyFont="1" applyFill="1" applyBorder="1" applyAlignment="1">
      <alignment horizontal="center" vertical="center" wrapText="1"/>
    </xf>
    <xf numFmtId="170" fontId="14" fillId="7" borderId="2671" xfId="0" applyNumberFormat="1" applyFont="1" applyFill="1" applyBorder="1" applyAlignment="1">
      <alignment horizontal="center" vertical="center" wrapText="1"/>
    </xf>
    <xf numFmtId="170" fontId="14" fillId="7" borderId="2672" xfId="0" applyNumberFormat="1" applyFont="1" applyFill="1" applyBorder="1" applyAlignment="1">
      <alignment horizontal="center" vertical="center" wrapText="1"/>
    </xf>
    <xf numFmtId="170" fontId="14" fillId="7" borderId="2673" xfId="0" applyNumberFormat="1" applyFont="1" applyFill="1" applyBorder="1" applyAlignment="1">
      <alignment horizontal="center" vertical="center" wrapText="1"/>
    </xf>
    <xf numFmtId="170" fontId="14" fillId="7" borderId="2674" xfId="0" applyNumberFormat="1" applyFont="1" applyFill="1" applyBorder="1" applyAlignment="1">
      <alignment horizontal="center" vertical="center" wrapText="1"/>
    </xf>
    <xf numFmtId="170" fontId="14" fillId="7" borderId="2675" xfId="0" applyNumberFormat="1" applyFont="1" applyFill="1" applyBorder="1" applyAlignment="1">
      <alignment horizontal="center" vertical="center" wrapText="1"/>
    </xf>
    <xf numFmtId="170" fontId="14" fillId="7" borderId="2676" xfId="0" applyNumberFormat="1" applyFont="1" applyFill="1" applyBorder="1" applyAlignment="1">
      <alignment horizontal="center" vertical="center" wrapText="1"/>
    </xf>
    <xf numFmtId="170" fontId="14" fillId="7" borderId="2677" xfId="0" applyNumberFormat="1" applyFont="1" applyFill="1" applyBorder="1" applyAlignment="1">
      <alignment horizontal="center" vertical="center" wrapText="1"/>
    </xf>
    <xf numFmtId="170" fontId="14" fillId="7" borderId="2678" xfId="0" applyNumberFormat="1" applyFont="1" applyFill="1" applyBorder="1" applyAlignment="1">
      <alignment horizontal="center" vertical="center" wrapText="1"/>
    </xf>
    <xf numFmtId="170" fontId="14" fillId="7" borderId="2679" xfId="0" applyNumberFormat="1" applyFont="1" applyFill="1" applyBorder="1" applyAlignment="1">
      <alignment horizontal="center" vertical="center" wrapText="1"/>
    </xf>
    <xf numFmtId="170" fontId="14" fillId="7" borderId="2680" xfId="0" applyNumberFormat="1" applyFont="1" applyFill="1" applyBorder="1" applyAlignment="1">
      <alignment horizontal="center" vertical="center" wrapText="1"/>
    </xf>
    <xf numFmtId="170" fontId="14" fillId="7" borderId="2681" xfId="0" applyNumberFormat="1" applyFont="1" applyFill="1" applyBorder="1" applyAlignment="1">
      <alignment horizontal="center" vertical="center" wrapText="1"/>
    </xf>
    <xf numFmtId="170" fontId="14" fillId="7" borderId="2682" xfId="0" applyNumberFormat="1" applyFont="1" applyFill="1" applyBorder="1" applyAlignment="1">
      <alignment horizontal="center" vertical="center" wrapText="1"/>
    </xf>
    <xf numFmtId="170" fontId="14" fillId="7" borderId="2683" xfId="0" applyNumberFormat="1" applyFont="1" applyFill="1" applyBorder="1" applyAlignment="1">
      <alignment horizontal="center" vertical="center" wrapText="1"/>
    </xf>
    <xf numFmtId="170" fontId="14" fillId="7" borderId="2720" xfId="0" applyNumberFormat="1" applyFont="1" applyFill="1" applyBorder="1" applyAlignment="1">
      <alignment horizontal="center" vertical="center" wrapText="1"/>
    </xf>
    <xf numFmtId="170" fontId="14" fillId="7" borderId="2721" xfId="0" applyNumberFormat="1" applyFont="1" applyFill="1" applyBorder="1" applyAlignment="1">
      <alignment horizontal="center" vertical="center" wrapText="1"/>
    </xf>
    <xf numFmtId="170" fontId="14" fillId="7" borderId="2756" xfId="0" applyNumberFormat="1" applyFont="1" applyFill="1" applyBorder="1" applyAlignment="1">
      <alignment horizontal="center" vertical="center" wrapText="1"/>
    </xf>
    <xf numFmtId="170" fontId="14" fillId="7" borderId="2757" xfId="0" applyNumberFormat="1" applyFont="1" applyFill="1" applyBorder="1" applyAlignment="1">
      <alignment horizontal="center" vertical="center" wrapText="1"/>
    </xf>
    <xf numFmtId="170" fontId="14" fillId="7" borderId="2794" xfId="0" applyNumberFormat="1" applyFont="1" applyFill="1" applyBorder="1" applyAlignment="1">
      <alignment horizontal="center" vertical="center" wrapText="1"/>
    </xf>
    <xf numFmtId="170" fontId="14" fillId="7" borderId="2795" xfId="0" applyNumberFormat="1" applyFont="1" applyFill="1" applyBorder="1" applyAlignment="1">
      <alignment horizontal="center" vertical="center" wrapText="1"/>
    </xf>
    <xf numFmtId="170" fontId="14" fillId="7" borderId="2796" xfId="0" applyNumberFormat="1" applyFont="1" applyFill="1" applyBorder="1" applyAlignment="1">
      <alignment horizontal="center" vertical="center" wrapText="1"/>
    </xf>
    <xf numFmtId="170" fontId="14" fillId="7" borderId="2797" xfId="0" applyNumberFormat="1" applyFont="1" applyFill="1" applyBorder="1" applyAlignment="1">
      <alignment horizontal="center" vertical="center" wrapText="1"/>
    </xf>
    <xf numFmtId="170" fontId="14" fillId="7" borderId="2798" xfId="0" applyNumberFormat="1" applyFont="1" applyFill="1" applyBorder="1" applyAlignment="1">
      <alignment horizontal="center" vertical="center" wrapText="1"/>
    </xf>
    <xf numFmtId="170" fontId="14" fillId="7" borderId="2799" xfId="0" applyNumberFormat="1" applyFont="1" applyFill="1" applyBorder="1" applyAlignment="1">
      <alignment horizontal="center" vertical="center" wrapText="1"/>
    </xf>
    <xf numFmtId="170" fontId="14" fillId="7" borderId="2800" xfId="0" applyNumberFormat="1" applyFont="1" applyFill="1" applyBorder="1" applyAlignment="1">
      <alignment horizontal="center" vertical="center" wrapText="1"/>
    </xf>
    <xf numFmtId="170" fontId="14" fillId="7" borderId="2801" xfId="0" applyNumberFormat="1" applyFont="1" applyFill="1" applyBorder="1" applyAlignment="1">
      <alignment horizontal="center" vertical="center" wrapText="1"/>
    </xf>
    <xf numFmtId="170" fontId="14" fillId="7" borderId="2802" xfId="0" applyNumberFormat="1" applyFont="1" applyFill="1" applyBorder="1" applyAlignment="1">
      <alignment horizontal="center" vertical="center" wrapText="1"/>
    </xf>
    <xf numFmtId="170" fontId="14" fillId="7" borderId="2803" xfId="0" applyNumberFormat="1" applyFont="1" applyFill="1" applyBorder="1" applyAlignment="1">
      <alignment horizontal="center" vertical="center" wrapText="1"/>
    </xf>
    <xf numFmtId="170" fontId="14" fillId="7" borderId="2804" xfId="0" applyNumberFormat="1" applyFont="1" applyFill="1" applyBorder="1" applyAlignment="1">
      <alignment horizontal="center" vertical="center" wrapText="1"/>
    </xf>
    <xf numFmtId="170" fontId="14" fillId="7" borderId="2805" xfId="0" applyNumberFormat="1" applyFont="1" applyFill="1" applyBorder="1" applyAlignment="1">
      <alignment horizontal="center" vertical="center" wrapText="1"/>
    </xf>
    <xf numFmtId="170" fontId="14" fillId="7" borderId="2806" xfId="0" applyNumberFormat="1" applyFont="1" applyFill="1" applyBorder="1" applyAlignment="1">
      <alignment horizontal="center" vertical="center" wrapText="1"/>
    </xf>
    <xf numFmtId="170" fontId="14" fillId="7" borderId="2807" xfId="0" applyNumberFormat="1" applyFont="1" applyFill="1" applyBorder="1" applyAlignment="1">
      <alignment horizontal="center" vertical="center" wrapText="1"/>
    </xf>
    <xf numFmtId="170" fontId="14" fillId="7" borderId="2808" xfId="0" applyNumberFormat="1" applyFont="1" applyFill="1" applyBorder="1" applyAlignment="1">
      <alignment horizontal="center" vertical="center" wrapText="1"/>
    </xf>
    <xf numFmtId="170" fontId="14" fillId="7" borderId="2809" xfId="0" applyNumberFormat="1" applyFont="1" applyFill="1" applyBorder="1" applyAlignment="1">
      <alignment horizontal="center" vertical="center" wrapText="1"/>
    </xf>
    <xf numFmtId="170" fontId="14" fillId="7" borderId="2810" xfId="0" applyNumberFormat="1" applyFont="1" applyFill="1" applyBorder="1" applyAlignment="1">
      <alignment horizontal="center" vertical="center" wrapText="1"/>
    </xf>
    <xf numFmtId="170" fontId="14" fillId="7" borderId="2811" xfId="0" applyNumberFormat="1" applyFont="1" applyFill="1" applyBorder="1" applyAlignment="1">
      <alignment horizontal="center" vertical="center" wrapText="1"/>
    </xf>
    <xf numFmtId="170" fontId="14" fillId="7" borderId="2812" xfId="0" applyNumberFormat="1" applyFont="1" applyFill="1" applyBorder="1" applyAlignment="1">
      <alignment horizontal="center" vertical="center" wrapText="1"/>
    </xf>
    <xf numFmtId="170" fontId="14" fillId="7" borderId="2813" xfId="0" applyNumberFormat="1" applyFont="1" applyFill="1" applyBorder="1" applyAlignment="1">
      <alignment horizontal="center" vertical="center" wrapText="1"/>
    </xf>
    <xf numFmtId="170" fontId="14" fillId="7" borderId="2814" xfId="0" applyNumberFormat="1" applyFont="1" applyFill="1" applyBorder="1" applyAlignment="1">
      <alignment horizontal="center" vertical="center" wrapText="1"/>
    </xf>
    <xf numFmtId="170" fontId="14" fillId="7" borderId="2815" xfId="0" applyNumberFormat="1" applyFont="1" applyFill="1" applyBorder="1" applyAlignment="1">
      <alignment horizontal="center" vertical="center" wrapText="1"/>
    </xf>
    <xf numFmtId="170" fontId="14" fillId="7" borderId="2816" xfId="0" applyNumberFormat="1" applyFont="1" applyFill="1" applyBorder="1" applyAlignment="1">
      <alignment horizontal="center" vertical="center" wrapText="1"/>
    </xf>
    <xf numFmtId="170" fontId="14" fillId="7" borderId="2817" xfId="0" applyNumberFormat="1" applyFont="1" applyFill="1" applyBorder="1" applyAlignment="1">
      <alignment horizontal="center" vertical="center" wrapText="1"/>
    </xf>
    <xf numFmtId="170" fontId="14" fillId="7" borderId="2818" xfId="0" applyNumberFormat="1" applyFont="1" applyFill="1" applyBorder="1" applyAlignment="1">
      <alignment horizontal="center" vertical="center" wrapText="1"/>
    </xf>
    <xf numFmtId="170" fontId="14" fillId="7" borderId="2819" xfId="0" applyNumberFormat="1" applyFont="1" applyFill="1" applyBorder="1" applyAlignment="1">
      <alignment horizontal="center" vertical="center" wrapText="1"/>
    </xf>
    <xf numFmtId="170" fontId="14" fillId="7" borderId="2820" xfId="0" applyNumberFormat="1" applyFont="1" applyFill="1" applyBorder="1" applyAlignment="1">
      <alignment horizontal="center" vertical="center" wrapText="1"/>
    </xf>
    <xf numFmtId="170" fontId="14" fillId="7" borderId="2821" xfId="0" applyNumberFormat="1" applyFont="1" applyFill="1" applyBorder="1" applyAlignment="1">
      <alignment horizontal="center" vertical="center" wrapText="1"/>
    </xf>
    <xf numFmtId="170" fontId="14" fillId="7" borderId="2822" xfId="0" applyNumberFormat="1" applyFont="1" applyFill="1" applyBorder="1" applyAlignment="1">
      <alignment horizontal="center" vertical="center" wrapText="1"/>
    </xf>
    <xf numFmtId="170" fontId="14" fillId="7" borderId="2823" xfId="0" applyNumberFormat="1" applyFont="1" applyFill="1" applyBorder="1" applyAlignment="1">
      <alignment horizontal="center" vertical="center" wrapText="1"/>
    </xf>
    <xf numFmtId="170" fontId="14" fillId="7" borderId="2824" xfId="0" applyNumberFormat="1" applyFont="1" applyFill="1" applyBorder="1" applyAlignment="1">
      <alignment horizontal="center" vertical="center" wrapText="1"/>
    </xf>
    <xf numFmtId="170" fontId="14" fillId="7" borderId="2825" xfId="0" applyNumberFormat="1" applyFont="1" applyFill="1" applyBorder="1" applyAlignment="1">
      <alignment horizontal="center" vertical="center" wrapText="1"/>
    </xf>
    <xf numFmtId="170" fontId="14" fillId="7" borderId="2826" xfId="0" applyNumberFormat="1" applyFont="1" applyFill="1" applyBorder="1" applyAlignment="1">
      <alignment horizontal="center" vertical="center" wrapText="1"/>
    </xf>
    <xf numFmtId="170" fontId="14" fillId="7" borderId="2434" xfId="0" applyNumberFormat="1" applyFont="1" applyFill="1" applyBorder="1" applyAlignment="1">
      <alignment horizontal="center" vertical="center" wrapText="1"/>
    </xf>
    <xf numFmtId="170" fontId="14" fillId="7" borderId="2435" xfId="0" applyNumberFormat="1" applyFont="1" applyFill="1" applyBorder="1" applyAlignment="1">
      <alignment horizontal="center" vertical="center" wrapText="1"/>
    </xf>
    <xf numFmtId="170" fontId="14" fillId="7" borderId="2436" xfId="0" applyNumberFormat="1" applyFont="1" applyFill="1" applyBorder="1" applyAlignment="1">
      <alignment horizontal="center" vertical="center" wrapText="1"/>
    </xf>
    <xf numFmtId="170" fontId="14" fillId="7" borderId="2437" xfId="0" applyNumberFormat="1" applyFont="1" applyFill="1" applyBorder="1" applyAlignment="1">
      <alignment horizontal="center" vertical="center" wrapText="1"/>
    </xf>
    <xf numFmtId="170" fontId="14" fillId="7" borderId="2438" xfId="0" applyNumberFormat="1" applyFont="1" applyFill="1" applyBorder="1" applyAlignment="1">
      <alignment horizontal="center" vertical="center" wrapText="1"/>
    </xf>
    <xf numFmtId="170" fontId="14" fillId="7" borderId="2439" xfId="0" applyNumberFormat="1" applyFont="1" applyFill="1" applyBorder="1" applyAlignment="1">
      <alignment horizontal="center" vertical="center" wrapText="1"/>
    </xf>
    <xf numFmtId="170" fontId="14" fillId="7" borderId="2440" xfId="0" applyNumberFormat="1" applyFont="1" applyFill="1" applyBorder="1" applyAlignment="1">
      <alignment horizontal="center" vertical="center" wrapText="1"/>
    </xf>
    <xf numFmtId="170" fontId="14" fillId="7" borderId="2441" xfId="0" applyNumberFormat="1" applyFont="1" applyFill="1" applyBorder="1" applyAlignment="1">
      <alignment horizontal="center" vertical="center" wrapText="1"/>
    </xf>
    <xf numFmtId="170" fontId="14" fillId="7" borderId="2442" xfId="0" applyNumberFormat="1" applyFont="1" applyFill="1" applyBorder="1" applyAlignment="1">
      <alignment horizontal="center" vertical="center" wrapText="1"/>
    </xf>
    <xf numFmtId="170" fontId="14" fillId="7" borderId="2443" xfId="0" applyNumberFormat="1" applyFont="1" applyFill="1" applyBorder="1" applyAlignment="1">
      <alignment horizontal="center" vertical="center" wrapText="1"/>
    </xf>
    <xf numFmtId="170" fontId="14" fillId="7" borderId="2444" xfId="0" applyNumberFormat="1" applyFont="1" applyFill="1" applyBorder="1" applyAlignment="1">
      <alignment horizontal="center" vertical="center" wrapText="1"/>
    </xf>
    <xf numFmtId="170" fontId="14" fillId="7" borderId="2445" xfId="0" applyNumberFormat="1" applyFont="1" applyFill="1" applyBorder="1" applyAlignment="1">
      <alignment horizontal="center" vertical="center" wrapText="1"/>
    </xf>
    <xf numFmtId="170" fontId="14" fillId="7" borderId="2446" xfId="0" applyNumberFormat="1" applyFont="1" applyFill="1" applyBorder="1" applyAlignment="1">
      <alignment horizontal="center" vertical="center" wrapText="1"/>
    </xf>
    <xf numFmtId="170" fontId="14" fillId="7" borderId="2447" xfId="0" applyNumberFormat="1" applyFont="1" applyFill="1" applyBorder="1" applyAlignment="1">
      <alignment horizontal="center" vertical="center" wrapText="1"/>
    </xf>
    <xf numFmtId="170" fontId="14" fillId="7" borderId="2448" xfId="0" applyNumberFormat="1" applyFont="1" applyFill="1" applyBorder="1" applyAlignment="1">
      <alignment horizontal="center" vertical="center" wrapText="1"/>
    </xf>
    <xf numFmtId="170" fontId="14" fillId="7" borderId="2449" xfId="0" applyNumberFormat="1" applyFont="1" applyFill="1" applyBorder="1" applyAlignment="1">
      <alignment horizontal="center" vertical="center" wrapText="1"/>
    </xf>
    <xf numFmtId="170" fontId="14" fillId="7" borderId="2450" xfId="0" applyNumberFormat="1" applyFont="1" applyFill="1" applyBorder="1" applyAlignment="1">
      <alignment horizontal="center" vertical="center" wrapText="1"/>
    </xf>
    <xf numFmtId="170" fontId="14" fillId="7" borderId="2451" xfId="0" applyNumberFormat="1" applyFont="1" applyFill="1" applyBorder="1" applyAlignment="1">
      <alignment horizontal="center" vertical="center" wrapText="1"/>
    </xf>
    <xf numFmtId="170" fontId="14" fillId="7" borderId="2452" xfId="0" applyNumberFormat="1" applyFont="1" applyFill="1" applyBorder="1" applyAlignment="1">
      <alignment horizontal="center" vertical="center" wrapText="1"/>
    </xf>
    <xf numFmtId="170" fontId="14" fillId="7" borderId="2453" xfId="0" applyNumberFormat="1" applyFont="1" applyFill="1" applyBorder="1" applyAlignment="1">
      <alignment horizontal="center" vertical="center" wrapText="1"/>
    </xf>
    <xf numFmtId="170" fontId="14" fillId="7" borderId="2454" xfId="0" applyNumberFormat="1" applyFont="1" applyFill="1" applyBorder="1" applyAlignment="1">
      <alignment horizontal="center" vertical="center" wrapText="1"/>
    </xf>
    <xf numFmtId="170" fontId="14" fillId="7" borderId="2455" xfId="0" applyNumberFormat="1" applyFont="1" applyFill="1" applyBorder="1" applyAlignment="1">
      <alignment horizontal="center" vertical="center" wrapText="1"/>
    </xf>
    <xf numFmtId="170" fontId="14" fillId="7" borderId="2456" xfId="0" applyNumberFormat="1" applyFont="1" applyFill="1" applyBorder="1" applyAlignment="1">
      <alignment horizontal="center" vertical="center" wrapText="1"/>
    </xf>
    <xf numFmtId="170" fontId="14" fillId="7" borderId="2457" xfId="0" applyNumberFormat="1" applyFont="1" applyFill="1" applyBorder="1" applyAlignment="1">
      <alignment horizontal="center" vertical="center" wrapText="1"/>
    </xf>
    <xf numFmtId="170" fontId="14" fillId="7" borderId="2458" xfId="0" applyNumberFormat="1" applyFont="1" applyFill="1" applyBorder="1" applyAlignment="1">
      <alignment horizontal="center" vertical="center" wrapText="1"/>
    </xf>
    <xf numFmtId="170" fontId="14" fillId="7" borderId="2459" xfId="0" applyNumberFormat="1" applyFont="1" applyFill="1" applyBorder="1" applyAlignment="1">
      <alignment horizontal="center" vertical="center" wrapText="1"/>
    </xf>
    <xf numFmtId="170" fontId="14" fillId="7" borderId="2460" xfId="0" applyNumberFormat="1" applyFont="1" applyFill="1" applyBorder="1" applyAlignment="1">
      <alignment horizontal="center" vertical="center" wrapText="1"/>
    </xf>
    <xf numFmtId="170" fontId="14" fillId="7" borderId="2461" xfId="0" applyNumberFormat="1" applyFont="1" applyFill="1" applyBorder="1" applyAlignment="1">
      <alignment horizontal="center" vertical="center" wrapText="1"/>
    </xf>
    <xf numFmtId="170" fontId="14" fillId="7" borderId="2462" xfId="0" applyNumberFormat="1" applyFont="1" applyFill="1" applyBorder="1" applyAlignment="1">
      <alignment horizontal="center" vertical="center" wrapText="1"/>
    </xf>
    <xf numFmtId="170" fontId="14" fillId="7" borderId="2463" xfId="0" applyNumberFormat="1" applyFont="1" applyFill="1" applyBorder="1" applyAlignment="1">
      <alignment horizontal="center" vertical="center" wrapText="1"/>
    </xf>
    <xf numFmtId="170" fontId="14" fillId="7" borderId="2464" xfId="0" applyNumberFormat="1" applyFont="1" applyFill="1" applyBorder="1" applyAlignment="1">
      <alignment horizontal="center" vertical="center" wrapText="1"/>
    </xf>
    <xf numFmtId="170" fontId="14" fillId="7" borderId="2465" xfId="0" applyNumberFormat="1" applyFont="1" applyFill="1" applyBorder="1" applyAlignment="1">
      <alignment horizontal="center" vertical="center" wrapText="1"/>
    </xf>
    <xf numFmtId="170" fontId="14" fillId="7" borderId="2502" xfId="0" applyNumberFormat="1" applyFont="1" applyFill="1" applyBorder="1" applyAlignment="1">
      <alignment horizontal="center" vertical="center" wrapText="1"/>
    </xf>
    <xf numFmtId="170" fontId="14" fillId="7" borderId="2503" xfId="0" applyNumberFormat="1" applyFont="1" applyFill="1" applyBorder="1" applyAlignment="1">
      <alignment horizontal="center" vertical="center" wrapText="1"/>
    </xf>
    <xf numFmtId="170" fontId="14" fillId="7" borderId="2538" xfId="0" applyNumberFormat="1" applyFont="1" applyFill="1" applyBorder="1" applyAlignment="1">
      <alignment horizontal="center" vertical="center" wrapText="1"/>
    </xf>
    <xf numFmtId="170" fontId="14" fillId="7" borderId="2539" xfId="0" applyNumberFormat="1" applyFont="1" applyFill="1" applyBorder="1" applyAlignment="1">
      <alignment horizontal="center" vertical="center" wrapText="1"/>
    </xf>
    <xf numFmtId="170" fontId="14" fillId="7" borderId="2576" xfId="0" applyNumberFormat="1" applyFont="1" applyFill="1" applyBorder="1" applyAlignment="1">
      <alignment horizontal="center" vertical="center" wrapText="1"/>
    </xf>
    <xf numFmtId="170" fontId="14" fillId="7" borderId="2577" xfId="0" applyNumberFormat="1" applyFont="1" applyFill="1" applyBorder="1" applyAlignment="1">
      <alignment horizontal="center" vertical="center" wrapText="1"/>
    </xf>
    <xf numFmtId="170" fontId="14" fillId="7" borderId="2578" xfId="0" applyNumberFormat="1" applyFont="1" applyFill="1" applyBorder="1" applyAlignment="1">
      <alignment horizontal="center" vertical="center" wrapText="1"/>
    </xf>
    <xf numFmtId="170" fontId="14" fillId="7" borderId="2579" xfId="0" applyNumberFormat="1" applyFont="1" applyFill="1" applyBorder="1" applyAlignment="1">
      <alignment horizontal="center" vertical="center" wrapText="1"/>
    </xf>
    <xf numFmtId="170" fontId="14" fillId="7" borderId="2580" xfId="0" applyNumberFormat="1" applyFont="1" applyFill="1" applyBorder="1" applyAlignment="1">
      <alignment horizontal="center" vertical="center" wrapText="1"/>
    </xf>
    <xf numFmtId="170" fontId="14" fillId="7" borderId="2581" xfId="0" applyNumberFormat="1" applyFont="1" applyFill="1" applyBorder="1" applyAlignment="1">
      <alignment horizontal="center" vertical="center" wrapText="1"/>
    </xf>
    <xf numFmtId="170" fontId="14" fillId="7" borderId="2582" xfId="0" applyNumberFormat="1" applyFont="1" applyFill="1" applyBorder="1" applyAlignment="1">
      <alignment horizontal="center" vertical="center" wrapText="1"/>
    </xf>
    <xf numFmtId="170" fontId="14" fillId="7" borderId="2583" xfId="0" applyNumberFormat="1" applyFont="1" applyFill="1" applyBorder="1" applyAlignment="1">
      <alignment horizontal="center" vertical="center" wrapText="1"/>
    </xf>
    <xf numFmtId="170" fontId="14" fillId="7" borderId="2584" xfId="0" applyNumberFormat="1" applyFont="1" applyFill="1" applyBorder="1" applyAlignment="1">
      <alignment horizontal="center" vertical="center" wrapText="1"/>
    </xf>
    <xf numFmtId="170" fontId="14" fillId="7" borderId="2585" xfId="0" applyNumberFormat="1" applyFont="1" applyFill="1" applyBorder="1" applyAlignment="1">
      <alignment horizontal="center" vertical="center" wrapText="1"/>
    </xf>
    <xf numFmtId="170" fontId="14" fillId="7" borderId="2586" xfId="0" applyNumberFormat="1" applyFont="1" applyFill="1" applyBorder="1" applyAlignment="1">
      <alignment horizontal="center" vertical="center" wrapText="1"/>
    </xf>
    <xf numFmtId="170" fontId="14" fillId="7" borderId="2587" xfId="0" applyNumberFormat="1" applyFont="1" applyFill="1" applyBorder="1" applyAlignment="1">
      <alignment horizontal="center" vertical="center" wrapText="1"/>
    </xf>
    <xf numFmtId="170" fontId="14" fillId="7" borderId="2588" xfId="0" applyNumberFormat="1" applyFont="1" applyFill="1" applyBorder="1" applyAlignment="1">
      <alignment horizontal="center" vertical="center" wrapText="1"/>
    </xf>
    <xf numFmtId="170" fontId="14" fillId="7" borderId="2589" xfId="0" applyNumberFormat="1" applyFont="1" applyFill="1" applyBorder="1" applyAlignment="1">
      <alignment horizontal="center" vertical="center" wrapText="1"/>
    </xf>
    <xf numFmtId="170" fontId="14" fillId="7" borderId="2590" xfId="0" applyNumberFormat="1" applyFont="1" applyFill="1" applyBorder="1" applyAlignment="1">
      <alignment horizontal="center" vertical="center" wrapText="1"/>
    </xf>
    <xf numFmtId="170" fontId="14" fillId="7" borderId="2591" xfId="0" applyNumberFormat="1" applyFont="1" applyFill="1" applyBorder="1" applyAlignment="1">
      <alignment horizontal="center" vertical="center" wrapText="1"/>
    </xf>
    <xf numFmtId="170" fontId="14" fillId="7" borderId="2592" xfId="0" applyNumberFormat="1" applyFont="1" applyFill="1" applyBorder="1" applyAlignment="1">
      <alignment horizontal="center" vertical="center" wrapText="1"/>
    </xf>
    <xf numFmtId="170" fontId="14" fillId="7" borderId="2593" xfId="0" applyNumberFormat="1" applyFont="1" applyFill="1" applyBorder="1" applyAlignment="1">
      <alignment horizontal="center" vertical="center" wrapText="1"/>
    </xf>
    <xf numFmtId="170" fontId="14" fillId="7" borderId="2594" xfId="0" applyNumberFormat="1" applyFont="1" applyFill="1" applyBorder="1" applyAlignment="1">
      <alignment horizontal="center" vertical="center" wrapText="1"/>
    </xf>
    <xf numFmtId="170" fontId="14" fillId="7" borderId="2595" xfId="0" applyNumberFormat="1" applyFont="1" applyFill="1" applyBorder="1" applyAlignment="1">
      <alignment horizontal="center" vertical="center" wrapText="1"/>
    </xf>
    <xf numFmtId="170" fontId="14" fillId="7" borderId="2596" xfId="0" applyNumberFormat="1" applyFont="1" applyFill="1" applyBorder="1" applyAlignment="1">
      <alignment horizontal="center" vertical="center" wrapText="1"/>
    </xf>
    <xf numFmtId="170" fontId="14" fillId="7" borderId="2597" xfId="0" applyNumberFormat="1" applyFont="1" applyFill="1" applyBorder="1" applyAlignment="1">
      <alignment horizontal="center" vertical="center" wrapText="1"/>
    </xf>
    <xf numFmtId="170" fontId="14" fillId="7" borderId="2598" xfId="0" applyNumberFormat="1" applyFont="1" applyFill="1" applyBorder="1" applyAlignment="1">
      <alignment horizontal="center" vertical="center" wrapText="1"/>
    </xf>
    <xf numFmtId="170" fontId="14" fillId="7" borderId="2599" xfId="0" applyNumberFormat="1" applyFont="1" applyFill="1" applyBorder="1" applyAlignment="1">
      <alignment horizontal="center" vertical="center" wrapText="1"/>
    </xf>
    <xf numFmtId="170" fontId="14" fillId="7" borderId="2600" xfId="0" applyNumberFormat="1" applyFont="1" applyFill="1" applyBorder="1" applyAlignment="1">
      <alignment horizontal="center" vertical="center" wrapText="1"/>
    </xf>
    <xf numFmtId="170" fontId="14" fillId="7" borderId="2601" xfId="0" applyNumberFormat="1" applyFont="1" applyFill="1" applyBorder="1" applyAlignment="1">
      <alignment horizontal="center" vertical="center" wrapText="1"/>
    </xf>
    <xf numFmtId="170" fontId="14" fillId="7" borderId="2602" xfId="0" applyNumberFormat="1" applyFont="1" applyFill="1" applyBorder="1" applyAlignment="1">
      <alignment horizontal="center" vertical="center" wrapText="1"/>
    </xf>
    <xf numFmtId="170" fontId="14" fillId="7" borderId="2603" xfId="0" applyNumberFormat="1" applyFont="1" applyFill="1" applyBorder="1" applyAlignment="1">
      <alignment horizontal="center" vertical="center" wrapText="1"/>
    </xf>
    <xf numFmtId="170" fontId="14" fillId="7" borderId="2604" xfId="0" applyNumberFormat="1" applyFont="1" applyFill="1" applyBorder="1" applyAlignment="1">
      <alignment horizontal="center" vertical="center" wrapText="1"/>
    </xf>
    <xf numFmtId="170" fontId="14" fillId="7" borderId="2605" xfId="0" applyNumberFormat="1" applyFont="1" applyFill="1" applyBorder="1" applyAlignment="1">
      <alignment horizontal="center" vertical="center" wrapText="1"/>
    </xf>
    <xf numFmtId="170" fontId="14" fillId="7" borderId="2606" xfId="0" applyNumberFormat="1" applyFont="1" applyFill="1" applyBorder="1" applyAlignment="1">
      <alignment horizontal="center" vertical="center" wrapText="1"/>
    </xf>
    <xf numFmtId="170" fontId="14" fillId="7" borderId="2607" xfId="0" applyNumberFormat="1" applyFont="1" applyFill="1" applyBorder="1" applyAlignment="1">
      <alignment horizontal="center" vertical="center" wrapText="1"/>
    </xf>
    <xf numFmtId="170" fontId="14" fillId="7" borderId="2608" xfId="0" applyNumberFormat="1" applyFont="1" applyFill="1" applyBorder="1" applyAlignment="1">
      <alignment horizontal="center" vertical="center" wrapText="1"/>
    </xf>
    <xf numFmtId="170" fontId="21" fillId="7" borderId="2722" xfId="0" applyNumberFormat="1" applyFont="1" applyFill="1" applyBorder="1" applyAlignment="1">
      <alignment horizontal="center" vertical="center" wrapText="1"/>
    </xf>
    <xf numFmtId="170" fontId="21" fillId="7" borderId="2723" xfId="0" applyNumberFormat="1" applyFont="1" applyFill="1" applyBorder="1" applyAlignment="1">
      <alignment horizontal="center" vertical="center" wrapText="1"/>
    </xf>
    <xf numFmtId="170" fontId="21" fillId="7" borderId="2725" xfId="0" applyNumberFormat="1" applyFont="1" applyFill="1" applyBorder="1" applyAlignment="1">
      <alignment horizontal="center" vertical="center" wrapText="1"/>
    </xf>
    <xf numFmtId="170" fontId="21" fillId="7" borderId="2724" xfId="0" applyNumberFormat="1" applyFont="1" applyFill="1" applyBorder="1" applyAlignment="1">
      <alignment horizontal="center" vertical="center" wrapText="1"/>
    </xf>
    <xf numFmtId="170" fontId="21" fillId="7" borderId="2687" xfId="0" applyNumberFormat="1" applyFont="1" applyFill="1" applyBorder="1" applyAlignment="1">
      <alignment horizontal="center" vertical="center" wrapText="1"/>
    </xf>
    <xf numFmtId="170" fontId="21" fillId="7" borderId="2686" xfId="0" applyNumberFormat="1" applyFont="1" applyFill="1" applyBorder="1" applyAlignment="1">
      <alignment horizontal="center" vertical="center" wrapText="1"/>
    </xf>
    <xf numFmtId="170" fontId="21" fillId="7" borderId="2684" xfId="0" applyNumberFormat="1" applyFont="1" applyFill="1" applyBorder="1" applyAlignment="1">
      <alignment horizontal="center" vertical="center" wrapText="1"/>
    </xf>
    <xf numFmtId="170" fontId="21" fillId="7" borderId="2685" xfId="0" applyNumberFormat="1" applyFont="1" applyFill="1" applyBorder="1" applyAlignment="1">
      <alignment horizontal="center" vertical="center" wrapText="1"/>
    </xf>
    <xf numFmtId="170" fontId="17" fillId="7" borderId="2609" xfId="0" applyNumberFormat="1" applyFont="1" applyFill="1" applyBorder="1" applyAlignment="1">
      <alignment horizontal="center" vertical="center" wrapText="1"/>
    </xf>
    <xf numFmtId="170" fontId="17" fillId="7" borderId="2610" xfId="0" applyNumberFormat="1" applyFont="1" applyFill="1" applyBorder="1" applyAlignment="1">
      <alignment horizontal="center" vertical="center" wrapText="1"/>
    </xf>
    <xf numFmtId="170" fontId="17" fillId="7" borderId="2611" xfId="0" applyNumberFormat="1" applyFont="1" applyFill="1" applyBorder="1" applyAlignment="1">
      <alignment horizontal="center" vertical="center" wrapText="1"/>
    </xf>
    <xf numFmtId="170" fontId="17" fillId="7" borderId="2612" xfId="0" applyNumberFormat="1" applyFont="1" applyFill="1" applyBorder="1" applyAlignment="1">
      <alignment horizontal="center" vertical="center" wrapText="1"/>
    </xf>
    <xf numFmtId="170" fontId="17" fillId="7" borderId="2613" xfId="0" applyNumberFormat="1" applyFont="1" applyFill="1" applyBorder="1" applyAlignment="1">
      <alignment horizontal="center" vertical="center" wrapText="1"/>
    </xf>
    <xf numFmtId="170" fontId="17" fillId="7" borderId="2614" xfId="0" applyNumberFormat="1" applyFont="1" applyFill="1" applyBorder="1" applyAlignment="1">
      <alignment horizontal="center" vertical="center" wrapText="1"/>
    </xf>
    <xf numFmtId="170" fontId="17" fillId="7" borderId="2615" xfId="0" applyNumberFormat="1" applyFont="1" applyFill="1" applyBorder="1" applyAlignment="1">
      <alignment horizontal="center" vertical="center" wrapText="1"/>
    </xf>
    <xf numFmtId="170" fontId="17" fillId="7" borderId="2616" xfId="0" applyNumberFormat="1" applyFont="1" applyFill="1" applyBorder="1" applyAlignment="1">
      <alignment horizontal="center" vertical="center" wrapText="1"/>
    </xf>
    <xf numFmtId="170" fontId="17" fillId="7" borderId="2617" xfId="0" applyNumberFormat="1" applyFont="1" applyFill="1" applyBorder="1" applyAlignment="1">
      <alignment horizontal="center" vertical="center" wrapText="1"/>
    </xf>
    <xf numFmtId="170" fontId="17" fillId="7" borderId="2618" xfId="0" applyNumberFormat="1" applyFont="1" applyFill="1" applyBorder="1" applyAlignment="1">
      <alignment horizontal="center" vertical="center" wrapText="1"/>
    </xf>
    <xf numFmtId="170" fontId="17" fillId="7" borderId="2619" xfId="0" applyNumberFormat="1" applyFont="1" applyFill="1" applyBorder="1" applyAlignment="1">
      <alignment horizontal="center" vertical="center" wrapText="1"/>
    </xf>
    <xf numFmtId="170" fontId="17" fillId="7" borderId="2620" xfId="0" applyNumberFormat="1" applyFont="1" applyFill="1" applyBorder="1" applyAlignment="1">
      <alignment horizontal="center" vertical="center" wrapText="1"/>
    </xf>
    <xf numFmtId="170" fontId="17" fillId="7" borderId="2621" xfId="0" applyNumberFormat="1" applyFont="1" applyFill="1" applyBorder="1" applyAlignment="1">
      <alignment horizontal="center" vertical="center" wrapText="1"/>
    </xf>
    <xf numFmtId="170" fontId="21" fillId="7" borderId="2540" xfId="0" applyNumberFormat="1" applyFont="1" applyFill="1" applyBorder="1" applyAlignment="1">
      <alignment horizontal="center" vertical="center" wrapText="1"/>
    </xf>
    <xf numFmtId="170" fontId="21" fillId="7" borderId="2541" xfId="0" applyNumberFormat="1" applyFont="1" applyFill="1" applyBorder="1" applyAlignment="1">
      <alignment horizontal="center" vertical="center" wrapText="1"/>
    </xf>
    <xf numFmtId="170" fontId="21" fillId="7" borderId="2543" xfId="0" applyNumberFormat="1" applyFont="1" applyFill="1" applyBorder="1" applyAlignment="1">
      <alignment horizontal="center" vertical="center" wrapText="1"/>
    </xf>
    <xf numFmtId="170" fontId="21" fillId="7" borderId="2542" xfId="0" applyNumberFormat="1" applyFont="1" applyFill="1" applyBorder="1" applyAlignment="1">
      <alignment horizontal="center" vertical="center" wrapText="1"/>
    </xf>
    <xf numFmtId="170" fontId="21" fillId="7" borderId="2504" xfId="0" applyNumberFormat="1" applyFont="1" applyFill="1" applyBorder="1" applyAlignment="1">
      <alignment horizontal="center" vertical="center" wrapText="1"/>
    </xf>
    <xf numFmtId="170" fontId="21" fillId="7" borderId="2505" xfId="0" applyNumberFormat="1" applyFont="1" applyFill="1" applyBorder="1" applyAlignment="1">
      <alignment horizontal="center" vertical="center" wrapText="1"/>
    </xf>
    <xf numFmtId="170" fontId="21" fillId="7" borderId="2506" xfId="0" applyNumberFormat="1" applyFont="1" applyFill="1" applyBorder="1" applyAlignment="1">
      <alignment horizontal="center" vertical="center" wrapText="1"/>
    </xf>
    <xf numFmtId="170" fontId="21" fillId="7" borderId="2507" xfId="0" applyNumberFormat="1" applyFont="1" applyFill="1" applyBorder="1" applyAlignment="1">
      <alignment horizontal="center" vertical="center" wrapText="1"/>
    </xf>
    <xf numFmtId="170" fontId="21" fillId="7" borderId="2466" xfId="0" applyNumberFormat="1" applyFont="1" applyFill="1" applyBorder="1" applyAlignment="1">
      <alignment horizontal="center" vertical="center" wrapText="1"/>
    </xf>
    <xf numFmtId="170" fontId="21" fillId="7" borderId="2467" xfId="0" applyNumberFormat="1" applyFont="1" applyFill="1" applyBorder="1" applyAlignment="1">
      <alignment horizontal="center" vertical="center" wrapText="1"/>
    </xf>
    <xf numFmtId="170" fontId="21" fillId="7" borderId="2468" xfId="0" applyNumberFormat="1" applyFont="1" applyFill="1" applyBorder="1" applyAlignment="1">
      <alignment horizontal="center" vertical="center" wrapText="1"/>
    </xf>
    <xf numFmtId="170" fontId="21" fillId="7" borderId="2469" xfId="0" applyNumberFormat="1" applyFont="1" applyFill="1" applyBorder="1" applyAlignment="1">
      <alignment horizontal="center" vertical="center" wrapText="1"/>
    </xf>
    <xf numFmtId="170" fontId="17" fillId="7" borderId="2391" xfId="0" applyNumberFormat="1" applyFont="1" applyFill="1" applyBorder="1" applyAlignment="1">
      <alignment horizontal="center" vertical="center" wrapText="1"/>
    </xf>
    <xf numFmtId="170" fontId="17" fillId="7" borderId="2392" xfId="0" applyNumberFormat="1" applyFont="1" applyFill="1" applyBorder="1" applyAlignment="1">
      <alignment horizontal="center" vertical="center" wrapText="1"/>
    </xf>
    <xf numFmtId="170" fontId="17" fillId="7" borderId="2393" xfId="0" applyNumberFormat="1" applyFont="1" applyFill="1" applyBorder="1" applyAlignment="1">
      <alignment horizontal="center" vertical="center" wrapText="1"/>
    </xf>
    <xf numFmtId="170" fontId="17" fillId="7" borderId="2394" xfId="0" applyNumberFormat="1" applyFont="1" applyFill="1" applyBorder="1" applyAlignment="1">
      <alignment horizontal="center" vertical="center" wrapText="1"/>
    </xf>
    <xf numFmtId="170" fontId="17" fillId="7" borderId="2395" xfId="0" applyNumberFormat="1" applyFont="1" applyFill="1" applyBorder="1" applyAlignment="1">
      <alignment horizontal="center" vertical="center" wrapText="1"/>
    </xf>
    <xf numFmtId="170" fontId="17" fillId="7" borderId="2396" xfId="0" applyNumberFormat="1" applyFont="1" applyFill="1" applyBorder="1" applyAlignment="1">
      <alignment horizontal="center" vertical="center" wrapText="1"/>
    </xf>
    <xf numFmtId="170" fontId="17" fillId="7" borderId="2397" xfId="0" applyNumberFormat="1" applyFont="1" applyFill="1" applyBorder="1" applyAlignment="1">
      <alignment horizontal="center" vertical="center" wrapText="1"/>
    </xf>
    <xf numFmtId="170" fontId="17" fillId="7" borderId="2398" xfId="0" applyNumberFormat="1" applyFont="1" applyFill="1" applyBorder="1" applyAlignment="1">
      <alignment horizontal="center" vertical="center" wrapText="1"/>
    </xf>
    <xf numFmtId="170" fontId="17" fillId="7" borderId="2399" xfId="0" applyNumberFormat="1" applyFont="1" applyFill="1" applyBorder="1" applyAlignment="1">
      <alignment horizontal="center" vertical="center" wrapText="1"/>
    </xf>
    <xf numFmtId="170" fontId="17" fillId="7" borderId="2400" xfId="0" applyNumberFormat="1" applyFont="1" applyFill="1" applyBorder="1" applyAlignment="1">
      <alignment horizontal="center" vertical="center" wrapText="1"/>
    </xf>
    <xf numFmtId="170" fontId="17" fillId="7" borderId="2401" xfId="0" applyNumberFormat="1" applyFont="1" applyFill="1" applyBorder="1" applyAlignment="1">
      <alignment horizontal="center" vertical="center" wrapText="1"/>
    </xf>
    <xf numFmtId="170" fontId="17" fillId="7" borderId="2402" xfId="0" applyNumberFormat="1" applyFont="1" applyFill="1" applyBorder="1" applyAlignment="1">
      <alignment horizontal="center" vertical="center" wrapText="1"/>
    </xf>
    <xf numFmtId="170" fontId="17" fillId="7" borderId="2403" xfId="0" applyNumberFormat="1" applyFont="1" applyFill="1" applyBorder="1" applyAlignment="1">
      <alignment horizontal="center" vertical="center" wrapText="1"/>
    </xf>
    <xf numFmtId="0" fontId="79" fillId="7" borderId="2404" xfId="0" applyNumberFormat="1" applyFont="1" applyFill="1" applyBorder="1" applyAlignment="1">
      <alignment horizontal="center" vertical="center"/>
    </xf>
    <xf numFmtId="0" fontId="79" fillId="7" borderId="2405" xfId="0" applyNumberFormat="1" applyFont="1" applyFill="1" applyBorder="1" applyAlignment="1">
      <alignment horizontal="center" vertical="center"/>
    </xf>
    <xf numFmtId="0" fontId="79" fillId="7" borderId="2406" xfId="0" applyNumberFormat="1" applyFont="1" applyFill="1" applyBorder="1" applyAlignment="1">
      <alignment horizontal="center" vertical="center"/>
    </xf>
    <xf numFmtId="0" fontId="79" fillId="7" borderId="2407" xfId="0" applyNumberFormat="1" applyFont="1" applyFill="1" applyBorder="1" applyAlignment="1">
      <alignment horizontal="center" vertical="center"/>
    </xf>
    <xf numFmtId="0" fontId="79" fillId="7" borderId="2408" xfId="0" applyNumberFormat="1" applyFont="1" applyFill="1" applyBorder="1" applyAlignment="1">
      <alignment horizontal="center" vertical="center"/>
    </xf>
    <xf numFmtId="0" fontId="79" fillId="7" borderId="2409" xfId="0" applyNumberFormat="1" applyFont="1" applyFill="1" applyBorder="1" applyAlignment="1">
      <alignment horizontal="center" vertical="center"/>
    </xf>
    <xf numFmtId="0" fontId="79" fillId="7" borderId="2410" xfId="0" applyNumberFormat="1" applyFont="1" applyFill="1" applyBorder="1" applyAlignment="1">
      <alignment horizontal="center" vertical="center"/>
    </xf>
    <xf numFmtId="0" fontId="79" fillId="7" borderId="2411" xfId="0" applyNumberFormat="1" applyFont="1" applyFill="1" applyBorder="1" applyAlignment="1">
      <alignment horizontal="center" vertical="center"/>
    </xf>
    <xf numFmtId="0" fontId="79" fillId="7" borderId="2412" xfId="0" applyNumberFormat="1" applyFont="1" applyFill="1" applyBorder="1" applyAlignment="1">
      <alignment horizontal="center" vertical="center"/>
    </xf>
    <xf numFmtId="0" fontId="79" fillId="7" borderId="2413" xfId="0" applyNumberFormat="1" applyFont="1" applyFill="1" applyBorder="1" applyAlignment="1">
      <alignment horizontal="center" vertical="center"/>
    </xf>
    <xf numFmtId="0" fontId="79" fillId="7" borderId="2470" xfId="0" applyNumberFormat="1" applyFont="1" applyFill="1" applyBorder="1" applyAlignment="1">
      <alignment horizontal="center" vertical="center"/>
    </xf>
    <xf numFmtId="0" fontId="79" fillId="7" borderId="2471" xfId="0" applyNumberFormat="1" applyFont="1" applyFill="1" applyBorder="1" applyAlignment="1">
      <alignment horizontal="center" vertical="center"/>
    </xf>
    <xf numFmtId="0" fontId="79" fillId="7" borderId="2472" xfId="0" applyNumberFormat="1" applyFont="1" applyFill="1" applyBorder="1" applyAlignment="1">
      <alignment horizontal="center" vertical="center"/>
    </xf>
    <xf numFmtId="0" fontId="79" fillId="7" borderId="2473" xfId="0" applyNumberFormat="1" applyFont="1" applyFill="1" applyBorder="1" applyAlignment="1">
      <alignment horizontal="center" vertical="center"/>
    </xf>
    <xf numFmtId="0" fontId="79" fillId="7" borderId="2474" xfId="0" applyNumberFormat="1" applyFont="1" applyFill="1" applyBorder="1" applyAlignment="1">
      <alignment horizontal="center" vertical="center"/>
    </xf>
    <xf numFmtId="0" fontId="79" fillId="7" borderId="2475" xfId="0" applyNumberFormat="1" applyFont="1" applyFill="1" applyBorder="1" applyAlignment="1">
      <alignment horizontal="center" vertical="center"/>
    </xf>
    <xf numFmtId="0" fontId="79" fillId="7" borderId="2476" xfId="0" applyNumberFormat="1" applyFont="1" applyFill="1" applyBorder="1" applyAlignment="1">
      <alignment horizontal="center" vertical="center"/>
    </xf>
    <xf numFmtId="0" fontId="79" fillId="7" borderId="2477" xfId="0" applyNumberFormat="1" applyFont="1" applyFill="1" applyBorder="1" applyAlignment="1">
      <alignment horizontal="center" vertical="center"/>
    </xf>
    <xf numFmtId="0" fontId="79" fillId="7" borderId="2478" xfId="0" applyNumberFormat="1" applyFont="1" applyFill="1" applyBorder="1" applyAlignment="1">
      <alignment horizontal="center" vertical="center"/>
    </xf>
    <xf numFmtId="0" fontId="79" fillId="7" borderId="2479" xfId="0" applyNumberFormat="1" applyFont="1" applyFill="1" applyBorder="1" applyAlignment="1">
      <alignment horizontal="center" vertical="center"/>
    </xf>
    <xf numFmtId="0" fontId="79" fillId="7" borderId="2480" xfId="0" applyNumberFormat="1" applyFont="1" applyFill="1" applyBorder="1" applyAlignment="1">
      <alignment horizontal="center" vertical="center"/>
    </xf>
    <xf numFmtId="0" fontId="77" fillId="7" borderId="2414" xfId="0" applyNumberFormat="1" applyFont="1" applyFill="1" applyBorder="1" applyAlignment="1">
      <alignment horizontal="center" vertical="center"/>
    </xf>
    <xf numFmtId="0" fontId="77" fillId="7" borderId="2415" xfId="0" applyNumberFormat="1" applyFont="1" applyFill="1" applyBorder="1" applyAlignment="1">
      <alignment horizontal="center" vertical="center"/>
    </xf>
    <xf numFmtId="0" fontId="77" fillId="7" borderId="2416" xfId="0" applyNumberFormat="1" applyFont="1" applyFill="1" applyBorder="1" applyAlignment="1">
      <alignment horizontal="center" vertical="center"/>
    </xf>
    <xf numFmtId="0" fontId="77" fillId="7" borderId="2417" xfId="0" applyNumberFormat="1" applyFont="1" applyFill="1" applyBorder="1" applyAlignment="1">
      <alignment horizontal="center" vertical="center"/>
    </xf>
    <xf numFmtId="0" fontId="77" fillId="7" borderId="2418" xfId="0" applyNumberFormat="1" applyFont="1" applyFill="1" applyBorder="1" applyAlignment="1">
      <alignment horizontal="center" vertical="center"/>
    </xf>
    <xf numFmtId="0" fontId="77" fillId="7" borderId="2419" xfId="0" applyNumberFormat="1" applyFont="1" applyFill="1" applyBorder="1" applyAlignment="1">
      <alignment horizontal="center" vertical="center"/>
    </xf>
    <xf numFmtId="0" fontId="77" fillId="7" borderId="2420" xfId="0" applyNumberFormat="1" applyFont="1" applyFill="1" applyBorder="1" applyAlignment="1">
      <alignment horizontal="center" vertical="center"/>
    </xf>
    <xf numFmtId="0" fontId="77" fillId="7" borderId="2421" xfId="0" applyNumberFormat="1" applyFont="1" applyFill="1" applyBorder="1" applyAlignment="1">
      <alignment horizontal="center" vertical="center"/>
    </xf>
    <xf numFmtId="0" fontId="77" fillId="7" borderId="2422" xfId="0" applyNumberFormat="1" applyFont="1" applyFill="1" applyBorder="1" applyAlignment="1">
      <alignment horizontal="center" vertical="center"/>
    </xf>
    <xf numFmtId="0" fontId="77" fillId="7" borderId="2423" xfId="0" applyNumberFormat="1" applyFont="1" applyFill="1" applyBorder="1" applyAlignment="1">
      <alignment horizontal="center" vertical="center"/>
    </xf>
    <xf numFmtId="0" fontId="77" fillId="7" borderId="2424" xfId="0" applyNumberFormat="1" applyFont="1" applyFill="1" applyBorder="1" applyAlignment="1">
      <alignment horizontal="center" vertical="center"/>
    </xf>
    <xf numFmtId="0" fontId="77" fillId="7" borderId="2425" xfId="0" applyNumberFormat="1" applyFont="1" applyFill="1" applyBorder="1" applyAlignment="1">
      <alignment horizontal="center" vertical="center"/>
    </xf>
    <xf numFmtId="0" fontId="77" fillId="7" borderId="2426" xfId="0" applyNumberFormat="1" applyFont="1" applyFill="1" applyBorder="1" applyAlignment="1">
      <alignment horizontal="center" vertical="center"/>
    </xf>
    <xf numFmtId="0" fontId="77" fillId="7" borderId="2427" xfId="0" applyNumberFormat="1" applyFont="1" applyFill="1" applyBorder="1" applyAlignment="1">
      <alignment horizontal="center" vertical="center"/>
    </xf>
    <xf numFmtId="0" fontId="77" fillId="7" borderId="2428" xfId="0" applyNumberFormat="1" applyFont="1" applyFill="1" applyBorder="1" applyAlignment="1">
      <alignment horizontal="center" vertical="center"/>
    </xf>
    <xf numFmtId="0" fontId="77" fillId="7" borderId="2429" xfId="0" applyNumberFormat="1" applyFont="1" applyFill="1" applyBorder="1" applyAlignment="1">
      <alignment horizontal="center" vertical="center"/>
    </xf>
    <xf numFmtId="0" fontId="77" fillId="7" borderId="2430" xfId="0" applyNumberFormat="1" applyFont="1" applyFill="1" applyBorder="1" applyAlignment="1">
      <alignment horizontal="center" vertical="center"/>
    </xf>
    <xf numFmtId="0" fontId="77" fillId="7" borderId="2431" xfId="0" applyNumberFormat="1" applyFont="1" applyFill="1" applyBorder="1" applyAlignment="1">
      <alignment horizontal="center" vertical="center"/>
    </xf>
    <xf numFmtId="0" fontId="77" fillId="7" borderId="2432" xfId="0" applyNumberFormat="1" applyFont="1" applyFill="1" applyBorder="1" applyAlignment="1">
      <alignment horizontal="center" vertical="center"/>
    </xf>
    <xf numFmtId="0" fontId="77" fillId="7" borderId="2433" xfId="0" applyNumberFormat="1" applyFont="1" applyFill="1" applyBorder="1" applyAlignment="1">
      <alignment horizontal="center" vertical="center"/>
    </xf>
    <xf numFmtId="0" fontId="77" fillId="7" borderId="2481" xfId="0" applyNumberFormat="1" applyFont="1" applyFill="1" applyBorder="1" applyAlignment="1">
      <alignment horizontal="center" vertical="center"/>
    </xf>
    <xf numFmtId="0" fontId="77" fillId="7" borderId="2482" xfId="0" applyNumberFormat="1" applyFont="1" applyFill="1" applyBorder="1" applyAlignment="1">
      <alignment horizontal="center" vertical="center"/>
    </xf>
    <xf numFmtId="0" fontId="77" fillId="7" borderId="2483" xfId="0" applyNumberFormat="1" applyFont="1" applyFill="1" applyBorder="1" applyAlignment="1">
      <alignment horizontal="center" vertical="center"/>
    </xf>
    <xf numFmtId="0" fontId="77" fillId="7" borderId="2484" xfId="0" applyNumberFormat="1" applyFont="1" applyFill="1" applyBorder="1" applyAlignment="1">
      <alignment horizontal="center" vertical="center"/>
    </xf>
    <xf numFmtId="0" fontId="77" fillId="7" borderId="2485" xfId="0" applyNumberFormat="1" applyFont="1" applyFill="1" applyBorder="1" applyAlignment="1">
      <alignment horizontal="center" vertical="center"/>
    </xf>
    <xf numFmtId="0" fontId="77" fillId="7" borderId="2486" xfId="0" applyNumberFormat="1" applyFont="1" applyFill="1" applyBorder="1" applyAlignment="1">
      <alignment horizontal="center" vertical="center"/>
    </xf>
    <xf numFmtId="0" fontId="77" fillId="7" borderId="2487" xfId="0" applyNumberFormat="1" applyFont="1" applyFill="1" applyBorder="1" applyAlignment="1">
      <alignment horizontal="center" vertical="center"/>
    </xf>
    <xf numFmtId="0" fontId="77" fillId="7" borderId="2488" xfId="0" applyNumberFormat="1" applyFont="1" applyFill="1" applyBorder="1" applyAlignment="1">
      <alignment horizontal="center" vertical="center"/>
    </xf>
    <xf numFmtId="0" fontId="77" fillId="7" borderId="2489" xfId="0" applyNumberFormat="1" applyFont="1" applyFill="1" applyBorder="1" applyAlignment="1">
      <alignment horizontal="center" vertical="center"/>
    </xf>
    <xf numFmtId="0" fontId="77" fillId="7" borderId="2490" xfId="0" applyNumberFormat="1" applyFont="1" applyFill="1" applyBorder="1" applyAlignment="1">
      <alignment horizontal="center" vertical="center"/>
    </xf>
    <xf numFmtId="0" fontId="77" fillId="7" borderId="2491" xfId="0" applyNumberFormat="1" applyFont="1" applyFill="1" applyBorder="1" applyAlignment="1">
      <alignment horizontal="center" vertical="center"/>
    </xf>
    <xf numFmtId="0" fontId="77" fillId="7" borderId="2492" xfId="0" applyNumberFormat="1" applyFont="1" applyFill="1" applyBorder="1" applyAlignment="1">
      <alignment horizontal="center" vertical="center"/>
    </xf>
    <xf numFmtId="0" fontId="77" fillId="7" borderId="2493" xfId="0" applyNumberFormat="1" applyFont="1" applyFill="1" applyBorder="1" applyAlignment="1">
      <alignment horizontal="center" vertical="center"/>
    </xf>
    <xf numFmtId="0" fontId="77" fillId="7" borderId="2494" xfId="0" applyNumberFormat="1" applyFont="1" applyFill="1" applyBorder="1" applyAlignment="1">
      <alignment horizontal="center" vertical="center"/>
    </xf>
    <xf numFmtId="0" fontId="77" fillId="7" borderId="2495" xfId="0" applyNumberFormat="1" applyFont="1" applyFill="1" applyBorder="1" applyAlignment="1">
      <alignment horizontal="center" vertical="center"/>
    </xf>
    <xf numFmtId="0" fontId="77" fillId="7" borderId="2496" xfId="0" applyNumberFormat="1" applyFont="1" applyFill="1" applyBorder="1" applyAlignment="1">
      <alignment horizontal="center" vertical="center"/>
    </xf>
    <xf numFmtId="0" fontId="77" fillId="7" borderId="2497" xfId="0" applyNumberFormat="1" applyFont="1" applyFill="1" applyBorder="1" applyAlignment="1">
      <alignment horizontal="center" vertical="center"/>
    </xf>
    <xf numFmtId="0" fontId="77" fillId="7" borderId="2498" xfId="0" applyNumberFormat="1" applyFont="1" applyFill="1" applyBorder="1" applyAlignment="1">
      <alignment horizontal="center" vertical="center"/>
    </xf>
    <xf numFmtId="0" fontId="77" fillId="7" borderId="2499" xfId="0" applyNumberFormat="1" applyFont="1" applyFill="1" applyBorder="1" applyAlignment="1">
      <alignment horizontal="center" vertical="center"/>
    </xf>
    <xf numFmtId="0" fontId="77" fillId="7" borderId="2500" xfId="0" applyNumberFormat="1" applyFont="1" applyFill="1" applyBorder="1" applyAlignment="1">
      <alignment horizontal="center" vertical="center"/>
    </xf>
    <xf numFmtId="0" fontId="77" fillId="7" borderId="2501" xfId="0" applyNumberFormat="1" applyFont="1" applyFill="1" applyBorder="1" applyAlignment="1">
      <alignment horizontal="center" vertical="center"/>
    </xf>
    <xf numFmtId="0" fontId="77" fillId="7" borderId="2300" xfId="0" applyNumberFormat="1" applyFont="1" applyFill="1" applyBorder="1" applyAlignment="1">
      <alignment horizontal="center" vertical="center"/>
    </xf>
    <xf numFmtId="0" fontId="77" fillId="7" borderId="2301" xfId="0" applyNumberFormat="1" applyFont="1" applyFill="1" applyBorder="1" applyAlignment="1">
      <alignment horizontal="center" vertical="center"/>
    </xf>
    <xf numFmtId="0" fontId="77" fillId="7" borderId="2302" xfId="0" applyNumberFormat="1" applyFont="1" applyFill="1" applyBorder="1" applyAlignment="1">
      <alignment horizontal="center" vertical="center"/>
    </xf>
    <xf numFmtId="0" fontId="77" fillId="7" borderId="2303" xfId="0" applyNumberFormat="1" applyFont="1" applyFill="1" applyBorder="1" applyAlignment="1">
      <alignment horizontal="center" vertical="center"/>
    </xf>
    <xf numFmtId="0" fontId="77" fillId="7" borderId="2304" xfId="0" applyNumberFormat="1" applyFont="1" applyFill="1" applyBorder="1" applyAlignment="1">
      <alignment horizontal="center" vertical="center"/>
    </xf>
    <xf numFmtId="0" fontId="77" fillId="7" borderId="2305" xfId="0" applyNumberFormat="1" applyFont="1" applyFill="1" applyBorder="1" applyAlignment="1">
      <alignment horizontal="center" vertical="center"/>
    </xf>
    <xf numFmtId="0" fontId="77" fillId="7" borderId="2306" xfId="0" applyNumberFormat="1" applyFont="1" applyFill="1" applyBorder="1" applyAlignment="1">
      <alignment horizontal="center" vertical="center"/>
    </xf>
    <xf numFmtId="0" fontId="77" fillId="7" borderId="2307" xfId="0" applyNumberFormat="1" applyFont="1" applyFill="1" applyBorder="1" applyAlignment="1">
      <alignment horizontal="center" vertical="center"/>
    </xf>
    <xf numFmtId="0" fontId="77" fillId="7" borderId="2308" xfId="0" applyNumberFormat="1" applyFont="1" applyFill="1" applyBorder="1" applyAlignment="1">
      <alignment horizontal="center" vertical="center"/>
    </xf>
    <xf numFmtId="0" fontId="77" fillId="7" borderId="2309" xfId="0" applyNumberFormat="1" applyFont="1" applyFill="1" applyBorder="1" applyAlignment="1">
      <alignment horizontal="center" vertical="center"/>
    </xf>
    <xf numFmtId="0" fontId="77" fillId="7" borderId="2310" xfId="0" applyNumberFormat="1" applyFont="1" applyFill="1" applyBorder="1" applyAlignment="1">
      <alignment horizontal="center" vertical="center"/>
    </xf>
    <xf numFmtId="0" fontId="77" fillId="7" borderId="2311" xfId="0" applyNumberFormat="1" applyFont="1" applyFill="1" applyBorder="1" applyAlignment="1">
      <alignment horizontal="center" vertical="center"/>
    </xf>
    <xf numFmtId="0" fontId="77" fillId="7" borderId="2312" xfId="0" applyNumberFormat="1" applyFont="1" applyFill="1" applyBorder="1" applyAlignment="1">
      <alignment horizontal="center" vertical="center"/>
    </xf>
    <xf numFmtId="0" fontId="77" fillId="7" borderId="2313" xfId="0" applyNumberFormat="1" applyFont="1" applyFill="1" applyBorder="1" applyAlignment="1">
      <alignment horizontal="center" vertical="center"/>
    </xf>
    <xf numFmtId="0" fontId="77" fillId="7" borderId="2314" xfId="0" applyNumberFormat="1" applyFont="1" applyFill="1" applyBorder="1" applyAlignment="1">
      <alignment horizontal="center" vertical="center"/>
    </xf>
    <xf numFmtId="0" fontId="77" fillId="7" borderId="2315" xfId="0" applyNumberFormat="1" applyFont="1" applyFill="1" applyBorder="1" applyAlignment="1">
      <alignment horizontal="center" vertical="center"/>
    </xf>
    <xf numFmtId="0" fontId="77" fillId="7" borderId="2316" xfId="0" applyNumberFormat="1" applyFont="1" applyFill="1" applyBorder="1" applyAlignment="1">
      <alignment horizontal="center" vertical="center"/>
    </xf>
    <xf numFmtId="0" fontId="77" fillId="7" borderId="2317" xfId="0" applyNumberFormat="1" applyFont="1" applyFill="1" applyBorder="1" applyAlignment="1">
      <alignment horizontal="center" vertical="center"/>
    </xf>
    <xf numFmtId="0" fontId="77" fillId="7" borderId="2318" xfId="0" applyNumberFormat="1" applyFont="1" applyFill="1" applyBorder="1" applyAlignment="1">
      <alignment horizontal="center" vertical="center"/>
    </xf>
    <xf numFmtId="0" fontId="77" fillId="7" borderId="2319" xfId="0" applyNumberFormat="1" applyFont="1" applyFill="1" applyBorder="1" applyAlignment="1">
      <alignment horizontal="center" vertical="center"/>
    </xf>
    <xf numFmtId="0" fontId="77" fillId="7" borderId="2337" xfId="0" applyNumberFormat="1" applyFont="1" applyFill="1" applyBorder="1" applyAlignment="1">
      <alignment horizontal="center" vertical="center"/>
    </xf>
    <xf numFmtId="0" fontId="77" fillId="7" borderId="2338" xfId="0" applyNumberFormat="1" applyFont="1" applyFill="1" applyBorder="1" applyAlignment="1">
      <alignment horizontal="center" vertical="center"/>
    </xf>
    <xf numFmtId="0" fontId="77" fillId="7" borderId="2339" xfId="0" applyNumberFormat="1" applyFont="1" applyFill="1" applyBorder="1" applyAlignment="1">
      <alignment horizontal="center" vertical="center"/>
    </xf>
    <xf numFmtId="0" fontId="77" fillId="7" borderId="2340" xfId="0" applyNumberFormat="1" applyFont="1" applyFill="1" applyBorder="1" applyAlignment="1">
      <alignment horizontal="center" vertical="center"/>
    </xf>
    <xf numFmtId="0" fontId="77" fillId="7" borderId="2341" xfId="0" applyNumberFormat="1" applyFont="1" applyFill="1" applyBorder="1" applyAlignment="1">
      <alignment horizontal="center" vertical="center"/>
    </xf>
    <xf numFmtId="0" fontId="77" fillId="7" borderId="2342" xfId="0" applyNumberFormat="1" applyFont="1" applyFill="1" applyBorder="1" applyAlignment="1">
      <alignment horizontal="center" vertical="center"/>
    </xf>
    <xf numFmtId="0" fontId="77" fillId="7" borderId="2343" xfId="0" applyNumberFormat="1" applyFont="1" applyFill="1" applyBorder="1" applyAlignment="1">
      <alignment horizontal="center" vertical="center"/>
    </xf>
    <xf numFmtId="0" fontId="77" fillId="7" borderId="2344" xfId="0" applyNumberFormat="1" applyFont="1" applyFill="1" applyBorder="1" applyAlignment="1">
      <alignment horizontal="center" vertical="center"/>
    </xf>
    <xf numFmtId="0" fontId="77" fillId="7" borderId="2345" xfId="0" applyNumberFormat="1" applyFont="1" applyFill="1" applyBorder="1" applyAlignment="1">
      <alignment horizontal="center" vertical="center"/>
    </xf>
    <xf numFmtId="0" fontId="77" fillId="7" borderId="2346" xfId="0" applyNumberFormat="1" applyFont="1" applyFill="1" applyBorder="1" applyAlignment="1">
      <alignment horizontal="center" vertical="center"/>
    </xf>
    <xf numFmtId="0" fontId="77" fillId="7" borderId="2347" xfId="0" applyNumberFormat="1" applyFont="1" applyFill="1" applyBorder="1" applyAlignment="1">
      <alignment horizontal="center" vertical="center"/>
    </xf>
    <xf numFmtId="0" fontId="77" fillId="7" borderId="2348" xfId="0" applyNumberFormat="1" applyFont="1" applyFill="1" applyBorder="1" applyAlignment="1">
      <alignment horizontal="center" vertical="center"/>
    </xf>
    <xf numFmtId="0" fontId="77" fillId="7" borderId="2349" xfId="0" applyNumberFormat="1" applyFont="1" applyFill="1" applyBorder="1" applyAlignment="1">
      <alignment horizontal="center" vertical="center"/>
    </xf>
    <xf numFmtId="0" fontId="77" fillId="7" borderId="2350" xfId="0" applyNumberFormat="1" applyFont="1" applyFill="1" applyBorder="1" applyAlignment="1">
      <alignment horizontal="center" vertical="center"/>
    </xf>
    <xf numFmtId="0" fontId="77" fillId="7" borderId="2351" xfId="0" applyNumberFormat="1" applyFont="1" applyFill="1" applyBorder="1" applyAlignment="1">
      <alignment horizontal="center" vertical="center"/>
    </xf>
    <xf numFmtId="0" fontId="77" fillId="7" borderId="2352" xfId="0" applyNumberFormat="1" applyFont="1" applyFill="1" applyBorder="1" applyAlignment="1">
      <alignment horizontal="center" vertical="center"/>
    </xf>
    <xf numFmtId="0" fontId="77" fillId="7" borderId="2353" xfId="0" applyNumberFormat="1" applyFont="1" applyFill="1" applyBorder="1" applyAlignment="1">
      <alignment horizontal="center" vertical="center"/>
    </xf>
    <xf numFmtId="0" fontId="77" fillId="7" borderId="2354" xfId="0" applyNumberFormat="1" applyFont="1" applyFill="1" applyBorder="1" applyAlignment="1">
      <alignment horizontal="center" vertical="center"/>
    </xf>
    <xf numFmtId="0" fontId="77" fillId="7" borderId="2355" xfId="0" applyNumberFormat="1" applyFont="1" applyFill="1" applyBorder="1" applyAlignment="1">
      <alignment horizontal="center" vertical="center"/>
    </xf>
    <xf numFmtId="0" fontId="77" fillId="7" borderId="2356" xfId="0" applyNumberFormat="1" applyFont="1" applyFill="1" applyBorder="1" applyAlignment="1">
      <alignment horizontal="center" vertical="center"/>
    </xf>
    <xf numFmtId="0" fontId="77" fillId="7" borderId="2357" xfId="0" applyNumberFormat="1" applyFont="1" applyFill="1" applyBorder="1" applyAlignment="1">
      <alignment horizontal="center" vertical="center"/>
    </xf>
    <xf numFmtId="0" fontId="79" fillId="7" borderId="2290" xfId="0" applyNumberFormat="1" applyFont="1" applyFill="1" applyBorder="1" applyAlignment="1">
      <alignment horizontal="center" vertical="center"/>
    </xf>
    <xf numFmtId="0" fontId="79" fillId="7" borderId="2291" xfId="0" applyNumberFormat="1" applyFont="1" applyFill="1" applyBorder="1" applyAlignment="1">
      <alignment horizontal="center" vertical="center"/>
    </xf>
    <xf numFmtId="0" fontId="79" fillId="7" borderId="2292" xfId="0" applyNumberFormat="1" applyFont="1" applyFill="1" applyBorder="1" applyAlignment="1">
      <alignment horizontal="center" vertical="center"/>
    </xf>
    <xf numFmtId="0" fontId="79" fillId="7" borderId="2293" xfId="0" applyNumberFormat="1" applyFont="1" applyFill="1" applyBorder="1" applyAlignment="1">
      <alignment horizontal="center" vertical="center"/>
    </xf>
    <xf numFmtId="0" fontId="79" fillId="7" borderId="2294" xfId="0" applyNumberFormat="1" applyFont="1" applyFill="1" applyBorder="1" applyAlignment="1">
      <alignment horizontal="center" vertical="center"/>
    </xf>
    <xf numFmtId="0" fontId="79" fillId="7" borderId="2295" xfId="0" applyNumberFormat="1" applyFont="1" applyFill="1" applyBorder="1" applyAlignment="1">
      <alignment horizontal="center" vertical="center"/>
    </xf>
    <xf numFmtId="0" fontId="79" fillId="7" borderId="2296" xfId="0" applyNumberFormat="1" applyFont="1" applyFill="1" applyBorder="1" applyAlignment="1">
      <alignment horizontal="center" vertical="center"/>
    </xf>
    <xf numFmtId="0" fontId="79" fillId="7" borderId="2297" xfId="0" applyNumberFormat="1" applyFont="1" applyFill="1" applyBorder="1" applyAlignment="1">
      <alignment horizontal="center" vertical="center"/>
    </xf>
    <xf numFmtId="0" fontId="79" fillId="7" borderId="2298" xfId="0" applyNumberFormat="1" applyFont="1" applyFill="1" applyBorder="1" applyAlignment="1">
      <alignment horizontal="center" vertical="center"/>
    </xf>
    <xf numFmtId="0" fontId="79" fillId="7" borderId="2299" xfId="0" applyNumberFormat="1" applyFont="1" applyFill="1" applyBorder="1" applyAlignment="1">
      <alignment horizontal="center" vertical="center"/>
    </xf>
    <xf numFmtId="0" fontId="79" fillId="7" borderId="2326" xfId="0" applyNumberFormat="1" applyFont="1" applyFill="1" applyBorder="1" applyAlignment="1">
      <alignment horizontal="center" vertical="center"/>
    </xf>
    <xf numFmtId="0" fontId="79" fillId="7" borderId="2327" xfId="0" applyNumberFormat="1" applyFont="1" applyFill="1" applyBorder="1" applyAlignment="1">
      <alignment horizontal="center" vertical="center"/>
    </xf>
    <xf numFmtId="0" fontId="79" fillId="7" borderId="2328" xfId="0" applyNumberFormat="1" applyFont="1" applyFill="1" applyBorder="1" applyAlignment="1">
      <alignment horizontal="center" vertical="center"/>
    </xf>
    <xf numFmtId="0" fontId="79" fillId="7" borderId="2329" xfId="0" applyNumberFormat="1" applyFont="1" applyFill="1" applyBorder="1" applyAlignment="1">
      <alignment horizontal="center" vertical="center"/>
    </xf>
    <xf numFmtId="0" fontId="79" fillId="7" borderId="2330" xfId="0" applyNumberFormat="1" applyFont="1" applyFill="1" applyBorder="1" applyAlignment="1">
      <alignment horizontal="center" vertical="center"/>
    </xf>
    <xf numFmtId="0" fontId="79" fillId="7" borderId="2331" xfId="0" applyNumberFormat="1" applyFont="1" applyFill="1" applyBorder="1" applyAlignment="1">
      <alignment horizontal="center" vertical="center"/>
    </xf>
    <xf numFmtId="0" fontId="79" fillId="7" borderId="2332" xfId="0" applyNumberFormat="1" applyFont="1" applyFill="1" applyBorder="1" applyAlignment="1">
      <alignment horizontal="center" vertical="center"/>
    </xf>
    <xf numFmtId="0" fontId="79" fillId="7" borderId="2333" xfId="0" applyNumberFormat="1" applyFont="1" applyFill="1" applyBorder="1" applyAlignment="1">
      <alignment horizontal="center" vertical="center"/>
    </xf>
    <xf numFmtId="0" fontId="79" fillId="7" borderId="2334" xfId="0" applyNumberFormat="1" applyFont="1" applyFill="1" applyBorder="1" applyAlignment="1">
      <alignment horizontal="center" vertical="center"/>
    </xf>
    <xf numFmtId="0" fontId="79" fillId="7" borderId="2335" xfId="0" applyNumberFormat="1" applyFont="1" applyFill="1" applyBorder="1" applyAlignment="1">
      <alignment horizontal="center" vertical="center"/>
    </xf>
    <xf numFmtId="0" fontId="79" fillId="7" borderId="2336" xfId="0" applyNumberFormat="1" applyFont="1" applyFill="1" applyBorder="1" applyAlignment="1">
      <alignment horizontal="center" vertical="center"/>
    </xf>
    <xf numFmtId="170" fontId="21" fillId="7" borderId="2325" xfId="0" applyNumberFormat="1" applyFont="1" applyFill="1" applyBorder="1" applyAlignment="1">
      <alignment horizontal="center" vertical="center" wrapText="1"/>
    </xf>
    <xf numFmtId="170" fontId="21" fillId="7" borderId="2324" xfId="0" applyNumberFormat="1" applyFont="1" applyFill="1" applyBorder="1" applyAlignment="1">
      <alignment horizontal="center" vertical="center" wrapText="1"/>
    </xf>
    <xf numFmtId="170" fontId="21" fillId="7" borderId="2322" xfId="0" applyNumberFormat="1" applyFont="1" applyFill="1" applyBorder="1" applyAlignment="1">
      <alignment horizontal="center" vertical="center" wrapText="1"/>
    </xf>
    <xf numFmtId="170" fontId="21" fillId="7" borderId="2323" xfId="0" applyNumberFormat="1" applyFont="1" applyFill="1" applyBorder="1" applyAlignment="1">
      <alignment horizontal="center" vertical="center" wrapText="1"/>
    </xf>
    <xf numFmtId="170" fontId="21" fillId="7" borderId="2288" xfId="0" applyNumberFormat="1" applyFont="1" applyFill="1" applyBorder="1" applyAlignment="1">
      <alignment horizontal="center" vertical="center" wrapText="1"/>
    </xf>
    <xf numFmtId="170" fontId="21" fillId="7" borderId="2289" xfId="0" applyNumberFormat="1" applyFont="1" applyFill="1" applyBorder="1" applyAlignment="1">
      <alignment horizontal="center" vertical="center" wrapText="1"/>
    </xf>
    <xf numFmtId="170" fontId="21" fillId="7" borderId="2286" xfId="0" applyNumberFormat="1" applyFont="1" applyFill="1" applyBorder="1" applyAlignment="1">
      <alignment horizontal="center" vertical="center" wrapText="1"/>
    </xf>
    <xf numFmtId="170" fontId="21" fillId="7" borderId="2287" xfId="0" applyNumberFormat="1" applyFont="1" applyFill="1" applyBorder="1" applyAlignment="1">
      <alignment horizontal="center" vertical="center" wrapText="1"/>
    </xf>
    <xf numFmtId="170" fontId="17" fillId="7" borderId="1955" xfId="0" applyNumberFormat="1" applyFont="1" applyFill="1" applyBorder="1" applyAlignment="1">
      <alignment horizontal="center" vertical="center" wrapText="1"/>
    </xf>
    <xf numFmtId="170" fontId="17" fillId="7" borderId="1956" xfId="0" applyNumberFormat="1" applyFont="1" applyFill="1" applyBorder="1" applyAlignment="1">
      <alignment horizontal="center" vertical="center" wrapText="1"/>
    </xf>
    <xf numFmtId="170" fontId="17" fillId="7" borderId="1957" xfId="0" applyNumberFormat="1" applyFont="1" applyFill="1" applyBorder="1" applyAlignment="1">
      <alignment horizontal="center" vertical="center" wrapText="1"/>
    </xf>
    <xf numFmtId="170" fontId="17" fillId="7" borderId="1958" xfId="0" applyNumberFormat="1" applyFont="1" applyFill="1" applyBorder="1" applyAlignment="1">
      <alignment horizontal="center" vertical="center" wrapText="1"/>
    </xf>
    <xf numFmtId="170" fontId="17" fillId="7" borderId="1959" xfId="0" applyNumberFormat="1" applyFont="1" applyFill="1" applyBorder="1" applyAlignment="1">
      <alignment horizontal="center" vertical="center" wrapText="1"/>
    </xf>
    <xf numFmtId="170" fontId="17" fillId="7" borderId="1960" xfId="0" applyNumberFormat="1" applyFont="1" applyFill="1" applyBorder="1" applyAlignment="1">
      <alignment horizontal="center" vertical="center" wrapText="1"/>
    </xf>
    <xf numFmtId="170" fontId="17" fillId="7" borderId="1961" xfId="0" applyNumberFormat="1" applyFont="1" applyFill="1" applyBorder="1" applyAlignment="1">
      <alignment horizontal="center" vertical="center" wrapText="1"/>
    </xf>
    <xf numFmtId="170" fontId="17" fillId="7" borderId="1962" xfId="0" applyNumberFormat="1" applyFont="1" applyFill="1" applyBorder="1" applyAlignment="1">
      <alignment horizontal="center" vertical="center" wrapText="1"/>
    </xf>
    <xf numFmtId="170" fontId="17" fillId="7" borderId="1963" xfId="0" applyNumberFormat="1" applyFont="1" applyFill="1" applyBorder="1" applyAlignment="1">
      <alignment horizontal="center" vertical="center" wrapText="1"/>
    </xf>
    <xf numFmtId="170" fontId="17" fillId="7" borderId="1964" xfId="0" applyNumberFormat="1" applyFont="1" applyFill="1" applyBorder="1" applyAlignment="1">
      <alignment horizontal="center" vertical="center" wrapText="1"/>
    </xf>
    <xf numFmtId="170" fontId="17" fillId="7" borderId="1965" xfId="0" applyNumberFormat="1" applyFont="1" applyFill="1" applyBorder="1" applyAlignment="1">
      <alignment horizontal="center" vertical="center" wrapText="1"/>
    </xf>
    <xf numFmtId="170" fontId="17" fillId="7" borderId="1966" xfId="0" applyNumberFormat="1" applyFont="1" applyFill="1" applyBorder="1" applyAlignment="1">
      <alignment horizontal="center" vertical="center" wrapText="1"/>
    </xf>
    <xf numFmtId="170" fontId="17" fillId="7" borderId="1967" xfId="0" applyNumberFormat="1" applyFont="1" applyFill="1" applyBorder="1" applyAlignment="1">
      <alignment horizontal="center" vertical="center" wrapText="1"/>
    </xf>
    <xf numFmtId="0" fontId="79" fillId="7" borderId="1968" xfId="0" applyNumberFormat="1" applyFont="1" applyFill="1" applyBorder="1" applyAlignment="1">
      <alignment horizontal="center" vertical="center"/>
    </xf>
    <xf numFmtId="0" fontId="79" fillId="7" borderId="1969" xfId="0" applyNumberFormat="1" applyFont="1" applyFill="1" applyBorder="1" applyAlignment="1">
      <alignment horizontal="center" vertical="center"/>
    </xf>
    <xf numFmtId="0" fontId="79" fillId="7" borderId="1970" xfId="0" applyNumberFormat="1" applyFont="1" applyFill="1" applyBorder="1" applyAlignment="1">
      <alignment horizontal="center" vertical="center"/>
    </xf>
    <xf numFmtId="0" fontId="79" fillId="7" borderId="1971" xfId="0" applyNumberFormat="1" applyFont="1" applyFill="1" applyBorder="1" applyAlignment="1">
      <alignment horizontal="center" vertical="center"/>
    </xf>
    <xf numFmtId="0" fontId="79" fillId="7" borderId="1972" xfId="0" applyNumberFormat="1" applyFont="1" applyFill="1" applyBorder="1" applyAlignment="1">
      <alignment horizontal="center" vertical="center"/>
    </xf>
    <xf numFmtId="0" fontId="79" fillId="7" borderId="1973" xfId="0" applyNumberFormat="1" applyFont="1" applyFill="1" applyBorder="1" applyAlignment="1">
      <alignment horizontal="center" vertical="center"/>
    </xf>
    <xf numFmtId="0" fontId="79" fillId="7" borderId="1974" xfId="0" applyNumberFormat="1" applyFont="1" applyFill="1" applyBorder="1" applyAlignment="1">
      <alignment horizontal="center" vertical="center"/>
    </xf>
    <xf numFmtId="0" fontId="79" fillId="7" borderId="1975" xfId="0" applyNumberFormat="1" applyFont="1" applyFill="1" applyBorder="1" applyAlignment="1">
      <alignment horizontal="center" vertical="center"/>
    </xf>
    <xf numFmtId="0" fontId="79" fillId="7" borderId="1976" xfId="0" applyNumberFormat="1" applyFont="1" applyFill="1" applyBorder="1" applyAlignment="1">
      <alignment horizontal="center" vertical="center"/>
    </xf>
    <xf numFmtId="0" fontId="79" fillId="7" borderId="1977" xfId="0" applyNumberFormat="1" applyFont="1" applyFill="1" applyBorder="1" applyAlignment="1">
      <alignment horizontal="center" vertical="center"/>
    </xf>
    <xf numFmtId="0" fontId="79" fillId="7" borderId="2034" xfId="0" applyNumberFormat="1" applyFont="1" applyFill="1" applyBorder="1" applyAlignment="1">
      <alignment horizontal="center" vertical="center"/>
    </xf>
    <xf numFmtId="0" fontId="79" fillId="7" borderId="2035" xfId="0" applyNumberFormat="1" applyFont="1" applyFill="1" applyBorder="1" applyAlignment="1">
      <alignment horizontal="center" vertical="center"/>
    </xf>
    <xf numFmtId="0" fontId="79" fillId="7" borderId="2036" xfId="0" applyNumberFormat="1" applyFont="1" applyFill="1" applyBorder="1" applyAlignment="1">
      <alignment horizontal="center" vertical="center"/>
    </xf>
    <xf numFmtId="0" fontId="79" fillId="7" borderId="2037" xfId="0" applyNumberFormat="1" applyFont="1" applyFill="1" applyBorder="1" applyAlignment="1">
      <alignment horizontal="center" vertical="center"/>
    </xf>
    <xf numFmtId="0" fontId="79" fillId="7" borderId="2038" xfId="0" applyNumberFormat="1" applyFont="1" applyFill="1" applyBorder="1" applyAlignment="1">
      <alignment horizontal="center" vertical="center"/>
    </xf>
    <xf numFmtId="0" fontId="79" fillId="7" borderId="2039" xfId="0" applyNumberFormat="1" applyFont="1" applyFill="1" applyBorder="1" applyAlignment="1">
      <alignment horizontal="center" vertical="center"/>
    </xf>
    <xf numFmtId="0" fontId="79" fillId="7" borderId="2040" xfId="0" applyNumberFormat="1" applyFont="1" applyFill="1" applyBorder="1" applyAlignment="1">
      <alignment horizontal="center" vertical="center"/>
    </xf>
    <xf numFmtId="0" fontId="79" fillId="7" borderId="2041" xfId="0" applyNumberFormat="1" applyFont="1" applyFill="1" applyBorder="1" applyAlignment="1">
      <alignment horizontal="center" vertical="center"/>
    </xf>
    <xf numFmtId="0" fontId="79" fillId="7" borderId="2042" xfId="0" applyNumberFormat="1" applyFont="1" applyFill="1" applyBorder="1" applyAlignment="1">
      <alignment horizontal="center" vertical="center"/>
    </xf>
    <xf numFmtId="0" fontId="79" fillId="7" borderId="2043" xfId="0" applyNumberFormat="1" applyFont="1" applyFill="1" applyBorder="1" applyAlignment="1">
      <alignment horizontal="center" vertical="center"/>
    </xf>
    <xf numFmtId="0" fontId="79" fillId="7" borderId="2044" xfId="0" applyNumberFormat="1" applyFont="1" applyFill="1" applyBorder="1" applyAlignment="1">
      <alignment horizontal="center" vertical="center"/>
    </xf>
    <xf numFmtId="170" fontId="21" fillId="7" borderId="2030" xfId="0" applyNumberFormat="1" applyFont="1" applyFill="1" applyBorder="1" applyAlignment="1">
      <alignment horizontal="center" vertical="center" wrapText="1"/>
    </xf>
    <xf numFmtId="170" fontId="21" fillId="7" borderId="2031" xfId="0" applyNumberFormat="1" applyFont="1" applyFill="1" applyBorder="1" applyAlignment="1">
      <alignment horizontal="center" vertical="center" wrapText="1"/>
    </xf>
    <xf numFmtId="170" fontId="21" fillId="7" borderId="2033" xfId="0" applyNumberFormat="1" applyFont="1" applyFill="1" applyBorder="1" applyAlignment="1">
      <alignment horizontal="center" vertical="center" wrapText="1"/>
    </xf>
    <xf numFmtId="170" fontId="21" fillId="7" borderId="2032" xfId="0" applyNumberFormat="1" applyFont="1" applyFill="1" applyBorder="1" applyAlignment="1">
      <alignment horizontal="center" vertical="center" wrapText="1"/>
    </xf>
    <xf numFmtId="0" fontId="77" fillId="7" borderId="1978" xfId="0" applyNumberFormat="1" applyFont="1" applyFill="1" applyBorder="1" applyAlignment="1">
      <alignment horizontal="center" vertical="center"/>
    </xf>
    <xf numFmtId="0" fontId="77" fillId="7" borderId="1979" xfId="0" applyNumberFormat="1" applyFont="1" applyFill="1" applyBorder="1" applyAlignment="1">
      <alignment horizontal="center" vertical="center"/>
    </xf>
    <xf numFmtId="0" fontId="77" fillId="7" borderId="1980" xfId="0" applyNumberFormat="1" applyFont="1" applyFill="1" applyBorder="1" applyAlignment="1">
      <alignment horizontal="center" vertical="center"/>
    </xf>
    <xf numFmtId="0" fontId="77" fillId="7" borderId="1981" xfId="0" applyNumberFormat="1" applyFont="1" applyFill="1" applyBorder="1" applyAlignment="1">
      <alignment horizontal="center" vertical="center"/>
    </xf>
    <xf numFmtId="0" fontId="77" fillId="7" borderId="1982" xfId="0" applyNumberFormat="1" applyFont="1" applyFill="1" applyBorder="1" applyAlignment="1">
      <alignment horizontal="center" vertical="center"/>
    </xf>
    <xf numFmtId="0" fontId="77" fillId="7" borderId="1983" xfId="0" applyNumberFormat="1" applyFont="1" applyFill="1" applyBorder="1" applyAlignment="1">
      <alignment horizontal="center" vertical="center"/>
    </xf>
    <xf numFmtId="0" fontId="77" fillId="7" borderId="1984" xfId="0" applyNumberFormat="1" applyFont="1" applyFill="1" applyBorder="1" applyAlignment="1">
      <alignment horizontal="center" vertical="center"/>
    </xf>
    <xf numFmtId="0" fontId="77" fillId="7" borderId="1985" xfId="0" applyNumberFormat="1" applyFont="1" applyFill="1" applyBorder="1" applyAlignment="1">
      <alignment horizontal="center" vertical="center"/>
    </xf>
    <xf numFmtId="0" fontId="77" fillId="7" borderId="1986" xfId="0" applyNumberFormat="1" applyFont="1" applyFill="1" applyBorder="1" applyAlignment="1">
      <alignment horizontal="center" vertical="center"/>
    </xf>
    <xf numFmtId="0" fontId="77" fillId="7" borderId="1987" xfId="0" applyNumberFormat="1" applyFont="1" applyFill="1" applyBorder="1" applyAlignment="1">
      <alignment horizontal="center" vertical="center"/>
    </xf>
    <xf numFmtId="0" fontId="77" fillId="7" borderId="1988" xfId="0" applyNumberFormat="1" applyFont="1" applyFill="1" applyBorder="1" applyAlignment="1">
      <alignment horizontal="center" vertical="center"/>
    </xf>
    <xf numFmtId="0" fontId="77" fillId="7" borderId="1989" xfId="0" applyNumberFormat="1" applyFont="1" applyFill="1" applyBorder="1" applyAlignment="1">
      <alignment horizontal="center" vertical="center"/>
    </xf>
    <xf numFmtId="0" fontId="77" fillId="7" borderId="1990" xfId="0" applyNumberFormat="1" applyFont="1" applyFill="1" applyBorder="1" applyAlignment="1">
      <alignment horizontal="center" vertical="center"/>
    </xf>
    <xf numFmtId="0" fontId="77" fillId="7" borderId="1991" xfId="0" applyNumberFormat="1" applyFont="1" applyFill="1" applyBorder="1" applyAlignment="1">
      <alignment horizontal="center" vertical="center"/>
    </xf>
    <xf numFmtId="0" fontId="77" fillId="7" borderId="1992" xfId="0" applyNumberFormat="1" applyFont="1" applyFill="1" applyBorder="1" applyAlignment="1">
      <alignment horizontal="center" vertical="center"/>
    </xf>
    <xf numFmtId="0" fontId="77" fillId="7" borderId="1993" xfId="0" applyNumberFormat="1" applyFont="1" applyFill="1" applyBorder="1" applyAlignment="1">
      <alignment horizontal="center" vertical="center"/>
    </xf>
    <xf numFmtId="0" fontId="77" fillId="7" borderId="1994" xfId="0" applyNumberFormat="1" applyFont="1" applyFill="1" applyBorder="1" applyAlignment="1">
      <alignment horizontal="center" vertical="center"/>
    </xf>
    <xf numFmtId="0" fontId="77" fillId="7" borderId="1995" xfId="0" applyNumberFormat="1" applyFont="1" applyFill="1" applyBorder="1" applyAlignment="1">
      <alignment horizontal="center" vertical="center"/>
    </xf>
    <xf numFmtId="0" fontId="77" fillId="7" borderId="1996" xfId="0" applyNumberFormat="1" applyFont="1" applyFill="1" applyBorder="1" applyAlignment="1">
      <alignment horizontal="center" vertical="center"/>
    </xf>
    <xf numFmtId="0" fontId="77" fillId="7" borderId="1997" xfId="0" applyNumberFormat="1" applyFont="1" applyFill="1" applyBorder="1" applyAlignment="1">
      <alignment horizontal="center" vertical="center"/>
    </xf>
    <xf numFmtId="0" fontId="77" fillId="7" borderId="2045" xfId="0" applyNumberFormat="1" applyFont="1" applyFill="1" applyBorder="1" applyAlignment="1">
      <alignment horizontal="center" vertical="center"/>
    </xf>
    <xf numFmtId="0" fontId="77" fillId="7" borderId="2046" xfId="0" applyNumberFormat="1" applyFont="1" applyFill="1" applyBorder="1" applyAlignment="1">
      <alignment horizontal="center" vertical="center"/>
    </xf>
    <xf numFmtId="0" fontId="77" fillId="7" borderId="2047" xfId="0" applyNumberFormat="1" applyFont="1" applyFill="1" applyBorder="1" applyAlignment="1">
      <alignment horizontal="center" vertical="center"/>
    </xf>
    <xf numFmtId="0" fontId="77" fillId="7" borderId="2048" xfId="0" applyNumberFormat="1" applyFont="1" applyFill="1" applyBorder="1" applyAlignment="1">
      <alignment horizontal="center" vertical="center"/>
    </xf>
    <xf numFmtId="0" fontId="77" fillId="7" borderId="2049" xfId="0" applyNumberFormat="1" applyFont="1" applyFill="1" applyBorder="1" applyAlignment="1">
      <alignment horizontal="center" vertical="center"/>
    </xf>
    <xf numFmtId="0" fontId="77" fillId="7" borderId="2050" xfId="0" applyNumberFormat="1" applyFont="1" applyFill="1" applyBorder="1" applyAlignment="1">
      <alignment horizontal="center" vertical="center"/>
    </xf>
    <xf numFmtId="0" fontId="77" fillId="7" borderId="2051" xfId="0" applyNumberFormat="1" applyFont="1" applyFill="1" applyBorder="1" applyAlignment="1">
      <alignment horizontal="center" vertical="center"/>
    </xf>
    <xf numFmtId="0" fontId="77" fillId="7" borderId="2052" xfId="0" applyNumberFormat="1" applyFont="1" applyFill="1" applyBorder="1" applyAlignment="1">
      <alignment horizontal="center" vertical="center"/>
    </xf>
    <xf numFmtId="0" fontId="77" fillId="7" borderId="2053" xfId="0" applyNumberFormat="1" applyFont="1" applyFill="1" applyBorder="1" applyAlignment="1">
      <alignment horizontal="center" vertical="center"/>
    </xf>
    <xf numFmtId="0" fontId="77" fillId="7" borderId="2054" xfId="0" applyNumberFormat="1" applyFont="1" applyFill="1" applyBorder="1" applyAlignment="1">
      <alignment horizontal="center" vertical="center"/>
    </xf>
    <xf numFmtId="0" fontId="77" fillId="7" borderId="2055" xfId="0" applyNumberFormat="1" applyFont="1" applyFill="1" applyBorder="1" applyAlignment="1">
      <alignment horizontal="center" vertical="center"/>
    </xf>
    <xf numFmtId="0" fontId="77" fillId="7" borderId="2056" xfId="0" applyNumberFormat="1" applyFont="1" applyFill="1" applyBorder="1" applyAlignment="1">
      <alignment horizontal="center" vertical="center"/>
    </xf>
    <xf numFmtId="0" fontId="77" fillId="7" borderId="2057" xfId="0" applyNumberFormat="1" applyFont="1" applyFill="1" applyBorder="1" applyAlignment="1">
      <alignment horizontal="center" vertical="center"/>
    </xf>
    <xf numFmtId="0" fontId="77" fillId="7" borderId="2058" xfId="0" applyNumberFormat="1" applyFont="1" applyFill="1" applyBorder="1" applyAlignment="1">
      <alignment horizontal="center" vertical="center"/>
    </xf>
    <xf numFmtId="0" fontId="77" fillId="7" borderId="2059" xfId="0" applyNumberFormat="1" applyFont="1" applyFill="1" applyBorder="1" applyAlignment="1">
      <alignment horizontal="center" vertical="center"/>
    </xf>
    <xf numFmtId="0" fontId="77" fillId="7" borderId="2060" xfId="0" applyNumberFormat="1" applyFont="1" applyFill="1" applyBorder="1" applyAlignment="1">
      <alignment horizontal="center" vertical="center"/>
    </xf>
    <xf numFmtId="0" fontId="77" fillId="7" borderId="2061" xfId="0" applyNumberFormat="1" applyFont="1" applyFill="1" applyBorder="1" applyAlignment="1">
      <alignment horizontal="center" vertical="center"/>
    </xf>
    <xf numFmtId="0" fontId="77" fillId="7" borderId="2062" xfId="0" applyNumberFormat="1" applyFont="1" applyFill="1" applyBorder="1" applyAlignment="1">
      <alignment horizontal="center" vertical="center"/>
    </xf>
    <xf numFmtId="0" fontId="77" fillId="7" borderId="2063" xfId="0" applyNumberFormat="1" applyFont="1" applyFill="1" applyBorder="1" applyAlignment="1">
      <alignment horizontal="center" vertical="center"/>
    </xf>
    <xf numFmtId="0" fontId="77" fillId="7" borderId="2064" xfId="0" applyNumberFormat="1" applyFont="1" applyFill="1" applyBorder="1" applyAlignment="1">
      <alignment horizontal="center" vertical="center"/>
    </xf>
    <xf numFmtId="0" fontId="77" fillId="7" borderId="2065" xfId="0" applyNumberFormat="1" applyFont="1" applyFill="1" applyBorder="1" applyAlignment="1">
      <alignment horizontal="center" vertical="center"/>
    </xf>
    <xf numFmtId="170" fontId="21" fillId="7" borderId="2104" xfId="0" applyNumberFormat="1" applyFont="1" applyFill="1" applyBorder="1" applyAlignment="1">
      <alignment horizontal="center" vertical="center" wrapText="1"/>
    </xf>
    <xf numFmtId="170" fontId="21" fillId="7" borderId="2105" xfId="0" applyNumberFormat="1" applyFont="1" applyFill="1" applyBorder="1" applyAlignment="1">
      <alignment horizontal="center" vertical="center" wrapText="1"/>
    </xf>
    <xf numFmtId="170" fontId="21" fillId="7" borderId="2106" xfId="0" applyNumberFormat="1" applyFont="1" applyFill="1" applyBorder="1" applyAlignment="1">
      <alignment horizontal="center" vertical="center" wrapText="1"/>
    </xf>
    <xf numFmtId="170" fontId="21" fillId="7" borderId="2107" xfId="0" applyNumberFormat="1" applyFont="1" applyFill="1" applyBorder="1" applyAlignment="1">
      <alignment horizontal="center" vertical="center" wrapText="1"/>
    </xf>
    <xf numFmtId="170" fontId="17" fillId="7" borderId="2173" xfId="0" applyNumberFormat="1" applyFont="1" applyFill="1" applyBorder="1" applyAlignment="1">
      <alignment horizontal="center" vertical="center" wrapText="1"/>
    </xf>
    <xf numFmtId="170" fontId="17" fillId="7" borderId="2174" xfId="0" applyNumberFormat="1" applyFont="1" applyFill="1" applyBorder="1" applyAlignment="1">
      <alignment horizontal="center" vertical="center" wrapText="1"/>
    </xf>
    <xf numFmtId="170" fontId="17" fillId="7" borderId="2175" xfId="0" applyNumberFormat="1" applyFont="1" applyFill="1" applyBorder="1" applyAlignment="1">
      <alignment horizontal="center" vertical="center" wrapText="1"/>
    </xf>
    <xf numFmtId="170" fontId="17" fillId="7" borderId="2176" xfId="0" applyNumberFormat="1" applyFont="1" applyFill="1" applyBorder="1" applyAlignment="1">
      <alignment horizontal="center" vertical="center" wrapText="1"/>
    </xf>
    <xf numFmtId="170" fontId="17" fillId="7" borderId="2177" xfId="0" applyNumberFormat="1" applyFont="1" applyFill="1" applyBorder="1" applyAlignment="1">
      <alignment horizontal="center" vertical="center" wrapText="1"/>
    </xf>
    <xf numFmtId="170" fontId="17" fillId="7" borderId="2178" xfId="0" applyNumberFormat="1" applyFont="1" applyFill="1" applyBorder="1" applyAlignment="1">
      <alignment horizontal="center" vertical="center" wrapText="1"/>
    </xf>
    <xf numFmtId="170" fontId="17" fillId="7" borderId="2179" xfId="0" applyNumberFormat="1" applyFont="1" applyFill="1" applyBorder="1" applyAlignment="1">
      <alignment horizontal="center" vertical="center" wrapText="1"/>
    </xf>
    <xf numFmtId="170" fontId="17" fillId="7" borderId="2180" xfId="0" applyNumberFormat="1" applyFont="1" applyFill="1" applyBorder="1" applyAlignment="1">
      <alignment horizontal="center" vertical="center" wrapText="1"/>
    </xf>
    <xf numFmtId="170" fontId="17" fillId="7" borderId="2181" xfId="0" applyNumberFormat="1" applyFont="1" applyFill="1" applyBorder="1" applyAlignment="1">
      <alignment horizontal="center" vertical="center" wrapText="1"/>
    </xf>
    <xf numFmtId="170" fontId="17" fillId="7" borderId="2182" xfId="0" applyNumberFormat="1" applyFont="1" applyFill="1" applyBorder="1" applyAlignment="1">
      <alignment horizontal="center" vertical="center" wrapText="1"/>
    </xf>
    <xf numFmtId="170" fontId="17" fillId="7" borderId="2183" xfId="0" applyNumberFormat="1" applyFont="1" applyFill="1" applyBorder="1" applyAlignment="1">
      <alignment horizontal="center" vertical="center" wrapText="1"/>
    </xf>
    <xf numFmtId="170" fontId="17" fillId="7" borderId="2184" xfId="0" applyNumberFormat="1" applyFont="1" applyFill="1" applyBorder="1" applyAlignment="1">
      <alignment horizontal="center" vertical="center" wrapText="1"/>
    </xf>
    <xf numFmtId="170" fontId="17" fillId="7" borderId="2185" xfId="0" applyNumberFormat="1" applyFont="1" applyFill="1" applyBorder="1" applyAlignment="1">
      <alignment horizontal="center" vertical="center" wrapText="1"/>
    </xf>
    <xf numFmtId="170" fontId="21" fillId="7" borderId="2248" xfId="0" applyNumberFormat="1" applyFont="1" applyFill="1" applyBorder="1" applyAlignment="1">
      <alignment horizontal="center" vertical="center" wrapText="1"/>
    </xf>
    <xf numFmtId="170" fontId="21" fillId="7" borderId="2249" xfId="0" applyNumberFormat="1" applyFont="1" applyFill="1" applyBorder="1" applyAlignment="1">
      <alignment horizontal="center" vertical="center" wrapText="1"/>
    </xf>
    <xf numFmtId="170" fontId="21" fillId="7" borderId="2250" xfId="0" applyNumberFormat="1" applyFont="1" applyFill="1" applyBorder="1" applyAlignment="1">
      <alignment horizontal="center" vertical="center" wrapText="1"/>
    </xf>
    <xf numFmtId="170" fontId="21" fillId="7" borderId="2251" xfId="0" applyNumberFormat="1" applyFont="1" applyFill="1" applyBorder="1" applyAlignment="1">
      <alignment horizontal="center" vertical="center" wrapText="1"/>
    </xf>
    <xf numFmtId="0" fontId="79" fillId="7" borderId="2186" xfId="0" applyNumberFormat="1" applyFont="1" applyFill="1" applyBorder="1" applyAlignment="1">
      <alignment horizontal="center" vertical="center"/>
    </xf>
    <xf numFmtId="0" fontId="79" fillId="7" borderId="2187" xfId="0" applyNumberFormat="1" applyFont="1" applyFill="1" applyBorder="1" applyAlignment="1">
      <alignment horizontal="center" vertical="center"/>
    </xf>
    <xf numFmtId="0" fontId="79" fillId="7" borderId="2188" xfId="0" applyNumberFormat="1" applyFont="1" applyFill="1" applyBorder="1" applyAlignment="1">
      <alignment horizontal="center" vertical="center"/>
    </xf>
    <xf numFmtId="0" fontId="79" fillId="7" borderId="2189" xfId="0" applyNumberFormat="1" applyFont="1" applyFill="1" applyBorder="1" applyAlignment="1">
      <alignment horizontal="center" vertical="center"/>
    </xf>
    <xf numFmtId="0" fontId="79" fillId="7" borderId="2190" xfId="0" applyNumberFormat="1" applyFont="1" applyFill="1" applyBorder="1" applyAlignment="1">
      <alignment horizontal="center" vertical="center"/>
    </xf>
    <xf numFmtId="0" fontId="79" fillId="7" borderId="2191" xfId="0" applyNumberFormat="1" applyFont="1" applyFill="1" applyBorder="1" applyAlignment="1">
      <alignment horizontal="center" vertical="center"/>
    </xf>
    <xf numFmtId="0" fontId="79" fillId="7" borderId="2192" xfId="0" applyNumberFormat="1" applyFont="1" applyFill="1" applyBorder="1" applyAlignment="1">
      <alignment horizontal="center" vertical="center"/>
    </xf>
    <xf numFmtId="0" fontId="79" fillId="7" borderId="2193" xfId="0" applyNumberFormat="1" applyFont="1" applyFill="1" applyBorder="1" applyAlignment="1">
      <alignment horizontal="center" vertical="center"/>
    </xf>
    <xf numFmtId="0" fontId="79" fillId="7" borderId="2194" xfId="0" applyNumberFormat="1" applyFont="1" applyFill="1" applyBorder="1" applyAlignment="1">
      <alignment horizontal="center" vertical="center"/>
    </xf>
    <xf numFmtId="0" fontId="79" fillId="7" borderId="2195" xfId="0" applyNumberFormat="1" applyFont="1" applyFill="1" applyBorder="1" applyAlignment="1">
      <alignment horizontal="center" vertical="center"/>
    </xf>
    <xf numFmtId="0" fontId="79" fillId="7" borderId="2252" xfId="0" applyNumberFormat="1" applyFont="1" applyFill="1" applyBorder="1" applyAlignment="1">
      <alignment horizontal="center" vertical="center"/>
    </xf>
    <xf numFmtId="0" fontId="79" fillId="7" borderId="2253" xfId="0" applyNumberFormat="1" applyFont="1" applyFill="1" applyBorder="1" applyAlignment="1">
      <alignment horizontal="center" vertical="center"/>
    </xf>
    <xf numFmtId="0" fontId="79" fillId="7" borderId="2254" xfId="0" applyNumberFormat="1" applyFont="1" applyFill="1" applyBorder="1" applyAlignment="1">
      <alignment horizontal="center" vertical="center"/>
    </xf>
    <xf numFmtId="0" fontId="79" fillId="7" borderId="2255" xfId="0" applyNumberFormat="1" applyFont="1" applyFill="1" applyBorder="1" applyAlignment="1">
      <alignment horizontal="center" vertical="center"/>
    </xf>
    <xf numFmtId="0" fontId="79" fillId="7" borderId="2256" xfId="0" applyNumberFormat="1" applyFont="1" applyFill="1" applyBorder="1" applyAlignment="1">
      <alignment horizontal="center" vertical="center"/>
    </xf>
    <xf numFmtId="0" fontId="79" fillId="7" borderId="2257" xfId="0" applyNumberFormat="1" applyFont="1" applyFill="1" applyBorder="1" applyAlignment="1">
      <alignment horizontal="center" vertical="center"/>
    </xf>
    <xf numFmtId="0" fontId="79" fillId="7" borderId="2258" xfId="0" applyNumberFormat="1" applyFont="1" applyFill="1" applyBorder="1" applyAlignment="1">
      <alignment horizontal="center" vertical="center"/>
    </xf>
    <xf numFmtId="0" fontId="79" fillId="7" borderId="2259" xfId="0" applyNumberFormat="1" applyFont="1" applyFill="1" applyBorder="1" applyAlignment="1">
      <alignment horizontal="center" vertical="center"/>
    </xf>
    <xf numFmtId="0" fontId="79" fillId="7" borderId="2260" xfId="0" applyNumberFormat="1" applyFont="1" applyFill="1" applyBorder="1" applyAlignment="1">
      <alignment horizontal="center" vertical="center"/>
    </xf>
    <xf numFmtId="0" fontId="79" fillId="7" borderId="2261" xfId="0" applyNumberFormat="1" applyFont="1" applyFill="1" applyBorder="1" applyAlignment="1">
      <alignment horizontal="center" vertical="center"/>
    </xf>
    <xf numFmtId="0" fontId="79" fillId="7" borderId="2262" xfId="0" applyNumberFormat="1" applyFont="1" applyFill="1" applyBorder="1" applyAlignment="1">
      <alignment horizontal="center" vertical="center"/>
    </xf>
    <xf numFmtId="0" fontId="77" fillId="7" borderId="2196" xfId="0" applyNumberFormat="1" applyFont="1" applyFill="1" applyBorder="1" applyAlignment="1">
      <alignment horizontal="center" vertical="center"/>
    </xf>
    <xf numFmtId="0" fontId="77" fillId="7" borderId="2197" xfId="0" applyNumberFormat="1" applyFont="1" applyFill="1" applyBorder="1" applyAlignment="1">
      <alignment horizontal="center" vertical="center"/>
    </xf>
    <xf numFmtId="0" fontId="77" fillId="7" borderId="2198" xfId="0" applyNumberFormat="1" applyFont="1" applyFill="1" applyBorder="1" applyAlignment="1">
      <alignment horizontal="center" vertical="center"/>
    </xf>
    <xf numFmtId="0" fontId="77" fillId="7" borderId="2199" xfId="0" applyNumberFormat="1" applyFont="1" applyFill="1" applyBorder="1" applyAlignment="1">
      <alignment horizontal="center" vertical="center"/>
    </xf>
    <xf numFmtId="0" fontId="77" fillId="7" borderId="2200" xfId="0" applyNumberFormat="1" applyFont="1" applyFill="1" applyBorder="1" applyAlignment="1">
      <alignment horizontal="center" vertical="center"/>
    </xf>
    <xf numFmtId="0" fontId="77" fillId="7" borderId="2201" xfId="0" applyNumberFormat="1" applyFont="1" applyFill="1" applyBorder="1" applyAlignment="1">
      <alignment horizontal="center" vertical="center"/>
    </xf>
    <xf numFmtId="0" fontId="77" fillId="7" borderId="2202" xfId="0" applyNumberFormat="1" applyFont="1" applyFill="1" applyBorder="1" applyAlignment="1">
      <alignment horizontal="center" vertical="center"/>
    </xf>
    <xf numFmtId="0" fontId="77" fillId="7" borderId="2203" xfId="0" applyNumberFormat="1" applyFont="1" applyFill="1" applyBorder="1" applyAlignment="1">
      <alignment horizontal="center" vertical="center"/>
    </xf>
    <xf numFmtId="0" fontId="77" fillId="7" borderId="2204" xfId="0" applyNumberFormat="1" applyFont="1" applyFill="1" applyBorder="1" applyAlignment="1">
      <alignment horizontal="center" vertical="center"/>
    </xf>
    <xf numFmtId="0" fontId="77" fillId="7" borderId="2205" xfId="0" applyNumberFormat="1" applyFont="1" applyFill="1" applyBorder="1" applyAlignment="1">
      <alignment horizontal="center" vertical="center"/>
    </xf>
    <xf numFmtId="0" fontId="77" fillId="7" borderId="2206" xfId="0" applyNumberFormat="1" applyFont="1" applyFill="1" applyBorder="1" applyAlignment="1">
      <alignment horizontal="center" vertical="center"/>
    </xf>
    <xf numFmtId="0" fontId="77" fillId="7" borderId="2207" xfId="0" applyNumberFormat="1" applyFont="1" applyFill="1" applyBorder="1" applyAlignment="1">
      <alignment horizontal="center" vertical="center"/>
    </xf>
    <xf numFmtId="0" fontId="77" fillId="7" borderId="2208" xfId="0" applyNumberFormat="1" applyFont="1" applyFill="1" applyBorder="1" applyAlignment="1">
      <alignment horizontal="center" vertical="center"/>
    </xf>
    <xf numFmtId="0" fontId="77" fillId="7" borderId="2209" xfId="0" applyNumberFormat="1" applyFont="1" applyFill="1" applyBorder="1" applyAlignment="1">
      <alignment horizontal="center" vertical="center"/>
    </xf>
    <xf numFmtId="0" fontId="77" fillId="7" borderId="2210" xfId="0" applyNumberFormat="1" applyFont="1" applyFill="1" applyBorder="1" applyAlignment="1">
      <alignment horizontal="center" vertical="center"/>
    </xf>
    <xf numFmtId="0" fontId="77" fillId="7" borderId="2211" xfId="0" applyNumberFormat="1" applyFont="1" applyFill="1" applyBorder="1" applyAlignment="1">
      <alignment horizontal="center" vertical="center"/>
    </xf>
    <xf numFmtId="0" fontId="77" fillId="7" borderId="2212" xfId="0" applyNumberFormat="1" applyFont="1" applyFill="1" applyBorder="1" applyAlignment="1">
      <alignment horizontal="center" vertical="center"/>
    </xf>
    <xf numFmtId="0" fontId="77" fillId="7" borderId="2213" xfId="0" applyNumberFormat="1" applyFont="1" applyFill="1" applyBorder="1" applyAlignment="1">
      <alignment horizontal="center" vertical="center"/>
    </xf>
    <xf numFmtId="0" fontId="77" fillId="7" borderId="2214" xfId="0" applyNumberFormat="1" applyFont="1" applyFill="1" applyBorder="1" applyAlignment="1">
      <alignment horizontal="center" vertical="center"/>
    </xf>
    <xf numFmtId="0" fontId="77" fillId="7" borderId="2215" xfId="0" applyNumberFormat="1" applyFont="1" applyFill="1" applyBorder="1" applyAlignment="1">
      <alignment horizontal="center" vertical="center"/>
    </xf>
    <xf numFmtId="0" fontId="77" fillId="7" borderId="2263" xfId="0" applyNumberFormat="1" applyFont="1" applyFill="1" applyBorder="1" applyAlignment="1">
      <alignment horizontal="center" vertical="center"/>
    </xf>
    <xf numFmtId="0" fontId="77" fillId="7" borderId="2264" xfId="0" applyNumberFormat="1" applyFont="1" applyFill="1" applyBorder="1" applyAlignment="1">
      <alignment horizontal="center" vertical="center"/>
    </xf>
    <xf numFmtId="0" fontId="77" fillId="7" borderId="2265" xfId="0" applyNumberFormat="1" applyFont="1" applyFill="1" applyBorder="1" applyAlignment="1">
      <alignment horizontal="center" vertical="center"/>
    </xf>
    <xf numFmtId="0" fontId="77" fillId="7" borderId="2266" xfId="0" applyNumberFormat="1" applyFont="1" applyFill="1" applyBorder="1" applyAlignment="1">
      <alignment horizontal="center" vertical="center"/>
    </xf>
    <xf numFmtId="0" fontId="77" fillId="7" borderId="2267" xfId="0" applyNumberFormat="1" applyFont="1" applyFill="1" applyBorder="1" applyAlignment="1">
      <alignment horizontal="center" vertical="center"/>
    </xf>
    <xf numFmtId="0" fontId="77" fillId="7" borderId="2268" xfId="0" applyNumberFormat="1" applyFont="1" applyFill="1" applyBorder="1" applyAlignment="1">
      <alignment horizontal="center" vertical="center"/>
    </xf>
    <xf numFmtId="0" fontId="77" fillId="7" borderId="2269" xfId="0" applyNumberFormat="1" applyFont="1" applyFill="1" applyBorder="1" applyAlignment="1">
      <alignment horizontal="center" vertical="center"/>
    </xf>
    <xf numFmtId="0" fontId="77" fillId="7" borderId="2270" xfId="0" applyNumberFormat="1" applyFont="1" applyFill="1" applyBorder="1" applyAlignment="1">
      <alignment horizontal="center" vertical="center"/>
    </xf>
    <xf numFmtId="0" fontId="77" fillId="7" borderId="2271" xfId="0" applyNumberFormat="1" applyFont="1" applyFill="1" applyBorder="1" applyAlignment="1">
      <alignment horizontal="center" vertical="center"/>
    </xf>
    <xf numFmtId="0" fontId="77" fillId="7" borderId="2272" xfId="0" applyNumberFormat="1" applyFont="1" applyFill="1" applyBorder="1" applyAlignment="1">
      <alignment horizontal="center" vertical="center"/>
    </xf>
    <xf numFmtId="0" fontId="77" fillId="7" borderId="2273" xfId="0" applyNumberFormat="1" applyFont="1" applyFill="1" applyBorder="1" applyAlignment="1">
      <alignment horizontal="center" vertical="center"/>
    </xf>
    <xf numFmtId="0" fontId="77" fillId="7" borderId="2274" xfId="0" applyNumberFormat="1" applyFont="1" applyFill="1" applyBorder="1" applyAlignment="1">
      <alignment horizontal="center" vertical="center"/>
    </xf>
    <xf numFmtId="0" fontId="77" fillId="7" borderId="2275" xfId="0" applyNumberFormat="1" applyFont="1" applyFill="1" applyBorder="1" applyAlignment="1">
      <alignment horizontal="center" vertical="center"/>
    </xf>
    <xf numFmtId="0" fontId="77" fillId="7" borderId="2276" xfId="0" applyNumberFormat="1" applyFont="1" applyFill="1" applyBorder="1" applyAlignment="1">
      <alignment horizontal="center" vertical="center"/>
    </xf>
    <xf numFmtId="0" fontId="77" fillId="7" borderId="2277" xfId="0" applyNumberFormat="1" applyFont="1" applyFill="1" applyBorder="1" applyAlignment="1">
      <alignment horizontal="center" vertical="center"/>
    </xf>
    <xf numFmtId="0" fontId="77" fillId="7" borderId="2278" xfId="0" applyNumberFormat="1" applyFont="1" applyFill="1" applyBorder="1" applyAlignment="1">
      <alignment horizontal="center" vertical="center"/>
    </xf>
    <xf numFmtId="0" fontId="77" fillId="7" borderId="2279" xfId="0" applyNumberFormat="1" applyFont="1" applyFill="1" applyBorder="1" applyAlignment="1">
      <alignment horizontal="center" vertical="center"/>
    </xf>
    <xf numFmtId="0" fontId="77" fillId="7" borderId="2280" xfId="0" applyNumberFormat="1" applyFont="1" applyFill="1" applyBorder="1" applyAlignment="1">
      <alignment horizontal="center" vertical="center"/>
    </xf>
    <xf numFmtId="0" fontId="77" fillId="7" borderId="2281" xfId="0" applyNumberFormat="1" applyFont="1" applyFill="1" applyBorder="1" applyAlignment="1">
      <alignment horizontal="center" vertical="center"/>
    </xf>
    <xf numFmtId="0" fontId="77" fillId="7" borderId="2282" xfId="0" applyNumberFormat="1" applyFont="1" applyFill="1" applyBorder="1" applyAlignment="1">
      <alignment horizontal="center" vertical="center"/>
    </xf>
    <xf numFmtId="0" fontId="77" fillId="7" borderId="2283" xfId="0" applyNumberFormat="1" applyFont="1" applyFill="1" applyBorder="1" applyAlignment="1">
      <alignment horizontal="center" vertical="center"/>
    </xf>
    <xf numFmtId="0" fontId="79" fillId="7" borderId="2072" xfId="0" applyNumberFormat="1" applyFont="1" applyFill="1" applyBorder="1" applyAlignment="1">
      <alignment horizontal="center" vertical="center"/>
    </xf>
    <xf numFmtId="0" fontId="79" fillId="7" borderId="2073" xfId="0" applyNumberFormat="1" applyFont="1" applyFill="1" applyBorder="1" applyAlignment="1">
      <alignment horizontal="center" vertical="center"/>
    </xf>
    <xf numFmtId="0" fontId="79" fillId="7" borderId="2074" xfId="0" applyNumberFormat="1" applyFont="1" applyFill="1" applyBorder="1" applyAlignment="1">
      <alignment horizontal="center" vertical="center"/>
    </xf>
    <xf numFmtId="0" fontId="79" fillId="7" borderId="2075" xfId="0" applyNumberFormat="1" applyFont="1" applyFill="1" applyBorder="1" applyAlignment="1">
      <alignment horizontal="center" vertical="center"/>
    </xf>
    <xf numFmtId="0" fontId="79" fillId="7" borderId="2076" xfId="0" applyNumberFormat="1" applyFont="1" applyFill="1" applyBorder="1" applyAlignment="1">
      <alignment horizontal="center" vertical="center"/>
    </xf>
    <xf numFmtId="0" fontId="79" fillId="7" borderId="2077" xfId="0" applyNumberFormat="1" applyFont="1" applyFill="1" applyBorder="1" applyAlignment="1">
      <alignment horizontal="center" vertical="center"/>
    </xf>
    <xf numFmtId="0" fontId="79" fillId="7" borderId="2078" xfId="0" applyNumberFormat="1" applyFont="1" applyFill="1" applyBorder="1" applyAlignment="1">
      <alignment horizontal="center" vertical="center"/>
    </xf>
    <xf numFmtId="0" fontId="79" fillId="7" borderId="2079" xfId="0" applyNumberFormat="1" applyFont="1" applyFill="1" applyBorder="1" applyAlignment="1">
      <alignment horizontal="center" vertical="center"/>
    </xf>
    <xf numFmtId="0" fontId="79" fillId="7" borderId="2080" xfId="0" applyNumberFormat="1" applyFont="1" applyFill="1" applyBorder="1" applyAlignment="1">
      <alignment horizontal="center" vertical="center"/>
    </xf>
    <xf numFmtId="0" fontId="79" fillId="7" borderId="2081" xfId="0" applyNumberFormat="1" applyFont="1" applyFill="1" applyBorder="1" applyAlignment="1">
      <alignment horizontal="center" vertical="center"/>
    </xf>
    <xf numFmtId="0" fontId="79" fillId="7" borderId="2108" xfId="0" applyNumberFormat="1" applyFont="1" applyFill="1" applyBorder="1" applyAlignment="1">
      <alignment horizontal="center" vertical="center"/>
    </xf>
    <xf numFmtId="0" fontId="79" fillId="7" borderId="2109" xfId="0" applyNumberFormat="1" applyFont="1" applyFill="1" applyBorder="1" applyAlignment="1">
      <alignment horizontal="center" vertical="center"/>
    </xf>
    <xf numFmtId="0" fontId="79" fillId="7" borderId="2110" xfId="0" applyNumberFormat="1" applyFont="1" applyFill="1" applyBorder="1" applyAlignment="1">
      <alignment horizontal="center" vertical="center"/>
    </xf>
    <xf numFmtId="0" fontId="79" fillId="7" borderId="2111" xfId="0" applyNumberFormat="1" applyFont="1" applyFill="1" applyBorder="1" applyAlignment="1">
      <alignment horizontal="center" vertical="center"/>
    </xf>
    <xf numFmtId="0" fontId="79" fillId="7" borderId="2112" xfId="0" applyNumberFormat="1" applyFont="1" applyFill="1" applyBorder="1" applyAlignment="1">
      <alignment horizontal="center" vertical="center"/>
    </xf>
    <xf numFmtId="0" fontId="79" fillId="7" borderId="2113" xfId="0" applyNumberFormat="1" applyFont="1" applyFill="1" applyBorder="1" applyAlignment="1">
      <alignment horizontal="center" vertical="center"/>
    </xf>
    <xf numFmtId="0" fontId="79" fillId="7" borderId="2114" xfId="0" applyNumberFormat="1" applyFont="1" applyFill="1" applyBorder="1" applyAlignment="1">
      <alignment horizontal="center" vertical="center"/>
    </xf>
    <xf numFmtId="0" fontId="79" fillId="7" borderId="2115" xfId="0" applyNumberFormat="1" applyFont="1" applyFill="1" applyBorder="1" applyAlignment="1">
      <alignment horizontal="center" vertical="center"/>
    </xf>
    <xf numFmtId="0" fontId="79" fillId="7" borderId="2116" xfId="0" applyNumberFormat="1" applyFont="1" applyFill="1" applyBorder="1" applyAlignment="1">
      <alignment horizontal="center" vertical="center"/>
    </xf>
    <xf numFmtId="0" fontId="79" fillId="7" borderId="2117" xfId="0" applyNumberFormat="1" applyFont="1" applyFill="1" applyBorder="1" applyAlignment="1">
      <alignment horizontal="center" vertical="center"/>
    </xf>
    <xf numFmtId="0" fontId="79" fillId="7" borderId="2118" xfId="0" applyNumberFormat="1" applyFont="1" applyFill="1" applyBorder="1" applyAlignment="1">
      <alignment horizontal="center" vertical="center"/>
    </xf>
    <xf numFmtId="0" fontId="77" fillId="7" borderId="2082" xfId="0" applyNumberFormat="1" applyFont="1" applyFill="1" applyBorder="1" applyAlignment="1">
      <alignment horizontal="center" vertical="center"/>
    </xf>
    <xf numFmtId="0" fontId="77" fillId="7" borderId="2083" xfId="0" applyNumberFormat="1" applyFont="1" applyFill="1" applyBorder="1" applyAlignment="1">
      <alignment horizontal="center" vertical="center"/>
    </xf>
    <xf numFmtId="0" fontId="77" fillId="7" borderId="2084" xfId="0" applyNumberFormat="1" applyFont="1" applyFill="1" applyBorder="1" applyAlignment="1">
      <alignment horizontal="center" vertical="center"/>
    </xf>
    <xf numFmtId="0" fontId="77" fillId="7" borderId="2085" xfId="0" applyNumberFormat="1" applyFont="1" applyFill="1" applyBorder="1" applyAlignment="1">
      <alignment horizontal="center" vertical="center"/>
    </xf>
    <xf numFmtId="0" fontId="77" fillId="7" borderId="2086" xfId="0" applyNumberFormat="1" applyFont="1" applyFill="1" applyBorder="1" applyAlignment="1">
      <alignment horizontal="center" vertical="center"/>
    </xf>
    <xf numFmtId="0" fontId="77" fillId="7" borderId="2087" xfId="0" applyNumberFormat="1" applyFont="1" applyFill="1" applyBorder="1" applyAlignment="1">
      <alignment horizontal="center" vertical="center"/>
    </xf>
    <xf numFmtId="0" fontId="77" fillId="7" borderId="2088" xfId="0" applyNumberFormat="1" applyFont="1" applyFill="1" applyBorder="1" applyAlignment="1">
      <alignment horizontal="center" vertical="center"/>
    </xf>
    <xf numFmtId="0" fontId="77" fillId="7" borderId="2089" xfId="0" applyNumberFormat="1" applyFont="1" applyFill="1" applyBorder="1" applyAlignment="1">
      <alignment horizontal="center" vertical="center"/>
    </xf>
    <xf numFmtId="0" fontId="77" fillId="7" borderId="2090" xfId="0" applyNumberFormat="1" applyFont="1" applyFill="1" applyBorder="1" applyAlignment="1">
      <alignment horizontal="center" vertical="center"/>
    </xf>
    <xf numFmtId="0" fontId="77" fillId="7" borderId="2091" xfId="0" applyNumberFormat="1" applyFont="1" applyFill="1" applyBorder="1" applyAlignment="1">
      <alignment horizontal="center" vertical="center"/>
    </xf>
    <xf numFmtId="0" fontId="77" fillId="7" borderId="2092" xfId="0" applyNumberFormat="1" applyFont="1" applyFill="1" applyBorder="1" applyAlignment="1">
      <alignment horizontal="center" vertical="center"/>
    </xf>
    <xf numFmtId="0" fontId="77" fillId="7" borderId="2093" xfId="0" applyNumberFormat="1" applyFont="1" applyFill="1" applyBorder="1" applyAlignment="1">
      <alignment horizontal="center" vertical="center"/>
    </xf>
    <xf numFmtId="0" fontId="77" fillId="7" borderId="2094" xfId="0" applyNumberFormat="1" applyFont="1" applyFill="1" applyBorder="1" applyAlignment="1">
      <alignment horizontal="center" vertical="center"/>
    </xf>
    <xf numFmtId="0" fontId="77" fillId="7" borderId="2095" xfId="0" applyNumberFormat="1" applyFont="1" applyFill="1" applyBorder="1" applyAlignment="1">
      <alignment horizontal="center" vertical="center"/>
    </xf>
    <xf numFmtId="0" fontId="77" fillId="7" borderId="2096" xfId="0" applyNumberFormat="1" applyFont="1" applyFill="1" applyBorder="1" applyAlignment="1">
      <alignment horizontal="center" vertical="center"/>
    </xf>
    <xf numFmtId="0" fontId="77" fillId="7" borderId="2097" xfId="0" applyNumberFormat="1" applyFont="1" applyFill="1" applyBorder="1" applyAlignment="1">
      <alignment horizontal="center" vertical="center"/>
    </xf>
    <xf numFmtId="0" fontId="77" fillId="7" borderId="2098" xfId="0" applyNumberFormat="1" applyFont="1" applyFill="1" applyBorder="1" applyAlignment="1">
      <alignment horizontal="center" vertical="center"/>
    </xf>
    <xf numFmtId="0" fontId="77" fillId="7" borderId="2099" xfId="0" applyNumberFormat="1" applyFont="1" applyFill="1" applyBorder="1" applyAlignment="1">
      <alignment horizontal="center" vertical="center"/>
    </xf>
    <xf numFmtId="0" fontId="77" fillId="7" borderId="2100" xfId="0" applyNumberFormat="1" applyFont="1" applyFill="1" applyBorder="1" applyAlignment="1">
      <alignment horizontal="center" vertical="center"/>
    </xf>
    <xf numFmtId="0" fontId="77" fillId="7" borderId="2101" xfId="0" applyNumberFormat="1" applyFont="1" applyFill="1" applyBorder="1" applyAlignment="1">
      <alignment horizontal="center" vertical="center"/>
    </xf>
    <xf numFmtId="0" fontId="77" fillId="7" borderId="2119" xfId="0" applyNumberFormat="1" applyFont="1" applyFill="1" applyBorder="1" applyAlignment="1">
      <alignment horizontal="center" vertical="center"/>
    </xf>
    <xf numFmtId="0" fontId="77" fillId="7" borderId="2120" xfId="0" applyNumberFormat="1" applyFont="1" applyFill="1" applyBorder="1" applyAlignment="1">
      <alignment horizontal="center" vertical="center"/>
    </xf>
    <xf numFmtId="0" fontId="77" fillId="7" borderId="2121" xfId="0" applyNumberFormat="1" applyFont="1" applyFill="1" applyBorder="1" applyAlignment="1">
      <alignment horizontal="center" vertical="center"/>
    </xf>
    <xf numFmtId="0" fontId="77" fillId="7" borderId="2122" xfId="0" applyNumberFormat="1" applyFont="1" applyFill="1" applyBorder="1" applyAlignment="1">
      <alignment horizontal="center" vertical="center"/>
    </xf>
    <xf numFmtId="0" fontId="77" fillId="7" borderId="2123" xfId="0" applyNumberFormat="1" applyFont="1" applyFill="1" applyBorder="1" applyAlignment="1">
      <alignment horizontal="center" vertical="center"/>
    </xf>
    <xf numFmtId="0" fontId="77" fillId="7" borderId="2124" xfId="0" applyNumberFormat="1" applyFont="1" applyFill="1" applyBorder="1" applyAlignment="1">
      <alignment horizontal="center" vertical="center"/>
    </xf>
    <xf numFmtId="0" fontId="77" fillId="7" borderId="2125" xfId="0" applyNumberFormat="1" applyFont="1" applyFill="1" applyBorder="1" applyAlignment="1">
      <alignment horizontal="center" vertical="center"/>
    </xf>
    <xf numFmtId="0" fontId="77" fillId="7" borderId="2126" xfId="0" applyNumberFormat="1" applyFont="1" applyFill="1" applyBorder="1" applyAlignment="1">
      <alignment horizontal="center" vertical="center"/>
    </xf>
    <xf numFmtId="0" fontId="77" fillId="7" borderId="2127" xfId="0" applyNumberFormat="1" applyFont="1" applyFill="1" applyBorder="1" applyAlignment="1">
      <alignment horizontal="center" vertical="center"/>
    </xf>
    <xf numFmtId="0" fontId="77" fillId="7" borderId="2128" xfId="0" applyNumberFormat="1" applyFont="1" applyFill="1" applyBorder="1" applyAlignment="1">
      <alignment horizontal="center" vertical="center"/>
    </xf>
    <xf numFmtId="0" fontId="77" fillId="7" borderId="2129" xfId="0" applyNumberFormat="1" applyFont="1" applyFill="1" applyBorder="1" applyAlignment="1">
      <alignment horizontal="center" vertical="center"/>
    </xf>
    <xf numFmtId="0" fontId="77" fillId="7" borderId="2130" xfId="0" applyNumberFormat="1" applyFont="1" applyFill="1" applyBorder="1" applyAlignment="1">
      <alignment horizontal="center" vertical="center"/>
    </xf>
    <xf numFmtId="0" fontId="77" fillId="7" borderId="2131" xfId="0" applyNumberFormat="1" applyFont="1" applyFill="1" applyBorder="1" applyAlignment="1">
      <alignment horizontal="center" vertical="center"/>
    </xf>
    <xf numFmtId="0" fontId="77" fillId="7" borderId="2132" xfId="0" applyNumberFormat="1" applyFont="1" applyFill="1" applyBorder="1" applyAlignment="1">
      <alignment horizontal="center" vertical="center"/>
    </xf>
    <xf numFmtId="0" fontId="77" fillId="7" borderId="2133" xfId="0" applyNumberFormat="1" applyFont="1" applyFill="1" applyBorder="1" applyAlignment="1">
      <alignment horizontal="center" vertical="center"/>
    </xf>
    <xf numFmtId="0" fontId="77" fillId="7" borderId="2134" xfId="0" applyNumberFormat="1" applyFont="1" applyFill="1" applyBorder="1" applyAlignment="1">
      <alignment horizontal="center" vertical="center"/>
    </xf>
    <xf numFmtId="0" fontId="77" fillId="7" borderId="2135" xfId="0" applyNumberFormat="1" applyFont="1" applyFill="1" applyBorder="1" applyAlignment="1">
      <alignment horizontal="center" vertical="center"/>
    </xf>
    <xf numFmtId="0" fontId="77" fillId="7" borderId="2136" xfId="0" applyNumberFormat="1" applyFont="1" applyFill="1" applyBorder="1" applyAlignment="1">
      <alignment horizontal="center" vertical="center"/>
    </xf>
    <xf numFmtId="0" fontId="77" fillId="7" borderId="2137" xfId="0" applyNumberFormat="1" applyFont="1" applyFill="1" applyBorder="1" applyAlignment="1">
      <alignment horizontal="center" vertical="center"/>
    </xf>
    <xf numFmtId="0" fontId="77" fillId="7" borderId="2138" xfId="0" applyNumberFormat="1" applyFont="1" applyFill="1" applyBorder="1" applyAlignment="1">
      <alignment horizontal="center" vertical="center"/>
    </xf>
    <xf numFmtId="0" fontId="77" fillId="7" borderId="2139" xfId="0" applyNumberFormat="1" applyFont="1" applyFill="1" applyBorder="1" applyAlignment="1">
      <alignment horizontal="center" vertical="center"/>
    </xf>
    <xf numFmtId="170" fontId="21" fillId="7" borderId="2068" xfId="0" applyNumberFormat="1" applyFont="1" applyFill="1" applyBorder="1" applyAlignment="1">
      <alignment horizontal="center" vertical="center" wrapText="1"/>
    </xf>
    <xf numFmtId="170" fontId="21" fillId="7" borderId="2069" xfId="0" applyNumberFormat="1" applyFont="1" applyFill="1" applyBorder="1" applyAlignment="1">
      <alignment horizontal="center" vertical="center" wrapText="1"/>
    </xf>
    <xf numFmtId="170" fontId="21" fillId="7" borderId="2070" xfId="0" applyNumberFormat="1" applyFont="1" applyFill="1" applyBorder="1" applyAlignment="1">
      <alignment horizontal="center" vertical="center" wrapText="1"/>
    </xf>
    <xf numFmtId="170" fontId="21" fillId="7" borderId="2071" xfId="0" applyNumberFormat="1" applyFont="1" applyFill="1" applyBorder="1" applyAlignment="1">
      <alignment horizontal="center" vertical="center" wrapText="1"/>
    </xf>
    <xf numFmtId="0" fontId="42" fillId="0" borderId="18" xfId="0" applyNumberFormat="1" applyFont="1" applyBorder="1" applyAlignment="1">
      <alignment horizontal="center" vertical="center" wrapText="1"/>
    </xf>
    <xf numFmtId="0" fontId="42" fillId="0" borderId="3245" xfId="0" applyNumberFormat="1" applyFont="1" applyBorder="1" applyAlignment="1">
      <alignment horizontal="center" vertical="center" wrapText="1"/>
    </xf>
    <xf numFmtId="0" fontId="42" fillId="0" borderId="3238" xfId="0" applyNumberFormat="1" applyFont="1" applyBorder="1" applyAlignment="1">
      <alignment horizontal="center" vertical="center" wrapText="1"/>
    </xf>
    <xf numFmtId="0" fontId="42" fillId="0" borderId="3231" xfId="0" applyNumberFormat="1" applyFont="1" applyBorder="1" applyAlignment="1">
      <alignment horizontal="center" vertical="center" wrapText="1"/>
    </xf>
    <xf numFmtId="0" fontId="42" fillId="0" borderId="3224" xfId="0" applyNumberFormat="1" applyFont="1" applyBorder="1" applyAlignment="1">
      <alignment horizontal="center" vertical="center" wrapText="1"/>
    </xf>
    <xf numFmtId="174" fontId="42" fillId="0" borderId="18" xfId="0" applyNumberFormat="1" applyFont="1" applyBorder="1" applyAlignment="1">
      <alignment horizontal="center" vertical="center" wrapText="1"/>
    </xf>
    <xf numFmtId="174" fontId="42" fillId="0" borderId="3217" xfId="0" applyNumberFormat="1" applyFont="1" applyBorder="1" applyAlignment="1">
      <alignment horizontal="center" vertical="center" wrapText="1"/>
    </xf>
    <xf numFmtId="0" fontId="42" fillId="0" borderId="3210" xfId="0" applyNumberFormat="1" applyFont="1" applyBorder="1" applyAlignment="1">
      <alignment horizontal="center" vertical="center" wrapText="1"/>
    </xf>
    <xf numFmtId="0" fontId="42" fillId="0" borderId="3203" xfId="0" applyNumberFormat="1" applyFont="1" applyBorder="1" applyAlignment="1">
      <alignment horizontal="center" vertical="center" wrapText="1"/>
    </xf>
    <xf numFmtId="0" fontId="42" fillId="0" borderId="3196" xfId="0" applyNumberFormat="1" applyFont="1" applyBorder="1" applyAlignment="1">
      <alignment horizontal="center" vertical="center" wrapText="1"/>
    </xf>
    <xf numFmtId="0" fontId="38" fillId="0" borderId="18" xfId="0" applyNumberFormat="1" applyFont="1" applyBorder="1" applyAlignment="1">
      <alignment horizontal="center"/>
    </xf>
    <xf numFmtId="0" fontId="38" fillId="0" borderId="3188" xfId="0" applyNumberFormat="1" applyFont="1" applyBorder="1" applyAlignment="1">
      <alignment horizontal="center"/>
    </xf>
    <xf numFmtId="0" fontId="38" fillId="0" borderId="71" xfId="0" applyNumberFormat="1" applyFont="1" applyBorder="1" applyAlignment="1">
      <alignment horizontal="center"/>
    </xf>
    <xf numFmtId="0" fontId="38" fillId="0" borderId="3890" xfId="0" applyNumberFormat="1" applyFont="1" applyBorder="1" applyAlignment="1">
      <alignment horizontal="center"/>
    </xf>
    <xf numFmtId="0" fontId="38" fillId="0" borderId="3891" xfId="0" applyNumberFormat="1" applyFont="1" applyBorder="1" applyAlignment="1">
      <alignment horizontal="center"/>
    </xf>
    <xf numFmtId="0" fontId="38" fillId="0" borderId="3892" xfId="0" applyNumberFormat="1" applyFont="1" applyBorder="1" applyAlignment="1">
      <alignment horizontal="center"/>
    </xf>
    <xf numFmtId="0" fontId="38" fillId="0" borderId="3893" xfId="0" applyNumberFormat="1" applyFont="1" applyBorder="1" applyAlignment="1">
      <alignment horizontal="center"/>
    </xf>
    <xf numFmtId="0" fontId="38" fillId="0" borderId="0" xfId="0" applyNumberFormat="1" applyFont="1" applyAlignment="1">
      <alignment horizontal="center"/>
    </xf>
    <xf numFmtId="0" fontId="38" fillId="0" borderId="3882" xfId="0" applyNumberFormat="1" applyFont="1" applyBorder="1" applyAlignment="1">
      <alignment horizontal="center"/>
    </xf>
    <xf numFmtId="0" fontId="38" fillId="0" borderId="3883" xfId="0" applyNumberFormat="1" applyFont="1" applyBorder="1" applyAlignment="1">
      <alignment horizontal="center"/>
    </xf>
    <xf numFmtId="0" fontId="38" fillId="0" borderId="3884" xfId="0" applyNumberFormat="1" applyFont="1" applyBorder="1" applyAlignment="1">
      <alignment horizontal="center"/>
    </xf>
    <xf numFmtId="0" fontId="38" fillId="0" borderId="3885" xfId="0" applyNumberFormat="1" applyFont="1" applyBorder="1" applyAlignment="1">
      <alignment horizontal="center"/>
    </xf>
    <xf numFmtId="0" fontId="42" fillId="0" borderId="3244" xfId="0" applyNumberFormat="1" applyFont="1" applyBorder="1" applyAlignment="1">
      <alignment horizontal="center" vertical="center" wrapText="1"/>
    </xf>
    <xf numFmtId="0" fontId="42" fillId="0" borderId="3237" xfId="0" applyNumberFormat="1" applyFont="1" applyBorder="1" applyAlignment="1">
      <alignment horizontal="center" vertical="center" wrapText="1"/>
    </xf>
    <xf numFmtId="0" fontId="42" fillId="0" borderId="3230" xfId="0" applyNumberFormat="1" applyFont="1" applyBorder="1" applyAlignment="1">
      <alignment horizontal="center" vertical="center" wrapText="1"/>
    </xf>
    <xf numFmtId="0" fontId="42" fillId="0" borderId="3223" xfId="0" applyNumberFormat="1" applyFont="1" applyBorder="1" applyAlignment="1">
      <alignment horizontal="center" vertical="center" wrapText="1"/>
    </xf>
    <xf numFmtId="174" fontId="42" fillId="0" borderId="3216" xfId="0" applyNumberFormat="1" applyFont="1" applyBorder="1" applyAlignment="1">
      <alignment horizontal="center" vertical="center" wrapText="1"/>
    </xf>
    <xf numFmtId="0" fontId="42" fillId="0" borderId="3209" xfId="0" applyNumberFormat="1" applyFont="1" applyBorder="1" applyAlignment="1">
      <alignment horizontal="center" vertical="center" wrapText="1"/>
    </xf>
    <xf numFmtId="0" fontId="42" fillId="0" borderId="3202" xfId="0" applyNumberFormat="1" applyFont="1" applyBorder="1" applyAlignment="1">
      <alignment horizontal="center" vertical="center" wrapText="1"/>
    </xf>
    <xf numFmtId="0" fontId="42" fillId="0" borderId="3195" xfId="0" applyNumberFormat="1" applyFont="1" applyBorder="1" applyAlignment="1">
      <alignment horizontal="center" vertical="center" wrapText="1"/>
    </xf>
    <xf numFmtId="0" fontId="47" fillId="0" borderId="0" xfId="0" applyNumberFormat="1" applyFont="1" applyAlignment="1">
      <alignment horizontal="right"/>
    </xf>
    <xf numFmtId="0" fontId="38" fillId="0" borderId="3870" xfId="0" applyNumberFormat="1" applyFont="1" applyBorder="1" applyAlignment="1">
      <alignment horizontal="center"/>
    </xf>
    <xf numFmtId="0" fontId="38" fillId="0" borderId="3871" xfId="0" applyNumberFormat="1" applyFont="1" applyBorder="1" applyAlignment="1">
      <alignment horizontal="center"/>
    </xf>
    <xf numFmtId="0" fontId="38" fillId="0" borderId="3872" xfId="0" applyNumberFormat="1" applyFont="1" applyBorder="1" applyAlignment="1">
      <alignment horizontal="center"/>
    </xf>
    <xf numFmtId="0" fontId="38" fillId="0" borderId="3873" xfId="0" applyNumberFormat="1" applyFont="1" applyBorder="1" applyAlignment="1">
      <alignment horizontal="center"/>
    </xf>
    <xf numFmtId="0" fontId="38" fillId="0" borderId="3874" xfId="0" applyNumberFormat="1" applyFont="1" applyBorder="1" applyAlignment="1">
      <alignment horizontal="center"/>
    </xf>
    <xf numFmtId="0" fontId="38" fillId="0" borderId="3875" xfId="0" applyNumberFormat="1" applyFont="1" applyBorder="1" applyAlignment="1">
      <alignment horizontal="center"/>
    </xf>
    <xf numFmtId="0" fontId="41" fillId="0" borderId="70" xfId="0" applyNumberFormat="1" applyFont="1" applyBorder="1" applyAlignment="1">
      <alignment horizontal="center"/>
    </xf>
    <xf numFmtId="0" fontId="41" fillId="0" borderId="3858" xfId="0" applyNumberFormat="1" applyFont="1" applyBorder="1" applyAlignment="1">
      <alignment horizontal="center"/>
    </xf>
    <xf numFmtId="0" fontId="41" fillId="0" borderId="3859" xfId="0" applyNumberFormat="1" applyFont="1" applyBorder="1" applyAlignment="1">
      <alignment horizontal="center"/>
    </xf>
    <xf numFmtId="0" fontId="41" fillId="0" borderId="3860" xfId="0" applyNumberFormat="1" applyFont="1" applyBorder="1" applyAlignment="1">
      <alignment horizontal="center"/>
    </xf>
    <xf numFmtId="0" fontId="41" fillId="0" borderId="3861" xfId="0" applyNumberFormat="1" applyFont="1" applyBorder="1" applyAlignment="1">
      <alignment horizontal="center"/>
    </xf>
    <xf numFmtId="0" fontId="41" fillId="0" borderId="3862" xfId="0" applyNumberFormat="1" applyFont="1" applyBorder="1" applyAlignment="1">
      <alignment horizontal="center"/>
    </xf>
    <xf numFmtId="0" fontId="41" fillId="0" borderId="3863" xfId="0" applyNumberFormat="1" applyFont="1" applyBorder="1" applyAlignment="1">
      <alignment horizontal="center"/>
    </xf>
    <xf numFmtId="0" fontId="38" fillId="0" borderId="3450" xfId="0" applyNumberFormat="1" applyFont="1" applyBorder="1" applyAlignment="1">
      <alignment horizontal="center" vertical="center" textRotation="90"/>
    </xf>
    <xf numFmtId="0" fontId="38" fillId="0" borderId="3250" xfId="0" applyNumberFormat="1" applyFont="1" applyBorder="1" applyAlignment="1">
      <alignment horizontal="center" vertical="center" textRotation="90"/>
    </xf>
    <xf numFmtId="0" fontId="38" fillId="0" borderId="3266" xfId="0" applyNumberFormat="1" applyFont="1" applyBorder="1" applyAlignment="1">
      <alignment horizontal="center" vertical="center" textRotation="90"/>
    </xf>
    <xf numFmtId="0" fontId="38" fillId="0" borderId="912" xfId="0" applyNumberFormat="1" applyFont="1" applyBorder="1" applyAlignment="1">
      <alignment horizontal="center" vertical="center"/>
    </xf>
    <xf numFmtId="0" fontId="38" fillId="0" borderId="3267" xfId="0" applyNumberFormat="1" applyFont="1" applyBorder="1" applyAlignment="1">
      <alignment horizontal="center" vertical="center"/>
    </xf>
    <xf numFmtId="0" fontId="38" fillId="0" borderId="3268" xfId="0" applyNumberFormat="1" applyFont="1" applyBorder="1" applyAlignment="1">
      <alignment horizontal="center" vertical="center"/>
    </xf>
    <xf numFmtId="0" fontId="38" fillId="0" borderId="3269" xfId="0" applyNumberFormat="1" applyFont="1" applyBorder="1" applyAlignment="1">
      <alignment horizontal="center" vertical="center"/>
    </xf>
    <xf numFmtId="0" fontId="26" fillId="0" borderId="3279" xfId="0" applyNumberFormat="1" applyFont="1" applyBorder="1" applyAlignment="1">
      <alignment horizontal="center" vertical="center" wrapText="1"/>
    </xf>
    <xf numFmtId="0" fontId="26" fillId="0" borderId="3280" xfId="0" applyNumberFormat="1" applyFont="1" applyBorder="1" applyAlignment="1">
      <alignment horizontal="center" vertical="center" wrapText="1"/>
    </xf>
    <xf numFmtId="0" fontId="26" fillId="0" borderId="3281" xfId="0" applyNumberFormat="1" applyFont="1" applyBorder="1" applyAlignment="1">
      <alignment horizontal="center" vertical="center" wrapText="1"/>
    </xf>
    <xf numFmtId="0" fontId="26" fillId="0" borderId="3282" xfId="0" applyNumberFormat="1" applyFont="1" applyBorder="1" applyAlignment="1">
      <alignment horizontal="center" vertical="center" wrapText="1"/>
    </xf>
    <xf numFmtId="0" fontId="26" fillId="0" borderId="3283" xfId="0" applyNumberFormat="1" applyFont="1" applyBorder="1" applyAlignment="1">
      <alignment horizontal="center" vertical="center" wrapText="1"/>
    </xf>
    <xf numFmtId="0" fontId="26" fillId="0" borderId="3284" xfId="0" applyNumberFormat="1" applyFont="1" applyBorder="1" applyAlignment="1">
      <alignment horizontal="center" vertical="center" wrapText="1"/>
    </xf>
    <xf numFmtId="0" fontId="26" fillId="0" borderId="3285" xfId="0" applyNumberFormat="1" applyFont="1" applyBorder="1" applyAlignment="1">
      <alignment horizontal="center" vertical="center" wrapText="1"/>
    </xf>
    <xf numFmtId="0" fontId="26" fillId="0" borderId="3286" xfId="0" applyNumberFormat="1" applyFont="1" applyBorder="1" applyAlignment="1">
      <alignment horizontal="center" vertical="center" wrapText="1"/>
    </xf>
    <xf numFmtId="0" fontId="38" fillId="0" borderId="3251" xfId="0" applyNumberFormat="1" applyFont="1" applyBorder="1" applyAlignment="1">
      <alignment horizontal="center" vertical="center"/>
    </xf>
    <xf numFmtId="0" fontId="38" fillId="0" borderId="3252" xfId="0" applyNumberFormat="1" applyFont="1" applyBorder="1" applyAlignment="1">
      <alignment horizontal="center" vertical="center"/>
    </xf>
    <xf numFmtId="0" fontId="38" fillId="0" borderId="3253" xfId="0" applyNumberFormat="1" applyFont="1" applyBorder="1" applyAlignment="1">
      <alignment horizontal="center" vertical="center"/>
    </xf>
    <xf numFmtId="0" fontId="38" fillId="0" borderId="3254" xfId="0" applyNumberFormat="1" applyFont="1" applyBorder="1" applyAlignment="1">
      <alignment horizontal="center" vertical="center"/>
    </xf>
    <xf numFmtId="0" fontId="38" fillId="0" borderId="3255" xfId="0" applyNumberFormat="1" applyFont="1" applyBorder="1" applyAlignment="1">
      <alignment horizontal="center" vertical="center"/>
    </xf>
    <xf numFmtId="0" fontId="38" fillId="0" borderId="3256" xfId="0" applyNumberFormat="1" applyFont="1" applyBorder="1" applyAlignment="1">
      <alignment horizontal="center" vertical="center"/>
    </xf>
    <xf numFmtId="0" fontId="38" fillId="0" borderId="3257" xfId="0" applyNumberFormat="1" applyFont="1" applyBorder="1" applyAlignment="1">
      <alignment horizontal="center" vertical="center"/>
    </xf>
    <xf numFmtId="0" fontId="38" fillId="0" borderId="3258" xfId="0" applyNumberFormat="1" applyFont="1" applyBorder="1" applyAlignment="1">
      <alignment horizontal="center" vertical="center"/>
    </xf>
    <xf numFmtId="0" fontId="38" fillId="0" borderId="1086" xfId="0" applyNumberFormat="1" applyFont="1" applyBorder="1" applyAlignment="1">
      <alignment horizontal="center" vertical="center"/>
    </xf>
    <xf numFmtId="0" fontId="38" fillId="0" borderId="3270" xfId="0" applyNumberFormat="1" applyFont="1" applyBorder="1" applyAlignment="1">
      <alignment horizontal="center" vertical="center"/>
    </xf>
    <xf numFmtId="0" fontId="38" fillId="0" borderId="3271" xfId="0" applyNumberFormat="1" applyFont="1" applyBorder="1" applyAlignment="1">
      <alignment horizontal="center" vertical="center"/>
    </xf>
    <xf numFmtId="0" fontId="38" fillId="0" borderId="3272" xfId="0" applyNumberFormat="1" applyFont="1" applyBorder="1" applyAlignment="1">
      <alignment horizontal="center" vertical="center"/>
    </xf>
    <xf numFmtId="0" fontId="41" fillId="0" borderId="18" xfId="0" applyNumberFormat="1" applyFont="1" applyBorder="1" applyAlignment="1">
      <alignment horizontal="center"/>
    </xf>
    <xf numFmtId="0" fontId="41" fillId="0" borderId="3164" xfId="0" applyNumberFormat="1" applyFont="1" applyBorder="1" applyAlignment="1">
      <alignment horizontal="center"/>
    </xf>
    <xf numFmtId="0" fontId="41" fillId="0" borderId="3172" xfId="0" applyNumberFormat="1" applyFont="1" applyBorder="1" applyAlignment="1">
      <alignment horizontal="center"/>
    </xf>
    <xf numFmtId="0" fontId="38" fillId="0" borderId="18" xfId="0" applyNumberFormat="1" applyFont="1" applyBorder="1" applyAlignment="1">
      <alignment horizontal="center" wrapText="1"/>
    </xf>
    <xf numFmtId="0" fontId="38" fillId="0" borderId="3711" xfId="0" applyNumberFormat="1" applyFont="1" applyBorder="1" applyAlignment="1">
      <alignment horizontal="center" wrapText="1"/>
    </xf>
    <xf numFmtId="0" fontId="38" fillId="0" borderId="3721" xfId="0" applyNumberFormat="1" applyFont="1" applyBorder="1" applyAlignment="1">
      <alignment horizontal="center" wrapText="1"/>
    </xf>
    <xf numFmtId="0" fontId="38" fillId="0" borderId="3631" xfId="0" applyNumberFormat="1" applyFont="1" applyBorder="1" applyAlignment="1">
      <alignment horizontal="center" wrapText="1"/>
    </xf>
    <xf numFmtId="0" fontId="38" fillId="0" borderId="3461" xfId="0" applyNumberFormat="1" applyFont="1" applyBorder="1" applyAlignment="1">
      <alignment horizontal="center" vertical="center" wrapText="1"/>
    </xf>
    <xf numFmtId="0" fontId="26" fillId="0" borderId="1320" xfId="0" applyNumberFormat="1" applyFont="1" applyBorder="1" applyAlignment="1">
      <alignment horizontal="center" wrapText="1"/>
    </xf>
    <xf numFmtId="0" fontId="26" fillId="0" borderId="3409" xfId="0" applyNumberFormat="1" applyFont="1" applyBorder="1" applyAlignment="1">
      <alignment horizontal="center" wrapText="1"/>
    </xf>
    <xf numFmtId="0" fontId="26" fillId="0" borderId="3410" xfId="0" applyNumberFormat="1" applyFont="1" applyBorder="1" applyAlignment="1">
      <alignment horizontal="center" wrapText="1"/>
    </xf>
    <xf numFmtId="0" fontId="26" fillId="0" borderId="3411" xfId="0" applyNumberFormat="1" applyFont="1" applyBorder="1" applyAlignment="1">
      <alignment horizontal="center" wrapText="1"/>
    </xf>
    <xf numFmtId="0" fontId="26" fillId="0" borderId="3412" xfId="0" applyNumberFormat="1" applyFont="1" applyBorder="1" applyAlignment="1">
      <alignment horizontal="center" wrapText="1"/>
    </xf>
    <xf numFmtId="0" fontId="26" fillId="0" borderId="3413" xfId="0" applyNumberFormat="1" applyFont="1" applyBorder="1" applyAlignment="1">
      <alignment horizontal="center" wrapText="1"/>
    </xf>
    <xf numFmtId="0" fontId="26" fillId="0" borderId="3414" xfId="0" applyNumberFormat="1" applyFont="1" applyBorder="1" applyAlignment="1">
      <alignment horizontal="center" wrapText="1"/>
    </xf>
    <xf numFmtId="0" fontId="26" fillId="0" borderId="3415" xfId="0" applyNumberFormat="1" applyFont="1" applyBorder="1" applyAlignment="1">
      <alignment horizontal="center" wrapText="1"/>
    </xf>
    <xf numFmtId="0" fontId="40" fillId="0" borderId="3380" xfId="0" applyNumberFormat="1" applyFont="1" applyBorder="1" applyAlignment="1">
      <alignment horizontal="center" vertical="center" wrapText="1"/>
    </xf>
    <xf numFmtId="0" fontId="40" fillId="0" borderId="3395" xfId="0" applyNumberFormat="1" applyFont="1" applyBorder="1" applyAlignment="1">
      <alignment horizontal="center" vertical="center" wrapText="1"/>
    </xf>
    <xf numFmtId="0" fontId="40" fillId="0" borderId="3396" xfId="0" applyNumberFormat="1" applyFont="1" applyBorder="1" applyAlignment="1">
      <alignment horizontal="center" vertical="center" wrapText="1"/>
    </xf>
    <xf numFmtId="0" fontId="40" fillId="0" borderId="3397" xfId="0" applyNumberFormat="1" applyFont="1" applyBorder="1" applyAlignment="1">
      <alignment horizontal="center" vertical="center" wrapText="1"/>
    </xf>
    <xf numFmtId="0" fontId="40" fillId="0" borderId="3398" xfId="0" applyNumberFormat="1" applyFont="1" applyBorder="1" applyAlignment="1">
      <alignment horizontal="center" vertical="center" wrapText="1"/>
    </xf>
    <xf numFmtId="0" fontId="40" fillId="0" borderId="3399" xfId="0" applyNumberFormat="1" applyFont="1" applyBorder="1" applyAlignment="1">
      <alignment horizontal="center" vertical="center" wrapText="1"/>
    </xf>
    <xf numFmtId="0" fontId="40" fillId="0" borderId="3400" xfId="0" applyNumberFormat="1" applyFont="1" applyBorder="1" applyAlignment="1">
      <alignment horizontal="center" vertical="center" wrapText="1"/>
    </xf>
    <xf numFmtId="0" fontId="40" fillId="0" borderId="3401" xfId="0" applyNumberFormat="1" applyFont="1" applyBorder="1" applyAlignment="1">
      <alignment horizontal="center" vertical="center" wrapText="1"/>
    </xf>
    <xf numFmtId="0" fontId="40" fillId="0" borderId="3381" xfId="0" applyNumberFormat="1" applyFont="1" applyBorder="1" applyAlignment="1">
      <alignment horizontal="center" vertical="center" wrapText="1"/>
    </xf>
    <xf numFmtId="0" fontId="40" fillId="0" borderId="3382" xfId="0" applyNumberFormat="1" applyFont="1" applyBorder="1" applyAlignment="1">
      <alignment horizontal="center" vertical="center" wrapText="1"/>
    </xf>
    <xf numFmtId="0" fontId="40" fillId="0" borderId="3383" xfId="0" applyNumberFormat="1" applyFont="1" applyBorder="1" applyAlignment="1">
      <alignment horizontal="center" vertical="center" wrapText="1"/>
    </xf>
    <xf numFmtId="0" fontId="40" fillId="0" borderId="3384" xfId="0" applyNumberFormat="1" applyFont="1" applyBorder="1" applyAlignment="1">
      <alignment horizontal="center" vertical="center" wrapText="1"/>
    </xf>
    <xf numFmtId="0" fontId="40" fillId="0" borderId="3385" xfId="0" applyNumberFormat="1" applyFont="1" applyBorder="1" applyAlignment="1">
      <alignment horizontal="center" vertical="center" wrapText="1"/>
    </xf>
    <xf numFmtId="0" fontId="40" fillId="0" borderId="3386" xfId="0" applyNumberFormat="1" applyFont="1" applyBorder="1" applyAlignment="1">
      <alignment horizontal="center" vertical="center" wrapText="1"/>
    </xf>
    <xf numFmtId="0" fontId="40" fillId="0" borderId="3387" xfId="0" applyNumberFormat="1" applyFont="1" applyBorder="1" applyAlignment="1">
      <alignment horizontal="center" vertical="center" wrapText="1"/>
    </xf>
    <xf numFmtId="0" fontId="26" fillId="0" borderId="3365" xfId="0" applyNumberFormat="1" applyFont="1" applyBorder="1" applyAlignment="1">
      <alignment horizontal="center" vertical="center" wrapText="1"/>
    </xf>
    <xf numFmtId="0" fontId="26" fillId="0" borderId="3366" xfId="0" applyNumberFormat="1" applyFont="1" applyBorder="1" applyAlignment="1">
      <alignment horizontal="center" vertical="center" wrapText="1"/>
    </xf>
    <xf numFmtId="0" fontId="26" fillId="0" borderId="3367" xfId="0" applyNumberFormat="1" applyFont="1" applyBorder="1" applyAlignment="1">
      <alignment horizontal="center" vertical="center" wrapText="1"/>
    </xf>
    <xf numFmtId="0" fontId="26" fillId="0" borderId="3368" xfId="0" applyNumberFormat="1" applyFont="1" applyBorder="1" applyAlignment="1">
      <alignment horizontal="center" vertical="center" wrapText="1"/>
    </xf>
    <xf numFmtId="0" fontId="26" fillId="0" borderId="3369" xfId="0" applyNumberFormat="1" applyFont="1" applyBorder="1" applyAlignment="1">
      <alignment horizontal="center" vertical="center" wrapText="1"/>
    </xf>
    <xf numFmtId="0" fontId="26" fillId="0" borderId="3370" xfId="0" applyNumberFormat="1" applyFont="1" applyBorder="1" applyAlignment="1">
      <alignment horizontal="center" vertical="center" wrapText="1"/>
    </xf>
    <xf numFmtId="0" fontId="26" fillId="0" borderId="3371" xfId="0" applyNumberFormat="1" applyFont="1" applyBorder="1" applyAlignment="1">
      <alignment horizontal="center" vertical="center" wrapText="1"/>
    </xf>
    <xf numFmtId="0" fontId="26" fillId="0" borderId="3372" xfId="0" applyNumberFormat="1" applyFont="1" applyBorder="1" applyAlignment="1">
      <alignment horizontal="center" vertical="center" wrapText="1"/>
    </xf>
    <xf numFmtId="0" fontId="26" fillId="0" borderId="1320" xfId="0" applyNumberFormat="1" applyFont="1" applyBorder="1" applyAlignment="1">
      <alignment horizontal="center" vertical="center" wrapText="1"/>
    </xf>
    <xf numFmtId="0" fontId="26" fillId="0" borderId="3351" xfId="0" applyNumberFormat="1" applyFont="1" applyBorder="1" applyAlignment="1">
      <alignment horizontal="center" vertical="center" wrapText="1"/>
    </xf>
    <xf numFmtId="0" fontId="26" fillId="0" borderId="3352" xfId="0" applyNumberFormat="1" applyFont="1" applyBorder="1" applyAlignment="1">
      <alignment horizontal="center" vertical="center" wrapText="1"/>
    </xf>
    <xf numFmtId="0" fontId="26" fillId="0" borderId="3353" xfId="0" applyNumberFormat="1" applyFont="1" applyBorder="1" applyAlignment="1">
      <alignment horizontal="center" vertical="center" wrapText="1"/>
    </xf>
    <xf numFmtId="0" fontId="26" fillId="0" borderId="3354" xfId="0" applyNumberFormat="1" applyFont="1" applyBorder="1" applyAlignment="1">
      <alignment horizontal="center" vertical="center" wrapText="1"/>
    </xf>
    <xf numFmtId="0" fontId="26" fillId="0" borderId="3355" xfId="0" applyNumberFormat="1" applyFont="1" applyBorder="1" applyAlignment="1">
      <alignment horizontal="center" vertical="center" wrapText="1"/>
    </xf>
    <xf numFmtId="0" fontId="26" fillId="0" borderId="3356" xfId="0" applyNumberFormat="1" applyFont="1" applyBorder="1" applyAlignment="1">
      <alignment horizontal="center" vertical="center" wrapText="1"/>
    </xf>
    <xf numFmtId="0" fontId="26" fillId="0" borderId="3357" xfId="0" applyNumberFormat="1" applyFont="1" applyBorder="1" applyAlignment="1">
      <alignment horizontal="center" vertical="center" wrapText="1"/>
    </xf>
    <xf numFmtId="0" fontId="26" fillId="0" borderId="3337" xfId="0" applyNumberFormat="1" applyFont="1" applyBorder="1" applyAlignment="1">
      <alignment horizontal="center" vertical="center" wrapText="1"/>
    </xf>
    <xf numFmtId="0" fontId="26" fillId="0" borderId="3338" xfId="0" applyNumberFormat="1" applyFont="1" applyBorder="1" applyAlignment="1">
      <alignment horizontal="center" vertical="center" wrapText="1"/>
    </xf>
    <xf numFmtId="0" fontId="26" fillId="0" borderId="3339" xfId="0" applyNumberFormat="1" applyFont="1" applyBorder="1" applyAlignment="1">
      <alignment horizontal="center" vertical="center" wrapText="1"/>
    </xf>
    <xf numFmtId="0" fontId="26" fillId="0" borderId="3340" xfId="0" applyNumberFormat="1" applyFont="1" applyBorder="1" applyAlignment="1">
      <alignment horizontal="center" vertical="center" wrapText="1"/>
    </xf>
    <xf numFmtId="0" fontId="26" fillId="0" borderId="3341" xfId="0" applyNumberFormat="1" applyFont="1" applyBorder="1" applyAlignment="1">
      <alignment horizontal="center" vertical="center" wrapText="1"/>
    </xf>
    <xf numFmtId="0" fontId="26" fillId="0" borderId="3342" xfId="0" applyNumberFormat="1" applyFont="1" applyBorder="1" applyAlignment="1">
      <alignment horizontal="center" vertical="center" wrapText="1"/>
    </xf>
    <xf numFmtId="0" fontId="26" fillId="0" borderId="3343" xfId="0" applyNumberFormat="1" applyFont="1" applyBorder="1" applyAlignment="1">
      <alignment horizontal="center" vertical="center" wrapText="1"/>
    </xf>
    <xf numFmtId="0" fontId="26" fillId="0" borderId="3323" xfId="0" applyNumberFormat="1" applyFont="1" applyBorder="1" applyAlignment="1">
      <alignment horizontal="center" vertical="center" wrapText="1"/>
    </xf>
    <xf numFmtId="0" fontId="26" fillId="0" borderId="3324" xfId="0" applyNumberFormat="1" applyFont="1" applyBorder="1" applyAlignment="1">
      <alignment horizontal="center" vertical="center" wrapText="1"/>
    </xf>
    <xf numFmtId="0" fontId="26" fillId="0" borderId="3325" xfId="0" applyNumberFormat="1" applyFont="1" applyBorder="1" applyAlignment="1">
      <alignment horizontal="center" vertical="center" wrapText="1"/>
    </xf>
    <xf numFmtId="0" fontId="26" fillId="0" borderId="3326" xfId="0" applyNumberFormat="1" applyFont="1" applyBorder="1" applyAlignment="1">
      <alignment horizontal="center" vertical="center" wrapText="1"/>
    </xf>
    <xf numFmtId="0" fontId="26" fillId="0" borderId="3327" xfId="0" applyNumberFormat="1" applyFont="1" applyBorder="1" applyAlignment="1">
      <alignment horizontal="center" vertical="center" wrapText="1"/>
    </xf>
    <xf numFmtId="0" fontId="26" fillId="0" borderId="3328" xfId="0" applyNumberFormat="1" applyFont="1" applyBorder="1" applyAlignment="1">
      <alignment horizontal="center" vertical="center" wrapText="1"/>
    </xf>
    <xf numFmtId="0" fontId="26" fillId="0" borderId="3329" xfId="0" applyNumberFormat="1" applyFont="1" applyBorder="1" applyAlignment="1">
      <alignment horizontal="center" vertical="center" wrapText="1"/>
    </xf>
    <xf numFmtId="0" fontId="26" fillId="0" borderId="3309" xfId="0" applyNumberFormat="1" applyFont="1" applyBorder="1" applyAlignment="1">
      <alignment horizontal="center" vertical="center" wrapText="1"/>
    </xf>
    <xf numFmtId="0" fontId="26" fillId="0" borderId="3310" xfId="0" applyNumberFormat="1" applyFont="1" applyBorder="1" applyAlignment="1">
      <alignment horizontal="center" vertical="center" wrapText="1"/>
    </xf>
    <xf numFmtId="0" fontId="26" fillId="0" borderId="3311" xfId="0" applyNumberFormat="1" applyFont="1" applyBorder="1" applyAlignment="1">
      <alignment horizontal="center" vertical="center" wrapText="1"/>
    </xf>
    <xf numFmtId="0" fontId="26" fillId="0" borderId="3312" xfId="0" applyNumberFormat="1" applyFont="1" applyBorder="1" applyAlignment="1">
      <alignment horizontal="center" vertical="center" wrapText="1"/>
    </xf>
    <xf numFmtId="0" fontId="26" fillId="0" borderId="3313" xfId="0" applyNumberFormat="1" applyFont="1" applyBorder="1" applyAlignment="1">
      <alignment horizontal="center" vertical="center" wrapText="1"/>
    </xf>
    <xf numFmtId="0" fontId="26" fillId="0" borderId="3314" xfId="0" applyNumberFormat="1" applyFont="1" applyBorder="1" applyAlignment="1">
      <alignment horizontal="center" vertical="center" wrapText="1"/>
    </xf>
    <xf numFmtId="0" fontId="26" fillId="0" borderId="3315" xfId="0" applyNumberFormat="1" applyFont="1" applyBorder="1" applyAlignment="1">
      <alignment horizontal="center" vertical="center" wrapText="1"/>
    </xf>
    <xf numFmtId="0" fontId="26" fillId="0" borderId="3295" xfId="0" applyNumberFormat="1" applyFont="1" applyBorder="1" applyAlignment="1">
      <alignment horizontal="center" vertical="center" wrapText="1"/>
    </xf>
    <xf numFmtId="0" fontId="26" fillId="0" borderId="3296" xfId="0" applyNumberFormat="1" applyFont="1" applyBorder="1" applyAlignment="1">
      <alignment horizontal="center" vertical="center" wrapText="1"/>
    </xf>
    <xf numFmtId="0" fontId="26" fillId="0" borderId="3297" xfId="0" applyNumberFormat="1" applyFont="1" applyBorder="1" applyAlignment="1">
      <alignment horizontal="center" vertical="center" wrapText="1"/>
    </xf>
    <xf numFmtId="0" fontId="26" fillId="0" borderId="3298" xfId="0" applyNumberFormat="1" applyFont="1" applyBorder="1" applyAlignment="1">
      <alignment horizontal="center" vertical="center" wrapText="1"/>
    </xf>
    <xf numFmtId="0" fontId="26" fillId="0" borderId="3299" xfId="0" applyNumberFormat="1" applyFont="1" applyBorder="1" applyAlignment="1">
      <alignment horizontal="center" vertical="center" wrapText="1"/>
    </xf>
    <xf numFmtId="0" fontId="26" fillId="0" borderId="3300" xfId="0" applyNumberFormat="1" applyFont="1" applyBorder="1" applyAlignment="1">
      <alignment horizontal="center" vertical="center" wrapText="1"/>
    </xf>
    <xf numFmtId="0" fontId="26" fillId="0" borderId="3301" xfId="0" applyNumberFormat="1" applyFont="1" applyBorder="1" applyAlignment="1">
      <alignment horizontal="center" vertical="center" wrapText="1"/>
    </xf>
    <xf numFmtId="0" fontId="26" fillId="0" borderId="3423" xfId="0" applyNumberFormat="1" applyFont="1" applyBorder="1" applyAlignment="1">
      <alignment horizontal="center" wrapText="1"/>
    </xf>
    <xf numFmtId="0" fontId="26" fillId="0" borderId="3424" xfId="0" applyNumberFormat="1" applyFont="1" applyBorder="1" applyAlignment="1">
      <alignment horizontal="center" wrapText="1"/>
    </xf>
    <xf numFmtId="0" fontId="26" fillId="0" borderId="3425" xfId="0" applyNumberFormat="1" applyFont="1" applyBorder="1" applyAlignment="1">
      <alignment horizontal="center" wrapText="1"/>
    </xf>
    <xf numFmtId="0" fontId="26" fillId="0" borderId="3426" xfId="0" applyNumberFormat="1" applyFont="1" applyBorder="1" applyAlignment="1">
      <alignment horizontal="center" wrapText="1"/>
    </xf>
    <xf numFmtId="0" fontId="26" fillId="0" borderId="3427" xfId="0" applyNumberFormat="1" applyFont="1" applyBorder="1" applyAlignment="1">
      <alignment horizontal="center" wrapText="1"/>
    </xf>
    <xf numFmtId="0" fontId="26" fillId="0" borderId="3428" xfId="0" applyNumberFormat="1" applyFont="1" applyBorder="1" applyAlignment="1">
      <alignment horizontal="center" wrapText="1"/>
    </xf>
    <xf numFmtId="0" fontId="26" fillId="0" borderId="3429" xfId="0" applyNumberFormat="1" applyFont="1" applyBorder="1" applyAlignment="1">
      <alignment horizontal="center" wrapText="1"/>
    </xf>
    <xf numFmtId="0" fontId="26" fillId="0" borderId="3430" xfId="0" applyNumberFormat="1" applyFont="1" applyBorder="1" applyAlignment="1">
      <alignment horizontal="center" wrapText="1"/>
    </xf>
    <xf numFmtId="0" fontId="38" fillId="0" borderId="3438" xfId="0" applyNumberFormat="1" applyFont="1" applyBorder="1" applyAlignment="1">
      <alignment horizontal="center" vertical="center" wrapText="1"/>
    </xf>
    <xf numFmtId="0" fontId="38" fillId="0" borderId="3439" xfId="0" applyNumberFormat="1" applyFont="1" applyBorder="1" applyAlignment="1">
      <alignment horizontal="center" vertical="center" wrapText="1"/>
    </xf>
    <xf numFmtId="0" fontId="38" fillId="0" borderId="3440" xfId="0" applyNumberFormat="1" applyFont="1" applyBorder="1" applyAlignment="1">
      <alignment horizontal="center" vertical="center" wrapText="1"/>
    </xf>
    <xf numFmtId="0" fontId="38" fillId="0" borderId="3441" xfId="0" applyNumberFormat="1" applyFont="1" applyBorder="1" applyAlignment="1">
      <alignment horizontal="center" vertical="center" wrapText="1"/>
    </xf>
    <xf numFmtId="0" fontId="38" fillId="0" borderId="3442" xfId="0" applyNumberFormat="1" applyFont="1" applyBorder="1" applyAlignment="1">
      <alignment horizontal="center" vertical="center" wrapText="1"/>
    </xf>
    <xf numFmtId="0" fontId="38" fillId="0" borderId="3443" xfId="0" applyNumberFormat="1" applyFont="1" applyBorder="1" applyAlignment="1">
      <alignment horizontal="center" vertical="center" wrapText="1"/>
    </xf>
    <xf numFmtId="0" fontId="38" fillId="0" borderId="3444" xfId="0" applyNumberFormat="1" applyFont="1" applyBorder="1" applyAlignment="1">
      <alignment horizontal="center" vertical="center" wrapText="1"/>
    </xf>
    <xf numFmtId="0" fontId="38" fillId="0" borderId="3451" xfId="0" applyNumberFormat="1" applyFont="1" applyBorder="1" applyAlignment="1">
      <alignment horizontal="center" vertical="center" wrapText="1"/>
    </xf>
    <xf numFmtId="0" fontId="38" fillId="0" borderId="3452" xfId="0" applyNumberFormat="1" applyFont="1" applyBorder="1" applyAlignment="1">
      <alignment horizontal="center" vertical="center" wrapText="1"/>
    </xf>
    <xf numFmtId="0" fontId="38" fillId="0" borderId="3453" xfId="0" applyNumberFormat="1" applyFont="1" applyBorder="1" applyAlignment="1">
      <alignment horizontal="center" vertical="center" wrapText="1"/>
    </xf>
    <xf numFmtId="0" fontId="38" fillId="0" borderId="3454" xfId="0" applyNumberFormat="1" applyFont="1" applyBorder="1" applyAlignment="1">
      <alignment horizontal="center" vertical="center" wrapText="1"/>
    </xf>
    <xf numFmtId="0" fontId="38" fillId="0" borderId="3455" xfId="0" applyNumberFormat="1" applyFont="1" applyBorder="1" applyAlignment="1">
      <alignment horizontal="center" vertical="center" wrapText="1"/>
    </xf>
    <xf numFmtId="0" fontId="38" fillId="0" borderId="3456" xfId="0" applyNumberFormat="1" applyFont="1" applyBorder="1" applyAlignment="1">
      <alignment horizontal="center" vertical="center" wrapText="1"/>
    </xf>
    <xf numFmtId="0" fontId="38" fillId="0" borderId="3457" xfId="0" applyNumberFormat="1" applyFont="1" applyBorder="1" applyAlignment="1">
      <alignment horizontal="center" vertical="center" wrapText="1"/>
    </xf>
    <xf numFmtId="0" fontId="38" fillId="0" borderId="3458" xfId="0" applyNumberFormat="1" applyFont="1" applyBorder="1" applyAlignment="1">
      <alignment horizontal="center" vertical="center" wrapText="1"/>
    </xf>
    <xf numFmtId="0" fontId="38" fillId="0" borderId="3459" xfId="0" applyNumberFormat="1" applyFont="1" applyBorder="1" applyAlignment="1">
      <alignment horizontal="center" vertical="center" wrapText="1"/>
    </xf>
    <xf numFmtId="0" fontId="38" fillId="0" borderId="3460" xfId="0" applyNumberFormat="1" applyFont="1" applyBorder="1" applyAlignment="1">
      <alignment horizontal="center" vertical="center" wrapText="1"/>
    </xf>
    <xf numFmtId="0" fontId="38" fillId="0" borderId="3273" xfId="0" applyNumberFormat="1" applyFont="1" applyBorder="1" applyAlignment="1">
      <alignment horizontal="center" vertical="center"/>
    </xf>
    <xf numFmtId="0" fontId="38" fillId="0" borderId="3274" xfId="0" applyNumberFormat="1" applyFont="1" applyBorder="1" applyAlignment="1">
      <alignment horizontal="center" vertical="center"/>
    </xf>
    <xf numFmtId="0" fontId="38" fillId="0" borderId="3275" xfId="0" applyNumberFormat="1" applyFont="1" applyBorder="1" applyAlignment="1">
      <alignment horizontal="center" vertical="center"/>
    </xf>
    <xf numFmtId="0" fontId="26" fillId="0" borderId="3416" xfId="0" applyNumberFormat="1" applyFont="1" applyBorder="1" applyAlignment="1">
      <alignment horizontal="center" wrapText="1"/>
    </xf>
    <xf numFmtId="0" fontId="26" fillId="0" borderId="3417" xfId="0" applyNumberFormat="1" applyFont="1" applyBorder="1" applyAlignment="1">
      <alignment horizontal="center" wrapText="1"/>
    </xf>
    <xf numFmtId="0" fontId="26" fillId="0" borderId="3418" xfId="0" applyNumberFormat="1" applyFont="1" applyBorder="1" applyAlignment="1">
      <alignment horizontal="center" wrapText="1"/>
    </xf>
    <xf numFmtId="0" fontId="26" fillId="0" borderId="3419" xfId="0" applyNumberFormat="1" applyFont="1" applyBorder="1" applyAlignment="1">
      <alignment horizontal="center" wrapText="1"/>
    </xf>
    <xf numFmtId="0" fontId="26" fillId="0" borderId="3420" xfId="0" applyNumberFormat="1" applyFont="1" applyBorder="1" applyAlignment="1">
      <alignment horizontal="center" wrapText="1"/>
    </xf>
    <xf numFmtId="0" fontId="26" fillId="0" borderId="3421" xfId="0" applyNumberFormat="1" applyFont="1" applyBorder="1" applyAlignment="1">
      <alignment horizontal="center" wrapText="1"/>
    </xf>
    <xf numFmtId="0" fontId="26" fillId="0" borderId="3422" xfId="0" applyNumberFormat="1" applyFont="1" applyBorder="1" applyAlignment="1">
      <alignment horizontal="center" wrapText="1"/>
    </xf>
    <xf numFmtId="0" fontId="40" fillId="0" borderId="3431" xfId="0" applyNumberFormat="1" applyFont="1" applyBorder="1" applyAlignment="1">
      <alignment horizontal="center" vertical="center" wrapText="1"/>
    </xf>
    <xf numFmtId="0" fontId="40" fillId="0" borderId="3432" xfId="0" applyNumberFormat="1" applyFont="1" applyBorder="1" applyAlignment="1">
      <alignment horizontal="center" vertical="center" wrapText="1"/>
    </xf>
    <xf numFmtId="0" fontId="40" fillId="0" borderId="3433" xfId="0" applyNumberFormat="1" applyFont="1" applyBorder="1" applyAlignment="1">
      <alignment horizontal="center" vertical="center" wrapText="1"/>
    </xf>
    <xf numFmtId="0" fontId="40" fillId="0" borderId="3434" xfId="0" applyNumberFormat="1" applyFont="1" applyBorder="1" applyAlignment="1">
      <alignment horizontal="center" vertical="center" wrapText="1"/>
    </xf>
    <xf numFmtId="0" fontId="40" fillId="0" borderId="3435" xfId="0" applyNumberFormat="1" applyFont="1" applyBorder="1" applyAlignment="1">
      <alignment horizontal="center" vertical="center" wrapText="1"/>
    </xf>
    <xf numFmtId="0" fontId="40" fillId="0" borderId="3436" xfId="0" applyNumberFormat="1" applyFont="1" applyBorder="1" applyAlignment="1">
      <alignment horizontal="center" vertical="center" wrapText="1"/>
    </xf>
    <xf numFmtId="0" fontId="40" fillId="0" borderId="3437" xfId="0" applyNumberFormat="1" applyFont="1" applyBorder="1" applyAlignment="1">
      <alignment horizontal="center" vertical="center" wrapText="1"/>
    </xf>
    <xf numFmtId="0" fontId="38" fillId="0" borderId="3445" xfId="0" applyNumberFormat="1" applyFont="1" applyBorder="1" applyAlignment="1">
      <alignment horizontal="center" vertical="center" wrapText="1"/>
    </xf>
    <xf numFmtId="0" fontId="38" fillId="0" borderId="3446" xfId="0" applyNumberFormat="1" applyFont="1" applyBorder="1" applyAlignment="1">
      <alignment horizontal="center" vertical="center" wrapText="1"/>
    </xf>
    <xf numFmtId="0" fontId="38" fillId="0" borderId="3447" xfId="0" applyNumberFormat="1" applyFont="1" applyBorder="1" applyAlignment="1">
      <alignment horizontal="center" vertical="center" wrapText="1"/>
    </xf>
    <xf numFmtId="0" fontId="38" fillId="0" borderId="3448" xfId="0" applyNumberFormat="1" applyFont="1" applyBorder="1" applyAlignment="1">
      <alignment horizontal="center" vertical="center" wrapText="1"/>
    </xf>
    <xf numFmtId="0" fontId="38" fillId="0" borderId="3449" xfId="0" applyNumberFormat="1" applyFont="1" applyBorder="1" applyAlignment="1">
      <alignment horizontal="center" vertical="center" wrapText="1"/>
    </xf>
    <xf numFmtId="0" fontId="38" fillId="0" borderId="3259" xfId="0" applyNumberFormat="1" applyFont="1" applyBorder="1" applyAlignment="1">
      <alignment horizontal="center" vertical="center"/>
    </xf>
    <xf numFmtId="0" fontId="38" fillId="0" borderId="3260" xfId="0" applyNumberFormat="1" applyFont="1" applyBorder="1" applyAlignment="1">
      <alignment horizontal="center" vertical="center"/>
    </xf>
    <xf numFmtId="0" fontId="38" fillId="0" borderId="3261" xfId="0" applyNumberFormat="1" applyFont="1" applyBorder="1" applyAlignment="1">
      <alignment horizontal="center" vertical="center"/>
    </xf>
    <xf numFmtId="0" fontId="38" fillId="0" borderId="3262" xfId="0" applyNumberFormat="1" applyFont="1" applyBorder="1" applyAlignment="1">
      <alignment horizontal="center" vertical="center"/>
    </xf>
    <xf numFmtId="0" fontId="38" fillId="0" borderId="3263" xfId="0" applyNumberFormat="1" applyFont="1" applyBorder="1" applyAlignment="1">
      <alignment horizontal="center" vertical="center"/>
    </xf>
    <xf numFmtId="0" fontId="38" fillId="0" borderId="3264" xfId="0" applyNumberFormat="1" applyFont="1" applyBorder="1" applyAlignment="1">
      <alignment horizontal="center" vertical="center"/>
    </xf>
    <xf numFmtId="0" fontId="38" fillId="0" borderId="3265" xfId="0" applyNumberFormat="1" applyFont="1" applyBorder="1" applyAlignment="1">
      <alignment horizontal="center" vertical="center"/>
    </xf>
    <xf numFmtId="0" fontId="38" fillId="0" borderId="3276" xfId="0" applyNumberFormat="1" applyFont="1" applyBorder="1" applyAlignment="1">
      <alignment horizontal="center" vertical="center"/>
    </xf>
    <xf numFmtId="0" fontId="38" fillId="0" borderId="3277" xfId="0" applyNumberFormat="1" applyFont="1" applyBorder="1" applyAlignment="1">
      <alignment horizontal="center" vertical="center"/>
    </xf>
    <xf numFmtId="0" fontId="38" fillId="0" borderId="3278" xfId="0" applyNumberFormat="1" applyFont="1" applyBorder="1" applyAlignment="1">
      <alignment horizontal="center" vertical="center"/>
    </xf>
    <xf numFmtId="0" fontId="26" fillId="0" borderId="3287" xfId="0" applyNumberFormat="1" applyFont="1" applyBorder="1" applyAlignment="1">
      <alignment horizontal="center" vertical="center" wrapText="1"/>
    </xf>
    <xf numFmtId="0" fontId="26" fillId="0" borderId="3288" xfId="0" applyNumberFormat="1" applyFont="1" applyBorder="1" applyAlignment="1">
      <alignment horizontal="center" vertical="center" wrapText="1"/>
    </xf>
    <xf numFmtId="0" fontId="26" fillId="0" borderId="3289" xfId="0" applyNumberFormat="1" applyFont="1" applyBorder="1" applyAlignment="1">
      <alignment horizontal="center" vertical="center" wrapText="1"/>
    </xf>
    <xf numFmtId="0" fontId="26" fillId="0" borderId="3290" xfId="0" applyNumberFormat="1" applyFont="1" applyBorder="1" applyAlignment="1">
      <alignment horizontal="center" vertical="center" wrapText="1"/>
    </xf>
    <xf numFmtId="0" fontId="26" fillId="0" borderId="3291" xfId="0" applyNumberFormat="1" applyFont="1" applyBorder="1" applyAlignment="1">
      <alignment horizontal="center" vertical="center" wrapText="1"/>
    </xf>
    <xf numFmtId="0" fontId="26" fillId="0" borderId="3292" xfId="0" applyNumberFormat="1" applyFont="1" applyBorder="1" applyAlignment="1">
      <alignment horizontal="center" vertical="center" wrapText="1"/>
    </xf>
    <xf numFmtId="0" fontId="26" fillId="0" borderId="3293" xfId="0" applyNumberFormat="1" applyFont="1" applyBorder="1" applyAlignment="1">
      <alignment horizontal="center" vertical="center" wrapText="1"/>
    </xf>
    <xf numFmtId="0" fontId="26" fillId="0" borderId="3294" xfId="0" applyNumberFormat="1" applyFont="1" applyBorder="1" applyAlignment="1">
      <alignment horizontal="center" vertical="center" wrapText="1"/>
    </xf>
    <xf numFmtId="0" fontId="26" fillId="0" borderId="3302" xfId="0" applyNumberFormat="1" applyFont="1" applyBorder="1" applyAlignment="1">
      <alignment horizontal="center" vertical="center" wrapText="1"/>
    </xf>
    <xf numFmtId="0" fontId="26" fillId="0" borderId="3303" xfId="0" applyNumberFormat="1" applyFont="1" applyBorder="1" applyAlignment="1">
      <alignment horizontal="center" vertical="center" wrapText="1"/>
    </xf>
    <xf numFmtId="0" fontId="26" fillId="0" borderId="3304" xfId="0" applyNumberFormat="1" applyFont="1" applyBorder="1" applyAlignment="1">
      <alignment horizontal="center" vertical="center" wrapText="1"/>
    </xf>
    <xf numFmtId="0" fontId="26" fillId="0" borderId="3305" xfId="0" applyNumberFormat="1" applyFont="1" applyBorder="1" applyAlignment="1">
      <alignment horizontal="center" vertical="center" wrapText="1"/>
    </xf>
    <xf numFmtId="0" fontId="26" fillId="0" borderId="3306" xfId="0" applyNumberFormat="1" applyFont="1" applyBorder="1" applyAlignment="1">
      <alignment horizontal="center" vertical="center" wrapText="1"/>
    </xf>
    <xf numFmtId="0" fontId="26" fillId="0" borderId="3307" xfId="0" applyNumberFormat="1" applyFont="1" applyBorder="1" applyAlignment="1">
      <alignment horizontal="center" vertical="center" wrapText="1"/>
    </xf>
    <xf numFmtId="0" fontId="26" fillId="0" borderId="3308" xfId="0" applyNumberFormat="1" applyFont="1" applyBorder="1" applyAlignment="1">
      <alignment horizontal="center" vertical="center" wrapText="1"/>
    </xf>
    <xf numFmtId="0" fontId="26" fillId="0" borderId="3316" xfId="0" applyNumberFormat="1" applyFont="1" applyBorder="1" applyAlignment="1">
      <alignment horizontal="center" vertical="center" wrapText="1"/>
    </xf>
    <xf numFmtId="0" fontId="26" fillId="0" borderId="3317" xfId="0" applyNumberFormat="1" applyFont="1" applyBorder="1" applyAlignment="1">
      <alignment horizontal="center" vertical="center" wrapText="1"/>
    </xf>
    <xf numFmtId="0" fontId="26" fillId="0" borderId="3318" xfId="0" applyNumberFormat="1" applyFont="1" applyBorder="1" applyAlignment="1">
      <alignment horizontal="center" vertical="center" wrapText="1"/>
    </xf>
    <xf numFmtId="0" fontId="26" fillId="0" borderId="3319" xfId="0" applyNumberFormat="1" applyFont="1" applyBorder="1" applyAlignment="1">
      <alignment horizontal="center" vertical="center" wrapText="1"/>
    </xf>
    <xf numFmtId="0" fontId="26" fillId="0" borderId="3320" xfId="0" applyNumberFormat="1" applyFont="1" applyBorder="1" applyAlignment="1">
      <alignment horizontal="center" vertical="center" wrapText="1"/>
    </xf>
    <xf numFmtId="0" fontId="26" fillId="0" borderId="3321" xfId="0" applyNumberFormat="1" applyFont="1" applyBorder="1" applyAlignment="1">
      <alignment horizontal="center" vertical="center" wrapText="1"/>
    </xf>
    <xf numFmtId="0" fontId="26" fillId="0" borderId="3322" xfId="0" applyNumberFormat="1" applyFont="1" applyBorder="1" applyAlignment="1">
      <alignment horizontal="center" vertical="center" wrapText="1"/>
    </xf>
    <xf numFmtId="0" fontId="26" fillId="0" borderId="3330" xfId="0" applyNumberFormat="1" applyFont="1" applyBorder="1" applyAlignment="1">
      <alignment horizontal="center" vertical="center" wrapText="1"/>
    </xf>
    <xf numFmtId="0" fontId="26" fillId="0" borderId="3331" xfId="0" applyNumberFormat="1" applyFont="1" applyBorder="1" applyAlignment="1">
      <alignment horizontal="center" vertical="center" wrapText="1"/>
    </xf>
    <xf numFmtId="0" fontId="26" fillId="0" borderId="3332" xfId="0" applyNumberFormat="1" applyFont="1" applyBorder="1" applyAlignment="1">
      <alignment horizontal="center" vertical="center" wrapText="1"/>
    </xf>
    <xf numFmtId="0" fontId="26" fillId="0" borderId="3333" xfId="0" applyNumberFormat="1" applyFont="1" applyBorder="1" applyAlignment="1">
      <alignment horizontal="center" vertical="center" wrapText="1"/>
    </xf>
    <xf numFmtId="0" fontId="26" fillId="0" borderId="3334" xfId="0" applyNumberFormat="1" applyFont="1" applyBorder="1" applyAlignment="1">
      <alignment horizontal="center" vertical="center" wrapText="1"/>
    </xf>
    <xf numFmtId="0" fontId="26" fillId="0" borderId="3335" xfId="0" applyNumberFormat="1" applyFont="1" applyBorder="1" applyAlignment="1">
      <alignment horizontal="center" vertical="center" wrapText="1"/>
    </xf>
    <xf numFmtId="0" fontId="26" fillId="0" borderId="3336" xfId="0" applyNumberFormat="1" applyFont="1" applyBorder="1" applyAlignment="1">
      <alignment horizontal="center" vertical="center" wrapText="1"/>
    </xf>
    <xf numFmtId="0" fontId="26" fillId="0" borderId="3344" xfId="0" applyNumberFormat="1" applyFont="1" applyBorder="1" applyAlignment="1">
      <alignment horizontal="center" vertical="center" wrapText="1"/>
    </xf>
    <xf numFmtId="0" fontId="26" fillId="0" borderId="3345" xfId="0" applyNumberFormat="1" applyFont="1" applyBorder="1" applyAlignment="1">
      <alignment horizontal="center" vertical="center" wrapText="1"/>
    </xf>
    <xf numFmtId="0" fontId="26" fillId="0" borderId="3346" xfId="0" applyNumberFormat="1" applyFont="1" applyBorder="1" applyAlignment="1">
      <alignment horizontal="center" vertical="center" wrapText="1"/>
    </xf>
    <xf numFmtId="0" fontId="26" fillId="0" borderId="3347" xfId="0" applyNumberFormat="1" applyFont="1" applyBorder="1" applyAlignment="1">
      <alignment horizontal="center" vertical="center" wrapText="1"/>
    </xf>
    <xf numFmtId="0" fontId="26" fillId="0" borderId="3348" xfId="0" applyNumberFormat="1" applyFont="1" applyBorder="1" applyAlignment="1">
      <alignment horizontal="center" vertical="center" wrapText="1"/>
    </xf>
    <xf numFmtId="0" fontId="26" fillId="0" borderId="3349" xfId="0" applyNumberFormat="1" applyFont="1" applyBorder="1" applyAlignment="1">
      <alignment horizontal="center" vertical="center" wrapText="1"/>
    </xf>
    <xf numFmtId="0" fontId="26" fillId="0" borderId="3350" xfId="0" applyNumberFormat="1" applyFont="1" applyBorder="1" applyAlignment="1">
      <alignment horizontal="center" vertical="center" wrapText="1"/>
    </xf>
    <xf numFmtId="0" fontId="26" fillId="0" borderId="3358" xfId="0" applyNumberFormat="1" applyFont="1" applyBorder="1" applyAlignment="1">
      <alignment horizontal="center" vertical="center" wrapText="1"/>
    </xf>
    <xf numFmtId="0" fontId="26" fillId="0" borderId="3359" xfId="0" applyNumberFormat="1" applyFont="1" applyBorder="1" applyAlignment="1">
      <alignment horizontal="center" vertical="center" wrapText="1"/>
    </xf>
    <xf numFmtId="0" fontId="26" fillId="0" borderId="3360" xfId="0" applyNumberFormat="1" applyFont="1" applyBorder="1" applyAlignment="1">
      <alignment horizontal="center" vertical="center" wrapText="1"/>
    </xf>
    <xf numFmtId="0" fontId="26" fillId="0" borderId="3361" xfId="0" applyNumberFormat="1" applyFont="1" applyBorder="1" applyAlignment="1">
      <alignment horizontal="center" vertical="center" wrapText="1"/>
    </xf>
    <xf numFmtId="0" fontId="26" fillId="0" borderId="3362" xfId="0" applyNumberFormat="1" applyFont="1" applyBorder="1" applyAlignment="1">
      <alignment horizontal="center" vertical="center" wrapText="1"/>
    </xf>
    <xf numFmtId="0" fontId="26" fillId="0" borderId="3363" xfId="0" applyNumberFormat="1" applyFont="1" applyBorder="1" applyAlignment="1">
      <alignment horizontal="center" vertical="center" wrapText="1"/>
    </xf>
    <xf numFmtId="0" fontId="26" fillId="0" borderId="3364" xfId="0" applyNumberFormat="1" applyFont="1" applyBorder="1" applyAlignment="1">
      <alignment horizontal="center" vertical="center" wrapText="1"/>
    </xf>
    <xf numFmtId="0" fontId="26" fillId="0" borderId="3373" xfId="0" applyNumberFormat="1" applyFont="1" applyBorder="1" applyAlignment="1">
      <alignment horizontal="center" vertical="center" wrapText="1"/>
    </xf>
    <xf numFmtId="0" fontId="26" fillId="0" borderId="3374" xfId="0" applyNumberFormat="1" applyFont="1" applyBorder="1" applyAlignment="1">
      <alignment horizontal="center" vertical="center" wrapText="1"/>
    </xf>
    <xf numFmtId="0" fontId="26" fillId="0" borderId="3375" xfId="0" applyNumberFormat="1" applyFont="1" applyBorder="1" applyAlignment="1">
      <alignment horizontal="center" vertical="center" wrapText="1"/>
    </xf>
    <xf numFmtId="0" fontId="26" fillId="0" borderId="3376" xfId="0" applyNumberFormat="1" applyFont="1" applyBorder="1" applyAlignment="1">
      <alignment horizontal="center" vertical="center" wrapText="1"/>
    </xf>
    <xf numFmtId="0" fontId="26" fillId="0" borderId="3377" xfId="0" applyNumberFormat="1" applyFont="1" applyBorder="1" applyAlignment="1">
      <alignment horizontal="center" vertical="center" wrapText="1"/>
    </xf>
    <xf numFmtId="0" fontId="26" fillId="0" borderId="3378" xfId="0" applyNumberFormat="1" applyFont="1" applyBorder="1" applyAlignment="1">
      <alignment horizontal="center" vertical="center" wrapText="1"/>
    </xf>
    <xf numFmtId="0" fontId="26" fillId="0" borderId="3379" xfId="0" applyNumberFormat="1" applyFont="1" applyBorder="1" applyAlignment="1">
      <alignment horizontal="center" vertical="center" wrapText="1"/>
    </xf>
    <xf numFmtId="0" fontId="40" fillId="0" borderId="3388" xfId="0" applyNumberFormat="1" applyFont="1" applyBorder="1" applyAlignment="1">
      <alignment horizontal="center" vertical="center" wrapText="1"/>
    </xf>
    <xf numFmtId="0" fontId="40" fillId="0" borderId="3389" xfId="0" applyNumberFormat="1" applyFont="1" applyBorder="1" applyAlignment="1">
      <alignment horizontal="center" vertical="center" wrapText="1"/>
    </xf>
    <xf numFmtId="0" fontId="40" fillId="0" borderId="3390" xfId="0" applyNumberFormat="1" applyFont="1" applyBorder="1" applyAlignment="1">
      <alignment horizontal="center" vertical="center" wrapText="1"/>
    </xf>
    <xf numFmtId="0" fontId="40" fillId="0" borderId="3391" xfId="0" applyNumberFormat="1" applyFont="1" applyBorder="1" applyAlignment="1">
      <alignment horizontal="center" vertical="center" wrapText="1"/>
    </xf>
    <xf numFmtId="0" fontId="40" fillId="0" borderId="3392" xfId="0" applyNumberFormat="1" applyFont="1" applyBorder="1" applyAlignment="1">
      <alignment horizontal="center" vertical="center" wrapText="1"/>
    </xf>
    <xf numFmtId="0" fontId="40" fillId="0" borderId="3393" xfId="0" applyNumberFormat="1" applyFont="1" applyBorder="1" applyAlignment="1">
      <alignment horizontal="center" vertical="center" wrapText="1"/>
    </xf>
    <xf numFmtId="0" fontId="40" fillId="0" borderId="3394" xfId="0" applyNumberFormat="1" applyFont="1" applyBorder="1" applyAlignment="1">
      <alignment horizontal="center" vertical="center" wrapText="1"/>
    </xf>
    <xf numFmtId="0" fontId="40" fillId="0" borderId="3402" xfId="0" applyNumberFormat="1" applyFont="1" applyBorder="1" applyAlignment="1">
      <alignment horizontal="center" vertical="center" wrapText="1"/>
    </xf>
    <xf numFmtId="0" fontId="40" fillId="0" borderId="3403" xfId="0" applyNumberFormat="1" applyFont="1" applyBorder="1" applyAlignment="1">
      <alignment horizontal="center" vertical="center" wrapText="1"/>
    </xf>
    <xf numFmtId="0" fontId="40" fillId="0" borderId="3404" xfId="0" applyNumberFormat="1" applyFont="1" applyBorder="1" applyAlignment="1">
      <alignment horizontal="center" vertical="center" wrapText="1"/>
    </xf>
    <xf numFmtId="0" fontId="40" fillId="0" borderId="3405" xfId="0" applyNumberFormat="1" applyFont="1" applyBorder="1" applyAlignment="1">
      <alignment horizontal="center" vertical="center" wrapText="1"/>
    </xf>
    <xf numFmtId="0" fontId="40" fillId="0" borderId="3406" xfId="0" applyNumberFormat="1" applyFont="1" applyBorder="1" applyAlignment="1">
      <alignment horizontal="center" vertical="center" wrapText="1"/>
    </xf>
    <xf numFmtId="0" fontId="40" fillId="0" borderId="3407" xfId="0" applyNumberFormat="1" applyFont="1" applyBorder="1" applyAlignment="1">
      <alignment horizontal="center" vertical="center" wrapText="1"/>
    </xf>
    <xf numFmtId="0" fontId="40" fillId="0" borderId="3408" xfId="0" applyNumberFormat="1" applyFont="1" applyBorder="1" applyAlignment="1">
      <alignment horizontal="center" vertical="center" wrapText="1"/>
    </xf>
    <xf numFmtId="0" fontId="42" fillId="0" borderId="3246" xfId="0" applyNumberFormat="1" applyFont="1" applyBorder="1" applyAlignment="1">
      <alignment horizontal="center" vertical="center" wrapText="1"/>
    </xf>
    <xf numFmtId="0" fontId="42" fillId="0" borderId="3239" xfId="0" applyNumberFormat="1" applyFont="1" applyBorder="1" applyAlignment="1">
      <alignment horizontal="center" vertical="center" wrapText="1"/>
    </xf>
    <xf numFmtId="0" fontId="42" fillId="0" borderId="3232" xfId="0" applyNumberFormat="1" applyFont="1" applyBorder="1" applyAlignment="1">
      <alignment horizontal="center" vertical="center" wrapText="1"/>
    </xf>
    <xf numFmtId="0" fontId="42" fillId="0" borderId="3247" xfId="0" applyNumberFormat="1" applyFont="1" applyBorder="1" applyAlignment="1">
      <alignment horizontal="center" vertical="center" wrapText="1"/>
    </xf>
    <xf numFmtId="0" fontId="42" fillId="0" borderId="3240" xfId="0" applyNumberFormat="1" applyFont="1" applyBorder="1" applyAlignment="1">
      <alignment horizontal="center" vertical="center" wrapText="1"/>
    </xf>
    <xf numFmtId="0" fontId="42" fillId="0" borderId="3233" xfId="0" applyNumberFormat="1" applyFont="1" applyBorder="1" applyAlignment="1">
      <alignment horizontal="center" vertical="center" wrapText="1"/>
    </xf>
    <xf numFmtId="0" fontId="42" fillId="0" borderId="3225" xfId="0" applyNumberFormat="1" applyFont="1" applyBorder="1" applyAlignment="1">
      <alignment horizontal="center" vertical="center" wrapText="1"/>
    </xf>
    <xf numFmtId="0" fontId="42" fillId="0" borderId="3242" xfId="0" applyNumberFormat="1" applyFont="1" applyBorder="1" applyAlignment="1">
      <alignment horizontal="center" vertical="center" wrapText="1"/>
    </xf>
    <xf numFmtId="0" fontId="42" fillId="0" borderId="3228" xfId="0" applyNumberFormat="1" applyFont="1" applyBorder="1" applyAlignment="1">
      <alignment horizontal="center" vertical="center" wrapText="1"/>
    </xf>
    <xf numFmtId="0" fontId="42" fillId="0" borderId="3235" xfId="0" applyNumberFormat="1" applyFont="1" applyBorder="1" applyAlignment="1">
      <alignment horizontal="center" vertical="center" wrapText="1"/>
    </xf>
    <xf numFmtId="0" fontId="42" fillId="0" borderId="3249" xfId="0" applyNumberFormat="1" applyFont="1" applyBorder="1" applyAlignment="1">
      <alignment horizontal="center" vertical="center" wrapText="1"/>
    </xf>
    <xf numFmtId="0" fontId="42" fillId="0" borderId="3226" xfId="0" applyNumberFormat="1" applyFont="1" applyBorder="1" applyAlignment="1">
      <alignment horizontal="center" vertical="center" wrapText="1"/>
    </xf>
    <xf numFmtId="0" fontId="42" fillId="0" borderId="3219" xfId="0" applyNumberFormat="1" applyFont="1" applyBorder="1" applyAlignment="1">
      <alignment horizontal="center" vertical="center" wrapText="1"/>
    </xf>
    <xf numFmtId="0" fontId="42" fillId="0" borderId="3212" xfId="0" applyNumberFormat="1" applyFont="1" applyBorder="1" applyAlignment="1">
      <alignment horizontal="center" vertical="center" wrapText="1"/>
    </xf>
    <xf numFmtId="0" fontId="42" fillId="0" borderId="3205" xfId="0" applyNumberFormat="1" applyFont="1" applyBorder="1" applyAlignment="1">
      <alignment horizontal="center" vertical="center" wrapText="1"/>
    </xf>
    <xf numFmtId="1" fontId="42" fillId="0" borderId="18" xfId="0" applyNumberFormat="1" applyFont="1" applyBorder="1" applyAlignment="1">
      <alignment horizontal="center" vertical="center" wrapText="1"/>
    </xf>
    <xf numFmtId="1" fontId="42" fillId="0" borderId="3198" xfId="0" applyNumberFormat="1" applyFont="1" applyBorder="1" applyAlignment="1">
      <alignment horizontal="center" vertical="center" wrapText="1"/>
    </xf>
    <xf numFmtId="0" fontId="38" fillId="0" borderId="3190" xfId="0" applyNumberFormat="1" applyFont="1" applyBorder="1" applyAlignment="1">
      <alignment horizontal="center" vertical="center" wrapText="1"/>
    </xf>
    <xf numFmtId="0" fontId="42" fillId="0" borderId="3227" xfId="0" applyNumberFormat="1" applyFont="1" applyBorder="1" applyAlignment="1">
      <alignment horizontal="center" vertical="center" wrapText="1"/>
    </xf>
    <xf numFmtId="0" fontId="42" fillId="0" borderId="3234" xfId="0" applyNumberFormat="1" applyFont="1" applyBorder="1" applyAlignment="1">
      <alignment horizontal="center" vertical="center" wrapText="1"/>
    </xf>
    <xf numFmtId="0" fontId="42" fillId="0" borderId="3241" xfId="0" applyNumberFormat="1" applyFont="1" applyBorder="1" applyAlignment="1">
      <alignment horizontal="center" vertical="center" wrapText="1"/>
    </xf>
    <xf numFmtId="0" fontId="42" fillId="0" borderId="3248" xfId="0" applyNumberFormat="1" applyFont="1" applyBorder="1" applyAlignment="1">
      <alignment horizontal="center" vertical="center" wrapText="1"/>
    </xf>
    <xf numFmtId="0" fontId="42" fillId="0" borderId="3220" xfId="0" applyNumberFormat="1" applyFont="1" applyBorder="1" applyAlignment="1">
      <alignment horizontal="center" vertical="center" wrapText="1"/>
    </xf>
    <xf numFmtId="0" fontId="42" fillId="0" borderId="3213" xfId="0" applyNumberFormat="1" applyFont="1" applyBorder="1" applyAlignment="1">
      <alignment horizontal="center" vertical="center" wrapText="1"/>
    </xf>
    <xf numFmtId="0" fontId="42" fillId="0" borderId="3206" xfId="0" applyNumberFormat="1" applyFont="1" applyBorder="1" applyAlignment="1">
      <alignment horizontal="center" vertical="center" wrapText="1"/>
    </xf>
    <xf numFmtId="0" fontId="38" fillId="0" borderId="3193" xfId="0" applyNumberFormat="1" applyFont="1" applyBorder="1" applyAlignment="1">
      <alignment horizontal="center" vertical="center" wrapText="1"/>
    </xf>
    <xf numFmtId="0" fontId="42" fillId="0" borderId="3200" xfId="0" applyNumberFormat="1" applyFont="1" applyBorder="1" applyAlignment="1">
      <alignment horizontal="center" vertical="center" wrapText="1"/>
    </xf>
    <xf numFmtId="0" fontId="42" fillId="0" borderId="3199" xfId="0" applyNumberFormat="1" applyFont="1" applyBorder="1" applyAlignment="1">
      <alignment horizontal="center" vertical="center" wrapText="1"/>
    </xf>
    <xf numFmtId="0" fontId="38" fillId="0" borderId="3191" xfId="0" applyNumberFormat="1" applyFont="1" applyBorder="1" applyAlignment="1">
      <alignment horizontal="center" vertical="center" wrapText="1"/>
    </xf>
    <xf numFmtId="0" fontId="42" fillId="0" borderId="3207" xfId="0" applyNumberFormat="1" applyFont="1" applyBorder="1" applyAlignment="1">
      <alignment horizontal="center" vertical="center" wrapText="1"/>
    </xf>
    <xf numFmtId="0" fontId="42" fillId="0" borderId="3214" xfId="0" applyNumberFormat="1" applyFont="1" applyBorder="1" applyAlignment="1">
      <alignment horizontal="center" vertical="center" wrapText="1"/>
    </xf>
    <xf numFmtId="0" fontId="42" fillId="0" borderId="3221" xfId="0" applyNumberFormat="1" applyFont="1" applyBorder="1" applyAlignment="1">
      <alignment horizontal="center" vertical="center" wrapText="1"/>
    </xf>
    <xf numFmtId="0" fontId="38" fillId="0" borderId="3174" xfId="0" applyNumberFormat="1" applyFont="1" applyBorder="1" applyAlignment="1">
      <alignment horizontal="center" vertical="center" wrapText="1"/>
    </xf>
    <xf numFmtId="0" fontId="38" fillId="0" borderId="3175" xfId="0" applyNumberFormat="1" applyFont="1" applyBorder="1" applyAlignment="1">
      <alignment horizontal="center" vertical="center" wrapText="1"/>
    </xf>
    <xf numFmtId="0" fontId="38" fillId="0" borderId="3176" xfId="0" applyNumberFormat="1" applyFont="1" applyBorder="1" applyAlignment="1">
      <alignment horizontal="center" vertical="center" wrapText="1"/>
    </xf>
    <xf numFmtId="0" fontId="38" fillId="0" borderId="3177" xfId="0" applyNumberFormat="1" applyFont="1" applyBorder="1" applyAlignment="1">
      <alignment horizontal="center" vertical="center" wrapText="1"/>
    </xf>
    <xf numFmtId="0" fontId="38" fillId="0" borderId="3178" xfId="0" applyNumberFormat="1" applyFont="1" applyBorder="1" applyAlignment="1">
      <alignment horizontal="center" vertical="center" wrapText="1"/>
    </xf>
    <xf numFmtId="0" fontId="38" fillId="0" borderId="3179" xfId="0" applyNumberFormat="1" applyFont="1" applyBorder="1" applyAlignment="1">
      <alignment horizontal="center" vertical="center" wrapText="1"/>
    </xf>
    <xf numFmtId="0" fontId="38" fillId="0" borderId="3180" xfId="0" applyNumberFormat="1" applyFont="1" applyBorder="1" applyAlignment="1">
      <alignment horizontal="center" vertical="center" wrapText="1"/>
    </xf>
    <xf numFmtId="0" fontId="38" fillId="0" borderId="3181" xfId="0" applyNumberFormat="1" applyFont="1" applyBorder="1" applyAlignment="1">
      <alignment horizontal="center" vertical="center" wrapText="1"/>
    </xf>
    <xf numFmtId="0" fontId="38" fillId="0" borderId="3182" xfId="0" applyNumberFormat="1" applyFont="1" applyBorder="1" applyAlignment="1">
      <alignment horizontal="center" vertical="center" wrapText="1"/>
    </xf>
    <xf numFmtId="0" fontId="38" fillId="0" borderId="3183" xfId="0" applyNumberFormat="1" applyFont="1" applyBorder="1" applyAlignment="1">
      <alignment horizontal="center" vertical="center" wrapText="1"/>
    </xf>
    <xf numFmtId="0" fontId="38" fillId="0" borderId="3184" xfId="0" applyNumberFormat="1" applyFont="1" applyBorder="1" applyAlignment="1">
      <alignment horizontal="center" vertical="center" wrapText="1"/>
    </xf>
    <xf numFmtId="0" fontId="38" fillId="0" borderId="3192" xfId="0" applyNumberFormat="1" applyFont="1" applyBorder="1" applyAlignment="1">
      <alignment horizontal="center" vertical="center" wrapText="1"/>
    </xf>
    <xf numFmtId="1" fontId="42" fillId="0" borderId="3197" xfId="0" applyNumberFormat="1" applyFont="1" applyBorder="1" applyAlignment="1">
      <alignment horizontal="center" vertical="center" wrapText="1"/>
    </xf>
    <xf numFmtId="0" fontId="42" fillId="0" borderId="3204" xfId="0" applyNumberFormat="1" applyFont="1" applyBorder="1" applyAlignment="1">
      <alignment horizontal="center" vertical="center" wrapText="1"/>
    </xf>
    <xf numFmtId="0" fontId="42" fillId="0" borderId="3211" xfId="0" applyNumberFormat="1" applyFont="1" applyBorder="1" applyAlignment="1">
      <alignment horizontal="center" vertical="center" wrapText="1"/>
    </xf>
    <xf numFmtId="0" fontId="42" fillId="0" borderId="3218" xfId="0" applyNumberFormat="1" applyFont="1" applyBorder="1" applyAlignment="1">
      <alignment horizontal="center" vertical="center" wrapText="1"/>
    </xf>
    <xf numFmtId="0" fontId="38" fillId="0" borderId="3187" xfId="0" applyNumberFormat="1" applyFont="1" applyBorder="1" applyAlignment="1">
      <alignment horizontal="center" vertical="center" wrapText="1"/>
    </xf>
    <xf numFmtId="0" fontId="38" fillId="0" borderId="3189" xfId="0" applyNumberFormat="1" applyFont="1" applyBorder="1" applyAlignment="1">
      <alignment horizontal="center" vertical="center" wrapText="1"/>
    </xf>
    <xf numFmtId="0" fontId="38" fillId="0" borderId="3165" xfId="0" applyNumberFormat="1" applyFont="1" applyBorder="1" applyAlignment="1">
      <alignment horizontal="left"/>
    </xf>
    <xf numFmtId="0" fontId="38" fillId="0" borderId="3166" xfId="0" applyNumberFormat="1" applyFont="1" applyBorder="1" applyAlignment="1">
      <alignment horizontal="left"/>
    </xf>
    <xf numFmtId="0" fontId="38" fillId="0" borderId="3167" xfId="0" applyNumberFormat="1" applyFont="1" applyBorder="1" applyAlignment="1">
      <alignment horizontal="left"/>
    </xf>
    <xf numFmtId="0" fontId="38" fillId="0" borderId="3168" xfId="0" applyNumberFormat="1" applyFont="1" applyBorder="1" applyAlignment="1">
      <alignment horizontal="left"/>
    </xf>
    <xf numFmtId="0" fontId="38" fillId="0" borderId="3169" xfId="0" applyNumberFormat="1" applyFont="1" applyBorder="1" applyAlignment="1">
      <alignment horizontal="left"/>
    </xf>
    <xf numFmtId="0" fontId="38" fillId="0" borderId="3170" xfId="0" applyNumberFormat="1" applyFont="1" applyBorder="1" applyAlignment="1">
      <alignment horizontal="left"/>
    </xf>
    <xf numFmtId="0" fontId="38" fillId="0" borderId="3171" xfId="0" applyNumberFormat="1" applyFont="1" applyBorder="1" applyAlignment="1">
      <alignment horizontal="left"/>
    </xf>
    <xf numFmtId="0" fontId="38" fillId="0" borderId="3157" xfId="0" applyNumberFormat="1" applyFont="1" applyBorder="1" applyAlignment="1">
      <alignment horizontal="left"/>
    </xf>
    <xf numFmtId="0" fontId="38" fillId="0" borderId="3158" xfId="0" applyNumberFormat="1" applyFont="1" applyBorder="1" applyAlignment="1">
      <alignment horizontal="left"/>
    </xf>
    <xf numFmtId="0" fontId="38" fillId="0" borderId="3159" xfId="0" applyNumberFormat="1" applyFont="1" applyBorder="1" applyAlignment="1">
      <alignment horizontal="left"/>
    </xf>
    <xf numFmtId="0" fontId="38" fillId="0" borderId="3160" xfId="0" applyNumberFormat="1" applyFont="1" applyBorder="1" applyAlignment="1">
      <alignment horizontal="left"/>
    </xf>
    <xf numFmtId="0" fontId="38" fillId="0" borderId="3161" xfId="0" applyNumberFormat="1" applyFont="1" applyBorder="1" applyAlignment="1">
      <alignment horizontal="left"/>
    </xf>
    <xf numFmtId="0" fontId="38" fillId="0" borderId="3162" xfId="0" applyNumberFormat="1" applyFont="1" applyBorder="1" applyAlignment="1">
      <alignment horizontal="left"/>
    </xf>
    <xf numFmtId="0" fontId="38" fillId="0" borderId="3163" xfId="0" applyNumberFormat="1" applyFont="1" applyBorder="1" applyAlignment="1">
      <alignment horizontal="left"/>
    </xf>
    <xf numFmtId="0" fontId="38" fillId="0" borderId="3149" xfId="0" applyNumberFormat="1" applyFont="1" applyBorder="1" applyAlignment="1">
      <alignment horizontal="left"/>
    </xf>
    <xf numFmtId="0" fontId="38" fillId="0" borderId="3150" xfId="0" applyNumberFormat="1" applyFont="1" applyBorder="1" applyAlignment="1">
      <alignment horizontal="left"/>
    </xf>
    <xf numFmtId="0" fontId="38" fillId="0" borderId="3151" xfId="0" applyNumberFormat="1" applyFont="1" applyBorder="1" applyAlignment="1">
      <alignment horizontal="left"/>
    </xf>
    <xf numFmtId="0" fontId="38" fillId="0" borderId="3152" xfId="0" applyNumberFormat="1" applyFont="1" applyBorder="1" applyAlignment="1">
      <alignment horizontal="left"/>
    </xf>
    <xf numFmtId="0" fontId="38" fillId="0" borderId="3153" xfId="0" applyNumberFormat="1" applyFont="1" applyBorder="1" applyAlignment="1">
      <alignment horizontal="left"/>
    </xf>
    <xf numFmtId="0" fontId="38" fillId="0" borderId="3154" xfId="0" applyNumberFormat="1" applyFont="1" applyBorder="1" applyAlignment="1">
      <alignment horizontal="left"/>
    </xf>
    <xf numFmtId="0" fontId="38" fillId="0" borderId="3155" xfId="0" applyNumberFormat="1" applyFont="1" applyBorder="1" applyAlignment="1">
      <alignment horizontal="left"/>
    </xf>
    <xf numFmtId="0" fontId="38" fillId="0" borderId="3141" xfId="0" applyNumberFormat="1" applyFont="1" applyBorder="1" applyAlignment="1">
      <alignment horizontal="left"/>
    </xf>
    <xf numFmtId="0" fontId="38" fillId="0" borderId="3142" xfId="0" applyNumberFormat="1" applyFont="1" applyBorder="1" applyAlignment="1">
      <alignment horizontal="left"/>
    </xf>
    <xf numFmtId="0" fontId="38" fillId="0" borderId="3143" xfId="0" applyNumberFormat="1" applyFont="1" applyBorder="1" applyAlignment="1">
      <alignment horizontal="left"/>
    </xf>
    <xf numFmtId="0" fontId="38" fillId="0" borderId="3144" xfId="0" applyNumberFormat="1" applyFont="1" applyBorder="1" applyAlignment="1">
      <alignment horizontal="left"/>
    </xf>
    <xf numFmtId="0" fontId="38" fillId="0" borderId="3145" xfId="0" applyNumberFormat="1" applyFont="1" applyBorder="1" applyAlignment="1">
      <alignment horizontal="left"/>
    </xf>
    <xf numFmtId="0" fontId="38" fillId="0" borderId="3146" xfId="0" applyNumberFormat="1" applyFont="1" applyBorder="1" applyAlignment="1">
      <alignment horizontal="left"/>
    </xf>
    <xf numFmtId="0" fontId="38" fillId="0" borderId="3147" xfId="0" applyNumberFormat="1" applyFont="1" applyBorder="1" applyAlignment="1">
      <alignment horizontal="left"/>
    </xf>
    <xf numFmtId="0" fontId="38" fillId="0" borderId="3133" xfId="0" applyNumberFormat="1" applyFont="1" applyBorder="1" applyAlignment="1">
      <alignment horizontal="left"/>
    </xf>
    <xf numFmtId="0" fontId="38" fillId="0" borderId="3134" xfId="0" applyNumberFormat="1" applyFont="1" applyBorder="1" applyAlignment="1">
      <alignment horizontal="left"/>
    </xf>
    <xf numFmtId="0" fontId="38" fillId="0" borderId="3135" xfId="0" applyNumberFormat="1" applyFont="1" applyBorder="1" applyAlignment="1">
      <alignment horizontal="left"/>
    </xf>
    <xf numFmtId="0" fontId="38" fillId="0" borderId="3136" xfId="0" applyNumberFormat="1" applyFont="1" applyBorder="1" applyAlignment="1">
      <alignment horizontal="left"/>
    </xf>
    <xf numFmtId="0" fontId="38" fillId="0" borderId="3137" xfId="0" applyNumberFormat="1" applyFont="1" applyBorder="1" applyAlignment="1">
      <alignment horizontal="left"/>
    </xf>
    <xf numFmtId="0" fontId="38" fillId="0" borderId="3138" xfId="0" applyNumberFormat="1" applyFont="1" applyBorder="1" applyAlignment="1">
      <alignment horizontal="left"/>
    </xf>
    <xf numFmtId="0" fontId="38" fillId="0" borderId="3139" xfId="0" applyNumberFormat="1" applyFont="1" applyBorder="1" applyAlignment="1">
      <alignment horizontal="left"/>
    </xf>
    <xf numFmtId="0" fontId="38" fillId="0" borderId="3125" xfId="0" applyNumberFormat="1" applyFont="1" applyBorder="1" applyAlignment="1">
      <alignment horizontal="left"/>
    </xf>
    <xf numFmtId="0" fontId="38" fillId="0" borderId="3126" xfId="0" applyNumberFormat="1" applyFont="1" applyBorder="1" applyAlignment="1">
      <alignment horizontal="left"/>
    </xf>
    <xf numFmtId="0" fontId="38" fillId="0" borderId="3127" xfId="0" applyNumberFormat="1" applyFont="1" applyBorder="1" applyAlignment="1">
      <alignment horizontal="left"/>
    </xf>
    <xf numFmtId="0" fontId="38" fillId="0" borderId="3128" xfId="0" applyNumberFormat="1" applyFont="1" applyBorder="1" applyAlignment="1">
      <alignment horizontal="left"/>
    </xf>
    <xf numFmtId="0" fontId="38" fillId="0" borderId="3129" xfId="0" applyNumberFormat="1" applyFont="1" applyBorder="1" applyAlignment="1">
      <alignment horizontal="left"/>
    </xf>
    <xf numFmtId="0" fontId="38" fillId="0" borderId="3130" xfId="0" applyNumberFormat="1" applyFont="1" applyBorder="1" applyAlignment="1">
      <alignment horizontal="left"/>
    </xf>
    <xf numFmtId="0" fontId="38" fillId="0" borderId="3131" xfId="0" applyNumberFormat="1" applyFont="1" applyBorder="1" applyAlignment="1">
      <alignment horizontal="left"/>
    </xf>
    <xf numFmtId="0" fontId="38" fillId="0" borderId="3117" xfId="0" applyNumberFormat="1" applyFont="1" applyBorder="1" applyAlignment="1">
      <alignment horizontal="left"/>
    </xf>
    <xf numFmtId="0" fontId="38" fillId="0" borderId="3118" xfId="0" applyNumberFormat="1" applyFont="1" applyBorder="1" applyAlignment="1">
      <alignment horizontal="left"/>
    </xf>
    <xf numFmtId="0" fontId="38" fillId="0" borderId="3119" xfId="0" applyNumberFormat="1" applyFont="1" applyBorder="1" applyAlignment="1">
      <alignment horizontal="left"/>
    </xf>
    <xf numFmtId="0" fontId="38" fillId="0" borderId="3120" xfId="0" applyNumberFormat="1" applyFont="1" applyBorder="1" applyAlignment="1">
      <alignment horizontal="left"/>
    </xf>
    <xf numFmtId="0" fontId="38" fillId="0" borderId="3121" xfId="0" applyNumberFormat="1" applyFont="1" applyBorder="1" applyAlignment="1">
      <alignment horizontal="left"/>
    </xf>
    <xf numFmtId="0" fontId="38" fillId="0" borderId="3122" xfId="0" applyNumberFormat="1" applyFont="1" applyBorder="1" applyAlignment="1">
      <alignment horizontal="left"/>
    </xf>
    <xf numFmtId="0" fontId="38" fillId="0" borderId="3123" xfId="0" applyNumberFormat="1" applyFont="1" applyBorder="1" applyAlignment="1">
      <alignment horizontal="left"/>
    </xf>
    <xf numFmtId="0" fontId="38" fillId="0" borderId="3109" xfId="0" applyNumberFormat="1" applyFont="1" applyBorder="1" applyAlignment="1">
      <alignment horizontal="left"/>
    </xf>
    <xf numFmtId="0" fontId="38" fillId="0" borderId="3110" xfId="0" applyNumberFormat="1" applyFont="1" applyBorder="1" applyAlignment="1">
      <alignment horizontal="left"/>
    </xf>
    <xf numFmtId="0" fontId="38" fillId="0" borderId="3111" xfId="0" applyNumberFormat="1" applyFont="1" applyBorder="1" applyAlignment="1">
      <alignment horizontal="left"/>
    </xf>
    <xf numFmtId="0" fontId="38" fillId="0" borderId="3112" xfId="0" applyNumberFormat="1" applyFont="1" applyBorder="1" applyAlignment="1">
      <alignment horizontal="left"/>
    </xf>
    <xf numFmtId="0" fontId="38" fillId="0" borderId="3113" xfId="0" applyNumberFormat="1" applyFont="1" applyBorder="1" applyAlignment="1">
      <alignment horizontal="left"/>
    </xf>
    <xf numFmtId="0" fontId="38" fillId="0" borderId="3114" xfId="0" applyNumberFormat="1" applyFont="1" applyBorder="1" applyAlignment="1">
      <alignment horizontal="left"/>
    </xf>
    <xf numFmtId="0" fontId="38" fillId="0" borderId="3115" xfId="0" applyNumberFormat="1" applyFont="1" applyBorder="1" applyAlignment="1">
      <alignment horizontal="left"/>
    </xf>
    <xf numFmtId="0" fontId="41" fillId="0" borderId="3060" xfId="0" applyNumberFormat="1" applyFont="1" applyBorder="1" applyAlignment="1">
      <alignment horizontal="center"/>
    </xf>
    <xf numFmtId="0" fontId="41" fillId="0" borderId="3068" xfId="0" applyNumberFormat="1" applyFont="1" applyBorder="1" applyAlignment="1">
      <alignment horizontal="center"/>
    </xf>
    <xf numFmtId="0" fontId="41" fillId="0" borderId="3076" xfId="0" applyNumberFormat="1" applyFont="1" applyBorder="1" applyAlignment="1">
      <alignment horizontal="center"/>
    </xf>
    <xf numFmtId="0" fontId="41" fillId="0" borderId="3084" xfId="0" applyNumberFormat="1" applyFont="1" applyBorder="1" applyAlignment="1">
      <alignment horizontal="center"/>
    </xf>
    <xf numFmtId="0" fontId="41" fillId="0" borderId="3092" xfId="0" applyNumberFormat="1" applyFont="1" applyBorder="1" applyAlignment="1">
      <alignment horizontal="center"/>
    </xf>
    <xf numFmtId="0" fontId="41" fillId="0" borderId="3100" xfId="0" applyNumberFormat="1" applyFont="1" applyBorder="1" applyAlignment="1">
      <alignment horizontal="center"/>
    </xf>
    <xf numFmtId="0" fontId="41" fillId="0" borderId="3108" xfId="0" applyNumberFormat="1" applyFont="1" applyBorder="1" applyAlignment="1">
      <alignment horizontal="center"/>
    </xf>
    <xf numFmtId="0" fontId="41" fillId="0" borderId="3116" xfId="0" applyNumberFormat="1" applyFont="1" applyBorder="1" applyAlignment="1">
      <alignment horizontal="center"/>
    </xf>
    <xf numFmtId="0" fontId="41" fillId="0" borderId="3124" xfId="0" applyNumberFormat="1" applyFont="1" applyBorder="1" applyAlignment="1">
      <alignment horizontal="center"/>
    </xf>
    <xf numFmtId="0" fontId="41" fillId="0" borderId="3132" xfId="0" applyNumberFormat="1" applyFont="1" applyBorder="1" applyAlignment="1">
      <alignment horizontal="center"/>
    </xf>
    <xf numFmtId="0" fontId="41" fillId="0" borderId="3140" xfId="0" applyNumberFormat="1" applyFont="1" applyBorder="1" applyAlignment="1">
      <alignment horizontal="center"/>
    </xf>
    <xf numFmtId="0" fontId="41" fillId="0" borderId="3148" xfId="0" applyNumberFormat="1" applyFont="1" applyBorder="1" applyAlignment="1">
      <alignment horizontal="center"/>
    </xf>
    <xf numFmtId="0" fontId="41" fillId="0" borderId="3156" xfId="0" applyNumberFormat="1" applyFont="1" applyBorder="1" applyAlignment="1">
      <alignment horizontal="center"/>
    </xf>
    <xf numFmtId="0" fontId="38" fillId="0" borderId="3173" xfId="0" applyNumberFormat="1" applyFont="1" applyBorder="1" applyAlignment="1">
      <alignment horizontal="center" vertical="center" wrapText="1"/>
    </xf>
    <xf numFmtId="0" fontId="38" fillId="0" borderId="3185" xfId="0" applyNumberFormat="1" applyFont="1" applyBorder="1" applyAlignment="1">
      <alignment horizontal="center" vertical="center" wrapText="1"/>
    </xf>
    <xf numFmtId="0" fontId="38" fillId="0" borderId="3186" xfId="0" applyNumberFormat="1" applyFont="1" applyBorder="1" applyAlignment="1">
      <alignment horizontal="center" vertical="center" wrapText="1"/>
    </xf>
    <xf numFmtId="0" fontId="38" fillId="0" borderId="3194" xfId="0" applyNumberFormat="1" applyFont="1" applyBorder="1" applyAlignment="1">
      <alignment horizontal="center" vertical="center" wrapText="1"/>
    </xf>
    <xf numFmtId="0" fontId="38" fillId="0" borderId="3201" xfId="0" applyNumberFormat="1" applyFont="1" applyBorder="1" applyAlignment="1">
      <alignment horizontal="center" vertical="center" wrapText="1"/>
    </xf>
    <xf numFmtId="0" fontId="38" fillId="0" borderId="3208" xfId="0" applyNumberFormat="1" applyFont="1" applyBorder="1" applyAlignment="1">
      <alignment horizontal="center" vertical="center" wrapText="1"/>
    </xf>
    <xf numFmtId="174" fontId="38" fillId="0" borderId="18" xfId="0" applyNumberFormat="1" applyFont="1" applyBorder="1" applyAlignment="1">
      <alignment horizontal="center" vertical="center" wrapText="1"/>
    </xf>
    <xf numFmtId="174" fontId="38" fillId="0" borderId="3215" xfId="0" applyNumberFormat="1" applyFont="1" applyBorder="1" applyAlignment="1">
      <alignment horizontal="center" vertical="center" wrapText="1"/>
    </xf>
    <xf numFmtId="0" fontId="38" fillId="0" borderId="3222" xfId="0" applyNumberFormat="1" applyFont="1" applyBorder="1" applyAlignment="1">
      <alignment horizontal="center" vertical="center" wrapText="1"/>
    </xf>
    <xf numFmtId="0" fontId="38" fillId="0" borderId="3229" xfId="0" applyNumberFormat="1" applyFont="1" applyBorder="1" applyAlignment="1">
      <alignment horizontal="center" vertical="center" wrapText="1"/>
    </xf>
    <xf numFmtId="0" fontId="38" fillId="0" borderId="3236" xfId="0" applyNumberFormat="1" applyFont="1" applyBorder="1" applyAlignment="1">
      <alignment horizontal="center" vertical="center" wrapText="1"/>
    </xf>
    <xf numFmtId="0" fontId="38" fillId="0" borderId="3243" xfId="0" applyNumberFormat="1" applyFont="1" applyBorder="1" applyAlignment="1">
      <alignment horizontal="center" vertical="center" wrapText="1"/>
    </xf>
    <xf numFmtId="0" fontId="38" fillId="0" borderId="2945" xfId="0" applyNumberFormat="1" applyFont="1" applyBorder="1" applyAlignment="1">
      <alignment horizontal="center" vertical="center" textRotation="90"/>
    </xf>
    <xf numFmtId="0" fontId="38" fillId="0" borderId="3886" xfId="0" applyNumberFormat="1" applyFont="1" applyBorder="1" applyAlignment="1">
      <alignment horizontal="center"/>
    </xf>
    <xf numFmtId="0" fontId="38" fillId="0" borderId="3887" xfId="0" applyNumberFormat="1" applyFont="1" applyBorder="1" applyAlignment="1">
      <alignment horizontal="center"/>
    </xf>
    <xf numFmtId="0" fontId="38" fillId="0" borderId="3888" xfId="0" applyNumberFormat="1" applyFont="1" applyBorder="1" applyAlignment="1">
      <alignment horizontal="center"/>
    </xf>
    <xf numFmtId="0" fontId="38" fillId="0" borderId="3889" xfId="0" applyNumberFormat="1" applyFont="1" applyBorder="1" applyAlignment="1">
      <alignment horizontal="center"/>
    </xf>
    <xf numFmtId="0" fontId="47" fillId="0" borderId="0" xfId="0" applyNumberFormat="1" applyFont="1" applyAlignment="1">
      <alignment horizontal="center"/>
    </xf>
    <xf numFmtId="0" fontId="38" fillId="0" borderId="3876" xfId="0" applyNumberFormat="1" applyFont="1" applyBorder="1" applyAlignment="1">
      <alignment horizontal="center"/>
    </xf>
    <xf numFmtId="0" fontId="38" fillId="0" borderId="3877" xfId="0" applyNumberFormat="1" applyFont="1" applyBorder="1" applyAlignment="1">
      <alignment horizontal="center"/>
    </xf>
    <xf numFmtId="0" fontId="38" fillId="0" borderId="3878" xfId="0" applyNumberFormat="1" applyFont="1" applyBorder="1" applyAlignment="1">
      <alignment horizontal="center"/>
    </xf>
    <xf numFmtId="0" fontId="38" fillId="0" borderId="3879" xfId="0" applyNumberFormat="1" applyFont="1" applyBorder="1" applyAlignment="1">
      <alignment horizontal="center"/>
    </xf>
    <xf numFmtId="0" fontId="38" fillId="0" borderId="3880" xfId="0" applyNumberFormat="1" applyFont="1" applyBorder="1" applyAlignment="1">
      <alignment horizontal="center"/>
    </xf>
    <xf numFmtId="0" fontId="38" fillId="0" borderId="3881" xfId="0" applyNumberFormat="1" applyFont="1" applyBorder="1" applyAlignment="1">
      <alignment horizontal="center"/>
    </xf>
    <xf numFmtId="0" fontId="47" fillId="0" borderId="3864" xfId="0" applyNumberFormat="1" applyFont="1" applyBorder="1" applyAlignment="1">
      <alignment horizontal="center"/>
    </xf>
    <xf numFmtId="0" fontId="47" fillId="0" borderId="3865" xfId="0" applyNumberFormat="1" applyFont="1" applyBorder="1" applyAlignment="1">
      <alignment horizontal="center"/>
    </xf>
    <xf numFmtId="0" fontId="47" fillId="0" borderId="3866" xfId="0" applyNumberFormat="1" applyFont="1" applyBorder="1" applyAlignment="1">
      <alignment horizontal="center"/>
    </xf>
    <xf numFmtId="0" fontId="47" fillId="0" borderId="3867" xfId="0" applyNumberFormat="1" applyFont="1" applyBorder="1" applyAlignment="1">
      <alignment horizontal="center"/>
    </xf>
    <xf numFmtId="0" fontId="47" fillId="0" borderId="3868" xfId="0" applyNumberFormat="1" applyFont="1" applyBorder="1" applyAlignment="1">
      <alignment horizontal="center"/>
    </xf>
    <xf numFmtId="0" fontId="47" fillId="0" borderId="3869" xfId="0" applyNumberFormat="1" applyFont="1" applyBorder="1" applyAlignment="1">
      <alignment horizontal="center"/>
    </xf>
    <xf numFmtId="0" fontId="41" fillId="0" borderId="0" xfId="0" applyNumberFormat="1" applyFont="1" applyAlignment="1">
      <alignment horizontal="center" wrapText="1"/>
    </xf>
    <xf numFmtId="0" fontId="47" fillId="0" borderId="1" xfId="0" applyNumberFormat="1" applyFont="1" applyBorder="1" applyAlignment="1">
      <alignment horizontal="center" vertical="top" wrapText="1"/>
    </xf>
    <xf numFmtId="0" fontId="47" fillId="0" borderId="3732" xfId="0" applyNumberFormat="1" applyFont="1" applyBorder="1" applyAlignment="1">
      <alignment horizontal="center" vertical="top" wrapText="1"/>
    </xf>
    <xf numFmtId="0" fontId="47" fillId="0" borderId="3733" xfId="0" applyNumberFormat="1" applyFont="1" applyBorder="1" applyAlignment="1">
      <alignment horizontal="center" vertical="top" wrapText="1"/>
    </xf>
    <xf numFmtId="0" fontId="47" fillId="0" borderId="3734" xfId="0" applyNumberFormat="1" applyFont="1" applyBorder="1" applyAlignment="1">
      <alignment horizontal="center" vertical="top" wrapText="1"/>
    </xf>
    <xf numFmtId="0" fontId="47" fillId="0" borderId="3735" xfId="0" applyNumberFormat="1" applyFont="1" applyBorder="1" applyAlignment="1">
      <alignment horizontal="center" vertical="top" wrapText="1"/>
    </xf>
    <xf numFmtId="0" fontId="47" fillId="0" borderId="3736" xfId="0" applyNumberFormat="1" applyFont="1" applyBorder="1" applyAlignment="1">
      <alignment horizontal="center" vertical="top" wrapText="1"/>
    </xf>
    <xf numFmtId="0" fontId="47" fillId="0" borderId="3737" xfId="0" applyNumberFormat="1" applyFont="1" applyBorder="1" applyAlignment="1">
      <alignment horizontal="center" vertical="top" wrapText="1"/>
    </xf>
    <xf numFmtId="0" fontId="47" fillId="0" borderId="3738" xfId="0" applyNumberFormat="1" applyFont="1" applyBorder="1" applyAlignment="1">
      <alignment horizontal="center" vertical="top" wrapText="1"/>
    </xf>
    <xf numFmtId="0" fontId="47" fillId="0" borderId="3739" xfId="0" applyNumberFormat="1" applyFont="1" applyBorder="1" applyAlignment="1">
      <alignment horizontal="center" vertical="top" wrapText="1"/>
    </xf>
    <xf numFmtId="0" fontId="47" fillId="0" borderId="3740" xfId="0" applyNumberFormat="1" applyFont="1" applyBorder="1" applyAlignment="1">
      <alignment horizontal="center" vertical="top" wrapText="1"/>
    </xf>
    <xf numFmtId="0" fontId="47" fillId="0" borderId="3741" xfId="0" applyNumberFormat="1" applyFont="1" applyBorder="1" applyAlignment="1">
      <alignment horizontal="center" vertical="top" wrapText="1"/>
    </xf>
    <xf numFmtId="0" fontId="47" fillId="0" borderId="3742" xfId="0" applyNumberFormat="1" applyFont="1" applyBorder="1" applyAlignment="1">
      <alignment horizontal="center" vertical="top" wrapText="1"/>
    </xf>
    <xf numFmtId="0" fontId="47" fillId="0" borderId="3743" xfId="0" applyNumberFormat="1" applyFont="1" applyBorder="1" applyAlignment="1">
      <alignment horizontal="center" vertical="top" wrapText="1"/>
    </xf>
    <xf numFmtId="0" fontId="47" fillId="0" borderId="3744" xfId="0" applyNumberFormat="1" applyFont="1" applyBorder="1" applyAlignment="1">
      <alignment horizontal="center" vertical="top" wrapText="1"/>
    </xf>
    <xf numFmtId="0" fontId="47" fillId="0" borderId="3745" xfId="0" applyNumberFormat="1" applyFont="1" applyBorder="1" applyAlignment="1">
      <alignment horizontal="center" vertical="top" wrapText="1"/>
    </xf>
    <xf numFmtId="0" fontId="47" fillId="0" borderId="3746" xfId="0" applyNumberFormat="1" applyFont="1" applyBorder="1" applyAlignment="1">
      <alignment horizontal="center" vertical="top" wrapText="1"/>
    </xf>
    <xf numFmtId="0" fontId="47" fillId="0" borderId="3747" xfId="0" applyNumberFormat="1" applyFont="1" applyBorder="1" applyAlignment="1">
      <alignment horizontal="center" vertical="top" wrapText="1"/>
    </xf>
    <xf numFmtId="0" fontId="47" fillId="0" borderId="3748" xfId="0" applyNumberFormat="1" applyFont="1" applyBorder="1" applyAlignment="1">
      <alignment horizontal="center" vertical="top" wrapText="1"/>
    </xf>
    <xf numFmtId="0" fontId="47" fillId="0" borderId="3749" xfId="0" applyNumberFormat="1" applyFont="1" applyBorder="1" applyAlignment="1">
      <alignment horizontal="center" vertical="top" wrapText="1"/>
    </xf>
    <xf numFmtId="0" fontId="47" fillId="0" borderId="3750" xfId="0" applyNumberFormat="1" applyFont="1" applyBorder="1" applyAlignment="1">
      <alignment horizontal="center" vertical="top" wrapText="1"/>
    </xf>
    <xf numFmtId="0" fontId="47" fillId="0" borderId="3751" xfId="0" applyNumberFormat="1" applyFont="1" applyBorder="1" applyAlignment="1">
      <alignment horizontal="center" vertical="top" wrapText="1"/>
    </xf>
    <xf numFmtId="0" fontId="47" fillId="0" borderId="3752" xfId="0" applyNumberFormat="1" applyFont="1" applyBorder="1" applyAlignment="1">
      <alignment horizontal="center" vertical="top" wrapText="1"/>
    </xf>
    <xf numFmtId="0" fontId="47" fillId="0" borderId="3753" xfId="0" applyNumberFormat="1" applyFont="1" applyBorder="1" applyAlignment="1">
      <alignment horizontal="center" vertical="top" wrapText="1"/>
    </xf>
    <xf numFmtId="0" fontId="47" fillId="0" borderId="3754" xfId="0" applyNumberFormat="1" applyFont="1" applyBorder="1" applyAlignment="1">
      <alignment horizontal="center" vertical="top" wrapText="1"/>
    </xf>
    <xf numFmtId="0" fontId="47" fillId="0" borderId="3755" xfId="0" applyNumberFormat="1" applyFont="1" applyBorder="1" applyAlignment="1">
      <alignment horizontal="center" vertical="top" wrapText="1"/>
    </xf>
    <xf numFmtId="0" fontId="47" fillId="0" borderId="3756" xfId="0" applyNumberFormat="1" applyFont="1" applyBorder="1" applyAlignment="1">
      <alignment horizontal="center" vertical="top" wrapText="1"/>
    </xf>
    <xf numFmtId="0" fontId="47" fillId="0" borderId="3757" xfId="0" applyNumberFormat="1" applyFont="1" applyBorder="1" applyAlignment="1">
      <alignment horizontal="center" vertical="top" wrapText="1"/>
    </xf>
    <xf numFmtId="0" fontId="47" fillId="0" borderId="3758" xfId="0" applyNumberFormat="1" applyFont="1" applyBorder="1" applyAlignment="1">
      <alignment horizontal="center" vertical="top" wrapText="1"/>
    </xf>
    <xf numFmtId="0" fontId="47" fillId="0" borderId="3759" xfId="0" applyNumberFormat="1" applyFont="1" applyBorder="1" applyAlignment="1">
      <alignment horizontal="center" vertical="top" wrapText="1"/>
    </xf>
    <xf numFmtId="0" fontId="47" fillId="0" borderId="3760" xfId="0" applyNumberFormat="1" applyFont="1" applyBorder="1" applyAlignment="1">
      <alignment horizontal="center" vertical="top" wrapText="1"/>
    </xf>
    <xf numFmtId="0" fontId="47" fillId="0" borderId="3761" xfId="0" applyNumberFormat="1" applyFont="1" applyBorder="1" applyAlignment="1">
      <alignment horizontal="center" vertical="top" wrapText="1"/>
    </xf>
    <xf numFmtId="0" fontId="47" fillId="0" borderId="3762" xfId="0" applyNumberFormat="1" applyFont="1" applyBorder="1" applyAlignment="1">
      <alignment horizontal="center" vertical="top" wrapText="1"/>
    </xf>
    <xf numFmtId="0" fontId="47" fillId="0" borderId="3763" xfId="0" applyNumberFormat="1" applyFont="1" applyBorder="1" applyAlignment="1">
      <alignment horizontal="center" vertical="top" wrapText="1"/>
    </xf>
    <xf numFmtId="0" fontId="47" fillId="0" borderId="3764" xfId="0" applyNumberFormat="1" applyFont="1" applyBorder="1" applyAlignment="1">
      <alignment horizontal="center" vertical="top" wrapText="1"/>
    </xf>
    <xf numFmtId="0" fontId="47" fillId="0" borderId="3765" xfId="0" applyNumberFormat="1" applyFont="1" applyBorder="1" applyAlignment="1">
      <alignment horizontal="center" vertical="top" wrapText="1"/>
    </xf>
    <xf numFmtId="0" fontId="47" fillId="0" borderId="3766" xfId="0" applyNumberFormat="1" applyFont="1" applyBorder="1" applyAlignment="1">
      <alignment horizontal="center" vertical="top" wrapText="1"/>
    </xf>
    <xf numFmtId="0" fontId="47" fillId="0" borderId="3767" xfId="0" applyNumberFormat="1" applyFont="1" applyBorder="1" applyAlignment="1">
      <alignment horizontal="center" vertical="top" wrapText="1"/>
    </xf>
    <xf numFmtId="0" fontId="47" fillId="0" borderId="3768" xfId="0" applyNumberFormat="1" applyFont="1" applyBorder="1" applyAlignment="1">
      <alignment horizontal="center" vertical="top" wrapText="1"/>
    </xf>
    <xf numFmtId="0" fontId="47" fillId="0" borderId="3769" xfId="0" applyNumberFormat="1" applyFont="1" applyBorder="1" applyAlignment="1">
      <alignment horizontal="center" vertical="top" wrapText="1"/>
    </xf>
    <xf numFmtId="0" fontId="47" fillId="0" borderId="3770" xfId="0" applyNumberFormat="1" applyFont="1" applyBorder="1" applyAlignment="1">
      <alignment horizontal="center" vertical="top" wrapText="1"/>
    </xf>
    <xf numFmtId="0" fontId="47" fillId="0" borderId="3771" xfId="0" applyNumberFormat="1" applyFont="1" applyBorder="1" applyAlignment="1">
      <alignment horizontal="center" vertical="top" wrapText="1"/>
    </xf>
    <xf numFmtId="0" fontId="47" fillId="0" borderId="3772" xfId="0" applyNumberFormat="1" applyFont="1" applyBorder="1" applyAlignment="1">
      <alignment horizontal="center" vertical="top" wrapText="1"/>
    </xf>
    <xf numFmtId="0" fontId="47" fillId="0" borderId="3773" xfId="0" applyNumberFormat="1" applyFont="1" applyBorder="1" applyAlignment="1">
      <alignment horizontal="center" vertical="top" wrapText="1"/>
    </xf>
    <xf numFmtId="0" fontId="47" fillId="0" borderId="3774" xfId="0" applyNumberFormat="1" applyFont="1" applyBorder="1" applyAlignment="1">
      <alignment horizontal="center" vertical="top" wrapText="1"/>
    </xf>
    <xf numFmtId="0" fontId="47" fillId="0" borderId="3775" xfId="0" applyNumberFormat="1" applyFont="1" applyBorder="1" applyAlignment="1">
      <alignment horizontal="center" vertical="top" wrapText="1"/>
    </xf>
    <xf numFmtId="0" fontId="47" fillId="0" borderId="3776" xfId="0" applyNumberFormat="1" applyFont="1" applyBorder="1" applyAlignment="1">
      <alignment horizontal="center" vertical="top" wrapText="1"/>
    </xf>
    <xf numFmtId="0" fontId="47" fillId="0" borderId="3777" xfId="0" applyNumberFormat="1" applyFont="1" applyBorder="1" applyAlignment="1">
      <alignment horizontal="center" vertical="top" wrapText="1"/>
    </xf>
    <xf numFmtId="0" fontId="47" fillId="0" borderId="3778" xfId="0" applyNumberFormat="1" applyFont="1" applyBorder="1" applyAlignment="1">
      <alignment horizontal="center" vertical="top" wrapText="1"/>
    </xf>
    <xf numFmtId="0" fontId="47" fillId="0" borderId="3779" xfId="0" applyNumberFormat="1" applyFont="1" applyBorder="1" applyAlignment="1">
      <alignment horizontal="center" vertical="top" wrapText="1"/>
    </xf>
    <xf numFmtId="0" fontId="47" fillId="0" borderId="3780" xfId="0" applyNumberFormat="1" applyFont="1" applyBorder="1" applyAlignment="1">
      <alignment horizontal="center" vertical="top" wrapText="1"/>
    </xf>
    <xf numFmtId="0" fontId="47" fillId="0" borderId="3781" xfId="0" applyNumberFormat="1" applyFont="1" applyBorder="1" applyAlignment="1">
      <alignment horizontal="center" vertical="top" wrapText="1"/>
    </xf>
    <xf numFmtId="0" fontId="47" fillId="0" borderId="3782" xfId="0" applyNumberFormat="1" applyFont="1" applyBorder="1" applyAlignment="1">
      <alignment horizontal="center" vertical="top" wrapText="1"/>
    </xf>
    <xf numFmtId="0" fontId="47" fillId="0" borderId="3783" xfId="0" applyNumberFormat="1" applyFont="1" applyBorder="1" applyAlignment="1">
      <alignment horizontal="center" vertical="top" wrapText="1"/>
    </xf>
    <xf numFmtId="0" fontId="47" fillId="0" borderId="3784" xfId="0" applyNumberFormat="1" applyFont="1" applyBorder="1" applyAlignment="1">
      <alignment horizontal="center" vertical="top" wrapText="1"/>
    </xf>
    <xf numFmtId="0" fontId="47" fillId="0" borderId="3785" xfId="0" applyNumberFormat="1" applyFont="1" applyBorder="1" applyAlignment="1">
      <alignment horizontal="center" vertical="top" wrapText="1"/>
    </xf>
    <xf numFmtId="0" fontId="47" fillId="0" borderId="3786" xfId="0" applyNumberFormat="1" applyFont="1" applyBorder="1" applyAlignment="1">
      <alignment horizontal="center" vertical="top" wrapText="1"/>
    </xf>
    <xf numFmtId="0" fontId="47" fillId="0" borderId="3787" xfId="0" applyNumberFormat="1" applyFont="1" applyBorder="1" applyAlignment="1">
      <alignment horizontal="center" vertical="top" wrapText="1"/>
    </xf>
    <xf numFmtId="0" fontId="38" fillId="0" borderId="3722" xfId="0" applyNumberFormat="1" applyFont="1" applyBorder="1" applyAlignment="1">
      <alignment horizontal="center" wrapText="1"/>
    </xf>
    <xf numFmtId="0" fontId="38" fillId="0" borderId="3723" xfId="0" applyNumberFormat="1" applyFont="1" applyBorder="1" applyAlignment="1">
      <alignment horizontal="center" wrapText="1"/>
    </xf>
    <xf numFmtId="0" fontId="38" fillId="0" borderId="3724" xfId="0" applyNumberFormat="1" applyFont="1" applyBorder="1" applyAlignment="1">
      <alignment horizontal="center" wrapText="1"/>
    </xf>
    <xf numFmtId="0" fontId="38" fillId="0" borderId="3725" xfId="0" applyNumberFormat="1" applyFont="1" applyBorder="1" applyAlignment="1">
      <alignment horizontal="center" wrapText="1"/>
    </xf>
    <xf numFmtId="0" fontId="38" fillId="0" borderId="3726" xfId="0" applyNumberFormat="1" applyFont="1" applyBorder="1" applyAlignment="1">
      <alignment horizontal="center" wrapText="1"/>
    </xf>
    <xf numFmtId="0" fontId="38" fillId="0" borderId="3727" xfId="0" applyNumberFormat="1" applyFont="1" applyBorder="1" applyAlignment="1">
      <alignment horizontal="center" wrapText="1"/>
    </xf>
    <xf numFmtId="0" fontId="38" fillId="0" borderId="3728" xfId="0" applyNumberFormat="1" applyFont="1" applyBorder="1" applyAlignment="1">
      <alignment horizontal="center" wrapText="1"/>
    </xf>
    <xf numFmtId="0" fontId="38" fillId="0" borderId="3729" xfId="0" applyNumberFormat="1" applyFont="1" applyBorder="1" applyAlignment="1">
      <alignment horizontal="center" wrapText="1"/>
    </xf>
    <xf numFmtId="0" fontId="38" fillId="0" borderId="3730" xfId="0" applyNumberFormat="1" applyFont="1" applyBorder="1" applyAlignment="1">
      <alignment horizontal="center" wrapText="1"/>
    </xf>
    <xf numFmtId="0" fontId="38" fillId="0" borderId="3731" xfId="0" applyNumberFormat="1" applyFont="1" applyBorder="1" applyAlignment="1">
      <alignment horizontal="center" wrapText="1"/>
    </xf>
    <xf numFmtId="0" fontId="38" fillId="0" borderId="3702" xfId="0" applyNumberFormat="1" applyFont="1" applyBorder="1" applyAlignment="1">
      <alignment horizontal="center" wrapText="1"/>
    </xf>
    <xf numFmtId="0" fontId="38" fillId="0" borderId="3703" xfId="0" applyNumberFormat="1" applyFont="1" applyBorder="1" applyAlignment="1">
      <alignment horizontal="center" wrapText="1"/>
    </xf>
    <xf numFmtId="0" fontId="38" fillId="0" borderId="3704" xfId="0" applyNumberFormat="1" applyFont="1" applyBorder="1" applyAlignment="1">
      <alignment horizontal="center" wrapText="1"/>
    </xf>
    <xf numFmtId="0" fontId="38" fillId="0" borderId="3705" xfId="0" applyNumberFormat="1" applyFont="1" applyBorder="1" applyAlignment="1">
      <alignment horizontal="center" wrapText="1"/>
    </xf>
    <xf numFmtId="0" fontId="38" fillId="0" borderId="3706" xfId="0" applyNumberFormat="1" applyFont="1" applyBorder="1" applyAlignment="1">
      <alignment horizontal="center" wrapText="1"/>
    </xf>
    <xf numFmtId="0" fontId="38" fillId="0" borderId="3707" xfId="0" applyNumberFormat="1" applyFont="1" applyBorder="1" applyAlignment="1">
      <alignment horizontal="center" wrapText="1"/>
    </xf>
    <xf numFmtId="0" fontId="38" fillId="0" borderId="3708" xfId="0" applyNumberFormat="1" applyFont="1" applyBorder="1" applyAlignment="1">
      <alignment horizontal="center" wrapText="1"/>
    </xf>
    <xf numFmtId="0" fontId="38" fillId="0" borderId="3712" xfId="0" applyNumberFormat="1" applyFont="1" applyBorder="1" applyAlignment="1">
      <alignment horizontal="center" wrapText="1"/>
    </xf>
    <xf numFmtId="0" fontId="38" fillId="0" borderId="3713" xfId="0" applyNumberFormat="1" applyFont="1" applyBorder="1" applyAlignment="1">
      <alignment horizontal="center" wrapText="1"/>
    </xf>
    <xf numFmtId="0" fontId="38" fillId="0" borderId="3714" xfId="0" applyNumberFormat="1" applyFont="1" applyBorder="1" applyAlignment="1">
      <alignment horizontal="center" wrapText="1"/>
    </xf>
    <xf numFmtId="0" fontId="38" fillId="0" borderId="3715" xfId="0" applyNumberFormat="1" applyFont="1" applyBorder="1" applyAlignment="1">
      <alignment horizontal="center" wrapText="1"/>
    </xf>
    <xf numFmtId="0" fontId="38" fillId="0" borderId="3716" xfId="0" applyNumberFormat="1" applyFont="1" applyBorder="1" applyAlignment="1">
      <alignment horizontal="center" wrapText="1"/>
    </xf>
    <xf numFmtId="0" fontId="38" fillId="0" borderId="3717" xfId="0" applyNumberFormat="1" applyFont="1" applyBorder="1" applyAlignment="1">
      <alignment horizontal="center" wrapText="1"/>
    </xf>
    <xf numFmtId="0" fontId="38" fillId="0" borderId="3718" xfId="0" applyNumberFormat="1" applyFont="1" applyBorder="1" applyAlignment="1">
      <alignment horizontal="center" wrapText="1"/>
    </xf>
    <xf numFmtId="0" fontId="38" fillId="0" borderId="3719" xfId="0" applyNumberFormat="1" applyFont="1" applyBorder="1" applyAlignment="1">
      <alignment horizontal="center" wrapText="1"/>
    </xf>
    <xf numFmtId="0" fontId="38" fillId="0" borderId="3709" xfId="0" applyNumberFormat="1" applyFont="1" applyBorder="1" applyAlignment="1">
      <alignment horizontal="center" wrapText="1"/>
    </xf>
    <xf numFmtId="0" fontId="47" fillId="0" borderId="3844" xfId="0" applyNumberFormat="1" applyFont="1" applyBorder="1" applyAlignment="1">
      <alignment horizontal="center" vertical="top" wrapText="1"/>
    </xf>
    <xf numFmtId="0" fontId="47" fillId="0" borderId="3845" xfId="0" applyNumberFormat="1" applyFont="1" applyBorder="1" applyAlignment="1">
      <alignment horizontal="center" vertical="top" wrapText="1"/>
    </xf>
    <xf numFmtId="0" fontId="47" fillId="0" borderId="3846" xfId="0" applyNumberFormat="1" applyFont="1" applyBorder="1" applyAlignment="1">
      <alignment horizontal="center" vertical="top" wrapText="1"/>
    </xf>
    <xf numFmtId="0" fontId="47" fillId="0" borderId="3847" xfId="0" applyNumberFormat="1" applyFont="1" applyBorder="1" applyAlignment="1">
      <alignment horizontal="center" vertical="top" wrapText="1"/>
    </xf>
    <xf numFmtId="0" fontId="47" fillId="0" borderId="3848" xfId="0" applyNumberFormat="1" applyFont="1" applyBorder="1" applyAlignment="1">
      <alignment horizontal="center" vertical="top" wrapText="1"/>
    </xf>
    <xf numFmtId="0" fontId="47" fillId="0" borderId="3849" xfId="0" applyNumberFormat="1" applyFont="1" applyBorder="1" applyAlignment="1">
      <alignment horizontal="center" vertical="top" wrapText="1"/>
    </xf>
    <xf numFmtId="0" fontId="47" fillId="0" borderId="3850" xfId="0" applyNumberFormat="1" applyFont="1" applyBorder="1" applyAlignment="1">
      <alignment horizontal="center" vertical="top" wrapText="1"/>
    </xf>
    <xf numFmtId="0" fontId="47" fillId="0" borderId="3851" xfId="0" applyNumberFormat="1" applyFont="1" applyBorder="1" applyAlignment="1">
      <alignment horizontal="center" vertical="top" wrapText="1"/>
    </xf>
    <xf numFmtId="0" fontId="47" fillId="0" borderId="3852" xfId="0" applyNumberFormat="1" applyFont="1" applyBorder="1" applyAlignment="1">
      <alignment horizontal="center" vertical="top" wrapText="1"/>
    </xf>
    <xf numFmtId="0" fontId="47" fillId="0" borderId="3853" xfId="0" applyNumberFormat="1" applyFont="1" applyBorder="1" applyAlignment="1">
      <alignment horizontal="center" vertical="top" wrapText="1"/>
    </xf>
    <xf numFmtId="0" fontId="47" fillId="0" borderId="3854" xfId="0" applyNumberFormat="1" applyFont="1" applyBorder="1" applyAlignment="1">
      <alignment horizontal="center" vertical="top" wrapText="1"/>
    </xf>
    <xf numFmtId="0" fontId="47" fillId="0" borderId="3855" xfId="0" applyNumberFormat="1" applyFont="1" applyBorder="1" applyAlignment="1">
      <alignment horizontal="center" vertical="top" wrapText="1"/>
    </xf>
    <xf numFmtId="0" fontId="47" fillId="0" borderId="3856" xfId="0" applyNumberFormat="1" applyFont="1" applyBorder="1" applyAlignment="1">
      <alignment horizontal="center" vertical="top" wrapText="1"/>
    </xf>
    <xf numFmtId="0" fontId="47" fillId="0" borderId="3857" xfId="0" applyNumberFormat="1" applyFont="1" applyBorder="1" applyAlignment="1">
      <alignment horizontal="center" vertical="top" wrapText="1"/>
    </xf>
    <xf numFmtId="0" fontId="47" fillId="0" borderId="3830" xfId="0" applyNumberFormat="1" applyFont="1" applyBorder="1" applyAlignment="1">
      <alignment horizontal="center" vertical="top" wrapText="1"/>
    </xf>
    <xf numFmtId="0" fontId="47" fillId="0" borderId="3831" xfId="0" applyNumberFormat="1" applyFont="1" applyBorder="1" applyAlignment="1">
      <alignment horizontal="center" vertical="top" wrapText="1"/>
    </xf>
    <xf numFmtId="0" fontId="47" fillId="0" borderId="3832" xfId="0" applyNumberFormat="1" applyFont="1" applyBorder="1" applyAlignment="1">
      <alignment horizontal="center" vertical="top" wrapText="1"/>
    </xf>
    <xf numFmtId="0" fontId="47" fillId="0" borderId="3833" xfId="0" applyNumberFormat="1" applyFont="1" applyBorder="1" applyAlignment="1">
      <alignment horizontal="center" vertical="top" wrapText="1"/>
    </xf>
    <xf numFmtId="0" fontId="47" fillId="0" borderId="3834" xfId="0" applyNumberFormat="1" applyFont="1" applyBorder="1" applyAlignment="1">
      <alignment horizontal="center" vertical="top" wrapText="1"/>
    </xf>
    <xf numFmtId="0" fontId="47" fillId="0" borderId="3835" xfId="0" applyNumberFormat="1" applyFont="1" applyBorder="1" applyAlignment="1">
      <alignment horizontal="center" vertical="top" wrapText="1"/>
    </xf>
    <xf numFmtId="0" fontId="47" fillId="0" borderId="3836" xfId="0" applyNumberFormat="1" applyFont="1" applyBorder="1" applyAlignment="1">
      <alignment horizontal="center" vertical="top" wrapText="1"/>
    </xf>
    <xf numFmtId="0" fontId="47" fillId="0" borderId="3837" xfId="0" applyNumberFormat="1" applyFont="1" applyBorder="1" applyAlignment="1">
      <alignment horizontal="center" vertical="top" wrapText="1"/>
    </xf>
    <xf numFmtId="0" fontId="47" fillId="0" borderId="3838" xfId="0" applyNumberFormat="1" applyFont="1" applyBorder="1" applyAlignment="1">
      <alignment horizontal="center" vertical="top" wrapText="1"/>
    </xf>
    <xf numFmtId="0" fontId="47" fillId="0" borderId="3839" xfId="0" applyNumberFormat="1" applyFont="1" applyBorder="1" applyAlignment="1">
      <alignment horizontal="center" vertical="top" wrapText="1"/>
    </xf>
    <xf numFmtId="0" fontId="47" fillId="0" borderId="3840" xfId="0" applyNumberFormat="1" applyFont="1" applyBorder="1" applyAlignment="1">
      <alignment horizontal="center" vertical="top" wrapText="1"/>
    </xf>
    <xf numFmtId="0" fontId="47" fillId="0" borderId="3841" xfId="0" applyNumberFormat="1" applyFont="1" applyBorder="1" applyAlignment="1">
      <alignment horizontal="center" vertical="top" wrapText="1"/>
    </xf>
    <xf numFmtId="0" fontId="47" fillId="0" borderId="3842" xfId="0" applyNumberFormat="1" applyFont="1" applyBorder="1" applyAlignment="1">
      <alignment horizontal="center" vertical="top" wrapText="1"/>
    </xf>
    <xf numFmtId="0" fontId="47" fillId="0" borderId="3843" xfId="0" applyNumberFormat="1" applyFont="1" applyBorder="1" applyAlignment="1">
      <alignment horizontal="center" vertical="top" wrapText="1"/>
    </xf>
    <xf numFmtId="0" fontId="47" fillId="0" borderId="3816" xfId="0" applyNumberFormat="1" applyFont="1" applyBorder="1" applyAlignment="1">
      <alignment horizontal="center" vertical="top" wrapText="1"/>
    </xf>
    <xf numFmtId="0" fontId="47" fillId="0" borderId="3817" xfId="0" applyNumberFormat="1" applyFont="1" applyBorder="1" applyAlignment="1">
      <alignment horizontal="center" vertical="top" wrapText="1"/>
    </xf>
    <xf numFmtId="0" fontId="47" fillId="0" borderId="3818" xfId="0" applyNumberFormat="1" applyFont="1" applyBorder="1" applyAlignment="1">
      <alignment horizontal="center" vertical="top" wrapText="1"/>
    </xf>
    <xf numFmtId="0" fontId="47" fillId="0" borderId="3819" xfId="0" applyNumberFormat="1" applyFont="1" applyBorder="1" applyAlignment="1">
      <alignment horizontal="center" vertical="top" wrapText="1"/>
    </xf>
    <xf numFmtId="0" fontId="47" fillId="0" borderId="3820" xfId="0" applyNumberFormat="1" applyFont="1" applyBorder="1" applyAlignment="1">
      <alignment horizontal="center" vertical="top" wrapText="1"/>
    </xf>
    <xf numFmtId="0" fontId="47" fillId="0" borderId="3821" xfId="0" applyNumberFormat="1" applyFont="1" applyBorder="1" applyAlignment="1">
      <alignment horizontal="center" vertical="top" wrapText="1"/>
    </xf>
    <xf numFmtId="0" fontId="47" fillId="0" borderId="3822" xfId="0" applyNumberFormat="1" applyFont="1" applyBorder="1" applyAlignment="1">
      <alignment horizontal="center" vertical="top" wrapText="1"/>
    </xf>
    <xf numFmtId="0" fontId="47" fillId="0" borderId="3823" xfId="0" applyNumberFormat="1" applyFont="1" applyBorder="1" applyAlignment="1">
      <alignment horizontal="center" vertical="top" wrapText="1"/>
    </xf>
    <xf numFmtId="0" fontId="47" fillId="0" borderId="3824" xfId="0" applyNumberFormat="1" applyFont="1" applyBorder="1" applyAlignment="1">
      <alignment horizontal="center" vertical="top" wrapText="1"/>
    </xf>
    <xf numFmtId="0" fontId="47" fillId="0" borderId="3825" xfId="0" applyNumberFormat="1" applyFont="1" applyBorder="1" applyAlignment="1">
      <alignment horizontal="center" vertical="top" wrapText="1"/>
    </xf>
    <xf numFmtId="0" fontId="47" fillId="0" borderId="3826" xfId="0" applyNumberFormat="1" applyFont="1" applyBorder="1" applyAlignment="1">
      <alignment horizontal="center" vertical="top" wrapText="1"/>
    </xf>
    <xf numFmtId="0" fontId="47" fillId="0" borderId="3827" xfId="0" applyNumberFormat="1" applyFont="1" applyBorder="1" applyAlignment="1">
      <alignment horizontal="center" vertical="top" wrapText="1"/>
    </xf>
    <xf numFmtId="0" fontId="47" fillId="0" borderId="3828" xfId="0" applyNumberFormat="1" applyFont="1" applyBorder="1" applyAlignment="1">
      <alignment horizontal="center" vertical="top" wrapText="1"/>
    </xf>
    <xf numFmtId="0" fontId="47" fillId="0" borderId="3829" xfId="0" applyNumberFormat="1" applyFont="1" applyBorder="1" applyAlignment="1">
      <alignment horizontal="center" vertical="top" wrapText="1"/>
    </xf>
    <xf numFmtId="0" fontId="47" fillId="0" borderId="3802" xfId="0" applyNumberFormat="1" applyFont="1" applyBorder="1" applyAlignment="1">
      <alignment horizontal="center" vertical="top" wrapText="1"/>
    </xf>
    <xf numFmtId="0" fontId="47" fillId="0" borderId="3803" xfId="0" applyNumberFormat="1" applyFont="1" applyBorder="1" applyAlignment="1">
      <alignment horizontal="center" vertical="top" wrapText="1"/>
    </xf>
    <xf numFmtId="0" fontId="47" fillId="0" borderId="3804" xfId="0" applyNumberFormat="1" applyFont="1" applyBorder="1" applyAlignment="1">
      <alignment horizontal="center" vertical="top" wrapText="1"/>
    </xf>
    <xf numFmtId="0" fontId="47" fillId="0" borderId="3805" xfId="0" applyNumberFormat="1" applyFont="1" applyBorder="1" applyAlignment="1">
      <alignment horizontal="center" vertical="top" wrapText="1"/>
    </xf>
    <xf numFmtId="0" fontId="47" fillId="0" borderId="3806" xfId="0" applyNumberFormat="1" applyFont="1" applyBorder="1" applyAlignment="1">
      <alignment horizontal="center" vertical="top" wrapText="1"/>
    </xf>
    <xf numFmtId="0" fontId="47" fillId="0" borderId="3807" xfId="0" applyNumberFormat="1" applyFont="1" applyBorder="1" applyAlignment="1">
      <alignment horizontal="center" vertical="top" wrapText="1"/>
    </xf>
    <xf numFmtId="0" fontId="47" fillId="0" borderId="3808" xfId="0" applyNumberFormat="1" applyFont="1" applyBorder="1" applyAlignment="1">
      <alignment horizontal="center" vertical="top" wrapText="1"/>
    </xf>
    <xf numFmtId="0" fontId="47" fillId="0" borderId="3809" xfId="0" applyNumberFormat="1" applyFont="1" applyBorder="1" applyAlignment="1">
      <alignment horizontal="center" vertical="top" wrapText="1"/>
    </xf>
    <xf numFmtId="0" fontId="47" fillId="0" borderId="3810" xfId="0" applyNumberFormat="1" applyFont="1" applyBorder="1" applyAlignment="1">
      <alignment horizontal="center" vertical="top" wrapText="1"/>
    </xf>
    <xf numFmtId="0" fontId="47" fillId="0" borderId="3811" xfId="0" applyNumberFormat="1" applyFont="1" applyBorder="1" applyAlignment="1">
      <alignment horizontal="center" vertical="top" wrapText="1"/>
    </xf>
    <xf numFmtId="0" fontId="47" fillId="0" borderId="3812" xfId="0" applyNumberFormat="1" applyFont="1" applyBorder="1" applyAlignment="1">
      <alignment horizontal="center" vertical="top" wrapText="1"/>
    </xf>
    <xf numFmtId="0" fontId="47" fillId="0" borderId="3813" xfId="0" applyNumberFormat="1" applyFont="1" applyBorder="1" applyAlignment="1">
      <alignment horizontal="center" vertical="top" wrapText="1"/>
    </xf>
    <xf numFmtId="0" fontId="47" fillId="0" borderId="3814" xfId="0" applyNumberFormat="1" applyFont="1" applyBorder="1" applyAlignment="1">
      <alignment horizontal="center" vertical="top" wrapText="1"/>
    </xf>
    <xf numFmtId="0" fontId="47" fillId="0" borderId="3815" xfId="0" applyNumberFormat="1" applyFont="1" applyBorder="1" applyAlignment="1">
      <alignment horizontal="center" vertical="top" wrapText="1"/>
    </xf>
    <xf numFmtId="0" fontId="47" fillId="0" borderId="3788" xfId="0" applyNumberFormat="1" applyFont="1" applyBorder="1" applyAlignment="1">
      <alignment horizontal="center" vertical="top" wrapText="1"/>
    </xf>
    <xf numFmtId="0" fontId="47" fillId="0" borderId="3789" xfId="0" applyNumberFormat="1" applyFont="1" applyBorder="1" applyAlignment="1">
      <alignment horizontal="center" vertical="top" wrapText="1"/>
    </xf>
    <xf numFmtId="0" fontId="47" fillId="0" borderId="3790" xfId="0" applyNumberFormat="1" applyFont="1" applyBorder="1" applyAlignment="1">
      <alignment horizontal="center" vertical="top" wrapText="1"/>
    </xf>
    <xf numFmtId="0" fontId="47" fillId="0" borderId="3791" xfId="0" applyNumberFormat="1" applyFont="1" applyBorder="1" applyAlignment="1">
      <alignment horizontal="center" vertical="top" wrapText="1"/>
    </xf>
    <xf numFmtId="0" fontId="47" fillId="0" borderId="3792" xfId="0" applyNumberFormat="1" applyFont="1" applyBorder="1" applyAlignment="1">
      <alignment horizontal="center" vertical="top" wrapText="1"/>
    </xf>
    <xf numFmtId="0" fontId="47" fillId="0" borderId="3793" xfId="0" applyNumberFormat="1" applyFont="1" applyBorder="1" applyAlignment="1">
      <alignment horizontal="center" vertical="top" wrapText="1"/>
    </xf>
    <xf numFmtId="0" fontId="47" fillId="0" borderId="3794" xfId="0" applyNumberFormat="1" applyFont="1" applyBorder="1" applyAlignment="1">
      <alignment horizontal="center" vertical="top" wrapText="1"/>
    </xf>
    <xf numFmtId="0" fontId="47" fillId="0" borderId="3795" xfId="0" applyNumberFormat="1" applyFont="1" applyBorder="1" applyAlignment="1">
      <alignment horizontal="center" vertical="top" wrapText="1"/>
    </xf>
    <xf numFmtId="0" fontId="47" fillId="0" borderId="3796" xfId="0" applyNumberFormat="1" applyFont="1" applyBorder="1" applyAlignment="1">
      <alignment horizontal="center" vertical="top" wrapText="1"/>
    </xf>
    <xf numFmtId="0" fontId="47" fillId="0" borderId="3797" xfId="0" applyNumberFormat="1" applyFont="1" applyBorder="1" applyAlignment="1">
      <alignment horizontal="center" vertical="top" wrapText="1"/>
    </xf>
    <xf numFmtId="0" fontId="47" fillId="0" borderId="3798" xfId="0" applyNumberFormat="1" applyFont="1" applyBorder="1" applyAlignment="1">
      <alignment horizontal="center" vertical="top" wrapText="1"/>
    </xf>
    <xf numFmtId="0" fontId="47" fillId="0" borderId="3799" xfId="0" applyNumberFormat="1" applyFont="1" applyBorder="1" applyAlignment="1">
      <alignment horizontal="center" vertical="top" wrapText="1"/>
    </xf>
    <xf numFmtId="0" fontId="47" fillId="0" borderId="3800" xfId="0" applyNumberFormat="1" applyFont="1" applyBorder="1" applyAlignment="1">
      <alignment horizontal="center" vertical="top" wrapText="1"/>
    </xf>
    <xf numFmtId="0" fontId="47" fillId="0" borderId="3801" xfId="0" applyNumberFormat="1" applyFont="1" applyBorder="1" applyAlignment="1">
      <alignment horizontal="center" vertical="top" wrapText="1"/>
    </xf>
    <xf numFmtId="0" fontId="38" fillId="0" borderId="3894" xfId="0" applyNumberFormat="1" applyFont="1" applyBorder="1" applyAlignment="1">
      <alignment horizontal="center"/>
    </xf>
    <xf numFmtId="0" fontId="38" fillId="0" borderId="3895" xfId="0" applyNumberFormat="1" applyFont="1" applyBorder="1" applyAlignment="1">
      <alignment horizontal="center"/>
    </xf>
    <xf numFmtId="0" fontId="38" fillId="0" borderId="3896" xfId="0" applyNumberFormat="1" applyFont="1" applyBorder="1" applyAlignment="1">
      <alignment horizontal="center"/>
    </xf>
    <xf numFmtId="0" fontId="38" fillId="0" borderId="3897" xfId="0" applyNumberFormat="1" applyFont="1" applyBorder="1" applyAlignment="1">
      <alignment horizontal="center"/>
    </xf>
    <xf numFmtId="0" fontId="38" fillId="0" borderId="3720" xfId="0" applyNumberFormat="1" applyFont="1" applyBorder="1" applyAlignment="1">
      <alignment horizontal="center" wrapText="1"/>
    </xf>
    <xf numFmtId="0" fontId="38" fillId="0" borderId="3710" xfId="0" applyNumberFormat="1" applyFont="1" applyBorder="1" applyAlignment="1">
      <alignment horizontal="center" wrapText="1"/>
    </xf>
    <xf numFmtId="0" fontId="38" fillId="0" borderId="3701" xfId="0" applyNumberFormat="1" applyFont="1" applyBorder="1" applyAlignment="1">
      <alignment horizontal="center" wrapText="1"/>
    </xf>
    <xf numFmtId="0" fontId="38" fillId="0" borderId="3691" xfId="0" applyNumberFormat="1" applyFont="1" applyBorder="1" applyAlignment="1">
      <alignment horizontal="center" wrapText="1"/>
    </xf>
    <xf numFmtId="0" fontId="38" fillId="0" borderId="3681" xfId="0" applyNumberFormat="1" applyFont="1" applyBorder="1" applyAlignment="1">
      <alignment horizontal="center" wrapText="1"/>
    </xf>
    <xf numFmtId="0" fontId="38" fillId="0" borderId="3671" xfId="0" applyNumberFormat="1" applyFont="1" applyBorder="1" applyAlignment="1">
      <alignment horizontal="center" wrapText="1"/>
    </xf>
    <xf numFmtId="0" fontId="38" fillId="0" borderId="3700" xfId="0" applyNumberFormat="1" applyFont="1" applyBorder="1" applyAlignment="1">
      <alignment horizontal="center" wrapText="1"/>
    </xf>
    <xf numFmtId="0" fontId="38" fillId="0" borderId="3690" xfId="0" applyNumberFormat="1" applyFont="1" applyBorder="1" applyAlignment="1">
      <alignment horizontal="center" wrapText="1"/>
    </xf>
    <xf numFmtId="0" fontId="38" fillId="0" borderId="3680" xfId="0" applyNumberFormat="1" applyFont="1" applyBorder="1" applyAlignment="1">
      <alignment horizontal="center" wrapText="1"/>
    </xf>
    <xf numFmtId="0" fontId="38" fillId="0" borderId="3670" xfId="0" applyNumberFormat="1" applyFont="1" applyBorder="1" applyAlignment="1">
      <alignment horizontal="center" wrapText="1"/>
    </xf>
    <xf numFmtId="0" fontId="38" fillId="0" borderId="3661" xfId="0" applyNumberFormat="1" applyFont="1" applyBorder="1" applyAlignment="1">
      <alignment horizontal="center" wrapText="1"/>
    </xf>
    <xf numFmtId="0" fontId="38" fillId="0" borderId="3660" xfId="0" applyNumberFormat="1" applyFont="1" applyBorder="1" applyAlignment="1">
      <alignment horizontal="center" wrapText="1"/>
    </xf>
    <xf numFmtId="0" fontId="38" fillId="0" borderId="3650" xfId="0" applyNumberFormat="1" applyFont="1" applyBorder="1" applyAlignment="1">
      <alignment horizontal="center" wrapText="1"/>
    </xf>
    <xf numFmtId="0" fontId="38" fillId="0" borderId="3651" xfId="0" applyNumberFormat="1" applyFont="1" applyBorder="1" applyAlignment="1">
      <alignment horizontal="center" wrapText="1"/>
    </xf>
    <xf numFmtId="0" fontId="38" fillId="0" borderId="3641" xfId="0" applyNumberFormat="1" applyFont="1" applyBorder="1" applyAlignment="1">
      <alignment horizontal="center" wrapText="1"/>
    </xf>
    <xf numFmtId="0" fontId="38" fillId="0" borderId="3640" xfId="0" applyNumberFormat="1" applyFont="1" applyBorder="1" applyAlignment="1">
      <alignment horizontal="center" wrapText="1"/>
    </xf>
    <xf numFmtId="0" fontId="38" fillId="0" borderId="3639" xfId="0" applyNumberFormat="1" applyFont="1" applyBorder="1" applyAlignment="1">
      <alignment horizontal="center" wrapText="1"/>
    </xf>
    <xf numFmtId="0" fontId="38" fillId="0" borderId="3632" xfId="0" applyNumberFormat="1" applyFont="1" applyBorder="1" applyAlignment="1">
      <alignment horizontal="center" wrapText="1"/>
    </xf>
    <xf numFmtId="0" fontId="38" fillId="0" borderId="3633" xfId="0" applyNumberFormat="1" applyFont="1" applyBorder="1" applyAlignment="1">
      <alignment horizontal="center" wrapText="1"/>
    </xf>
    <xf numFmtId="0" fontId="38" fillId="0" borderId="3634" xfId="0" applyNumberFormat="1" applyFont="1" applyBorder="1" applyAlignment="1">
      <alignment horizontal="center" wrapText="1"/>
    </xf>
    <xf numFmtId="0" fontId="38" fillId="0" borderId="3635" xfId="0" applyNumberFormat="1" applyFont="1" applyBorder="1" applyAlignment="1">
      <alignment horizontal="center" wrapText="1"/>
    </xf>
    <xf numFmtId="0" fontId="38" fillId="0" borderId="3636" xfId="0" applyNumberFormat="1" applyFont="1" applyBorder="1" applyAlignment="1">
      <alignment horizontal="center" wrapText="1"/>
    </xf>
    <xf numFmtId="0" fontId="38" fillId="0" borderId="3637" xfId="0" applyNumberFormat="1" applyFont="1" applyBorder="1" applyAlignment="1">
      <alignment horizontal="center" wrapText="1"/>
    </xf>
    <xf numFmtId="0" fontId="38" fillId="0" borderId="3638" xfId="0" applyNumberFormat="1" applyFont="1" applyBorder="1" applyAlignment="1">
      <alignment horizontal="center" wrapText="1"/>
    </xf>
    <xf numFmtId="0" fontId="38" fillId="0" borderId="3629" xfId="0" applyNumberFormat="1" applyFont="1" applyBorder="1" applyAlignment="1">
      <alignment horizontal="center" wrapText="1"/>
    </xf>
    <xf numFmtId="0" fontId="38" fillId="0" borderId="3630" xfId="0" applyNumberFormat="1" applyFont="1" applyBorder="1" applyAlignment="1">
      <alignment horizontal="center" wrapText="1"/>
    </xf>
    <xf numFmtId="0" fontId="38" fillId="0" borderId="3622" xfId="0" applyNumberFormat="1" applyFont="1" applyBorder="1" applyAlignment="1">
      <alignment horizontal="center" wrapText="1"/>
    </xf>
    <xf numFmtId="0" fontId="38" fillId="0" borderId="3623" xfId="0" applyNumberFormat="1" applyFont="1" applyBorder="1" applyAlignment="1">
      <alignment horizontal="center" wrapText="1"/>
    </xf>
    <xf numFmtId="0" fontId="38" fillId="0" borderId="3624" xfId="0" applyNumberFormat="1" applyFont="1" applyBorder="1" applyAlignment="1">
      <alignment horizontal="center" wrapText="1"/>
    </xf>
    <xf numFmtId="0" fontId="38" fillId="0" borderId="3625" xfId="0" applyNumberFormat="1" applyFont="1" applyBorder="1" applyAlignment="1">
      <alignment horizontal="center" wrapText="1"/>
    </xf>
    <xf numFmtId="0" fontId="38" fillId="0" borderId="3626" xfId="0" applyNumberFormat="1" applyFont="1" applyBorder="1" applyAlignment="1">
      <alignment horizontal="center" wrapText="1"/>
    </xf>
    <xf numFmtId="0" fontId="38" fillId="0" borderId="3627" xfId="0" applyNumberFormat="1" applyFont="1" applyBorder="1" applyAlignment="1">
      <alignment horizontal="center" wrapText="1"/>
    </xf>
    <xf numFmtId="0" fontId="38" fillId="0" borderId="3628" xfId="0" applyNumberFormat="1" applyFont="1" applyBorder="1" applyAlignment="1">
      <alignment horizontal="center" wrapText="1"/>
    </xf>
    <xf numFmtId="0" fontId="38" fillId="0" borderId="3642" xfId="0" applyNumberFormat="1" applyFont="1" applyBorder="1" applyAlignment="1">
      <alignment horizontal="center" wrapText="1"/>
    </xf>
    <xf numFmtId="0" fontId="38" fillId="0" borderId="3643" xfId="0" applyNumberFormat="1" applyFont="1" applyBorder="1" applyAlignment="1">
      <alignment horizontal="center" wrapText="1"/>
    </xf>
    <xf numFmtId="0" fontId="38" fillId="0" borderId="3644" xfId="0" applyNumberFormat="1" applyFont="1" applyBorder="1" applyAlignment="1">
      <alignment horizontal="center" wrapText="1"/>
    </xf>
    <xf numFmtId="0" fontId="38" fillId="0" borderId="3645" xfId="0" applyNumberFormat="1" applyFont="1" applyBorder="1" applyAlignment="1">
      <alignment horizontal="center" wrapText="1"/>
    </xf>
    <xf numFmtId="0" fontId="38" fillId="0" borderId="3646" xfId="0" applyNumberFormat="1" applyFont="1" applyBorder="1" applyAlignment="1">
      <alignment horizontal="center" wrapText="1"/>
    </xf>
    <xf numFmtId="0" fontId="38" fillId="0" borderId="3647" xfId="0" applyNumberFormat="1" applyFont="1" applyBorder="1" applyAlignment="1">
      <alignment horizontal="center" wrapText="1"/>
    </xf>
    <xf numFmtId="0" fontId="38" fillId="0" borderId="3648" xfId="0" applyNumberFormat="1" applyFont="1" applyBorder="1" applyAlignment="1">
      <alignment horizontal="center" wrapText="1"/>
    </xf>
    <xf numFmtId="0" fontId="38" fillId="0" borderId="3652" xfId="0" applyNumberFormat="1" applyFont="1" applyBorder="1" applyAlignment="1">
      <alignment horizontal="center" wrapText="1"/>
    </xf>
    <xf numFmtId="0" fontId="38" fillId="0" borderId="3653" xfId="0" applyNumberFormat="1" applyFont="1" applyBorder="1" applyAlignment="1">
      <alignment horizontal="center" wrapText="1"/>
    </xf>
    <xf numFmtId="0" fontId="38" fillId="0" borderId="3654" xfId="0" applyNumberFormat="1" applyFont="1" applyBorder="1" applyAlignment="1">
      <alignment horizontal="center" wrapText="1"/>
    </xf>
    <xf numFmtId="0" fontId="38" fillId="0" borderId="3655" xfId="0" applyNumberFormat="1" applyFont="1" applyBorder="1" applyAlignment="1">
      <alignment horizontal="center" wrapText="1"/>
    </xf>
    <xf numFmtId="0" fontId="38" fillId="0" borderId="3656" xfId="0" applyNumberFormat="1" applyFont="1" applyBorder="1" applyAlignment="1">
      <alignment horizontal="center" wrapText="1"/>
    </xf>
    <xf numFmtId="0" fontId="38" fillId="0" borderId="3657" xfId="0" applyNumberFormat="1" applyFont="1" applyBorder="1" applyAlignment="1">
      <alignment horizontal="center" wrapText="1"/>
    </xf>
    <xf numFmtId="0" fontId="38" fillId="0" borderId="3658" xfId="0" applyNumberFormat="1" applyFont="1" applyBorder="1" applyAlignment="1">
      <alignment horizontal="center" wrapText="1"/>
    </xf>
    <xf numFmtId="0" fontId="38" fillId="0" borderId="3649" xfId="0" applyNumberFormat="1" applyFont="1" applyBorder="1" applyAlignment="1">
      <alignment horizontal="center" wrapText="1"/>
    </xf>
    <xf numFmtId="0" fontId="38" fillId="0" borderId="3659" xfId="0" applyNumberFormat="1" applyFont="1" applyBorder="1" applyAlignment="1">
      <alignment horizontal="center" wrapText="1"/>
    </xf>
    <xf numFmtId="0" fontId="38" fillId="0" borderId="3692" xfId="0" applyNumberFormat="1" applyFont="1" applyBorder="1" applyAlignment="1">
      <alignment horizontal="center" wrapText="1"/>
    </xf>
    <xf numFmtId="0" fontId="38" fillId="0" borderId="3693" xfId="0" applyNumberFormat="1" applyFont="1" applyBorder="1" applyAlignment="1">
      <alignment horizontal="center" wrapText="1"/>
    </xf>
    <xf numFmtId="0" fontId="38" fillId="0" borderId="3694" xfId="0" applyNumberFormat="1" applyFont="1" applyBorder="1" applyAlignment="1">
      <alignment horizontal="center" wrapText="1"/>
    </xf>
    <xf numFmtId="0" fontId="38" fillId="0" borderId="3695" xfId="0" applyNumberFormat="1" applyFont="1" applyBorder="1" applyAlignment="1">
      <alignment horizontal="center" wrapText="1"/>
    </xf>
    <xf numFmtId="0" fontId="38" fillId="0" borderId="3696" xfId="0" applyNumberFormat="1" applyFont="1" applyBorder="1" applyAlignment="1">
      <alignment horizontal="center" wrapText="1"/>
    </xf>
    <xf numFmtId="0" fontId="38" fillId="0" borderId="3697" xfId="0" applyNumberFormat="1" applyFont="1" applyBorder="1" applyAlignment="1">
      <alignment horizontal="center" wrapText="1"/>
    </xf>
    <xf numFmtId="0" fontId="38" fillId="0" borderId="3698" xfId="0" applyNumberFormat="1" applyFont="1" applyBorder="1" applyAlignment="1">
      <alignment horizontal="center" wrapText="1"/>
    </xf>
    <xf numFmtId="0" fontId="38" fillId="0" borderId="3682" xfId="0" applyNumberFormat="1" applyFont="1" applyBorder="1" applyAlignment="1">
      <alignment horizontal="center" wrapText="1"/>
    </xf>
    <xf numFmtId="0" fontId="38" fillId="0" borderId="3683" xfId="0" applyNumberFormat="1" applyFont="1" applyBorder="1" applyAlignment="1">
      <alignment horizontal="center" wrapText="1"/>
    </xf>
    <xf numFmtId="0" fontId="38" fillId="0" borderId="3684" xfId="0" applyNumberFormat="1" applyFont="1" applyBorder="1" applyAlignment="1">
      <alignment horizontal="center" wrapText="1"/>
    </xf>
    <xf numFmtId="0" fontId="38" fillId="0" borderId="3685" xfId="0" applyNumberFormat="1" applyFont="1" applyBorder="1" applyAlignment="1">
      <alignment horizontal="center" wrapText="1"/>
    </xf>
    <xf numFmtId="0" fontId="38" fillId="0" borderId="3686" xfId="0" applyNumberFormat="1" applyFont="1" applyBorder="1" applyAlignment="1">
      <alignment horizontal="center" wrapText="1"/>
    </xf>
    <xf numFmtId="0" fontId="38" fillId="0" borderId="3687" xfId="0" applyNumberFormat="1" applyFont="1" applyBorder="1" applyAlignment="1">
      <alignment horizontal="center" wrapText="1"/>
    </xf>
    <xf numFmtId="0" fontId="38" fillId="0" borderId="3688" xfId="0" applyNumberFormat="1" applyFont="1" applyBorder="1" applyAlignment="1">
      <alignment horizontal="center" wrapText="1"/>
    </xf>
    <xf numFmtId="0" fontId="38" fillId="0" borderId="3672" xfId="0" applyNumberFormat="1" applyFont="1" applyBorder="1" applyAlignment="1">
      <alignment horizontal="center" wrapText="1"/>
    </xf>
    <xf numFmtId="0" fontId="38" fillId="0" borderId="3673" xfId="0" applyNumberFormat="1" applyFont="1" applyBorder="1" applyAlignment="1">
      <alignment horizontal="center" wrapText="1"/>
    </xf>
    <xf numFmtId="0" fontId="38" fillId="0" borderId="3674" xfId="0" applyNumberFormat="1" applyFont="1" applyBorder="1" applyAlignment="1">
      <alignment horizontal="center" wrapText="1"/>
    </xf>
    <xf numFmtId="0" fontId="38" fillId="0" borderId="3675" xfId="0" applyNumberFormat="1" applyFont="1" applyBorder="1" applyAlignment="1">
      <alignment horizontal="center" wrapText="1"/>
    </xf>
    <xf numFmtId="0" fontId="38" fillId="0" borderId="3676" xfId="0" applyNumberFormat="1" applyFont="1" applyBorder="1" applyAlignment="1">
      <alignment horizontal="center" wrapText="1"/>
    </xf>
    <xf numFmtId="0" fontId="38" fillId="0" borderId="3677" xfId="0" applyNumberFormat="1" applyFont="1" applyBorder="1" applyAlignment="1">
      <alignment horizontal="center" wrapText="1"/>
    </xf>
    <xf numFmtId="0" fontId="38" fillId="0" borderId="3678" xfId="0" applyNumberFormat="1" applyFont="1" applyBorder="1" applyAlignment="1">
      <alignment horizontal="center" wrapText="1"/>
    </xf>
    <xf numFmtId="0" fontId="38" fillId="0" borderId="3662" xfId="0" applyNumberFormat="1" applyFont="1" applyBorder="1" applyAlignment="1">
      <alignment horizontal="center" wrapText="1"/>
    </xf>
    <xf numFmtId="0" fontId="38" fillId="0" borderId="3663" xfId="0" applyNumberFormat="1" applyFont="1" applyBorder="1" applyAlignment="1">
      <alignment horizontal="center" wrapText="1"/>
    </xf>
    <xf numFmtId="0" fontId="38" fillId="0" borderId="3664" xfId="0" applyNumberFormat="1" applyFont="1" applyBorder="1" applyAlignment="1">
      <alignment horizontal="center" wrapText="1"/>
    </xf>
    <xf numFmtId="0" fontId="38" fillId="0" borderId="3665" xfId="0" applyNumberFormat="1" applyFont="1" applyBorder="1" applyAlignment="1">
      <alignment horizontal="center" wrapText="1"/>
    </xf>
    <xf numFmtId="0" fontId="38" fillId="0" borderId="3666" xfId="0" applyNumberFormat="1" applyFont="1" applyBorder="1" applyAlignment="1">
      <alignment horizontal="center" wrapText="1"/>
    </xf>
    <xf numFmtId="0" fontId="38" fillId="0" borderId="3667" xfId="0" applyNumberFormat="1" applyFont="1" applyBorder="1" applyAlignment="1">
      <alignment horizontal="center" wrapText="1"/>
    </xf>
    <xf numFmtId="0" fontId="38" fillId="0" borderId="3668" xfId="0" applyNumberFormat="1" applyFont="1" applyBorder="1" applyAlignment="1">
      <alignment horizontal="center" wrapText="1"/>
    </xf>
    <xf numFmtId="0" fontId="38" fillId="0" borderId="3699" xfId="0" applyNumberFormat="1" applyFont="1" applyBorder="1" applyAlignment="1">
      <alignment horizontal="center" wrapText="1"/>
    </xf>
    <xf numFmtId="0" fontId="38" fillId="0" borderId="3689" xfId="0" applyNumberFormat="1" applyFont="1" applyBorder="1" applyAlignment="1">
      <alignment horizontal="center" wrapText="1"/>
    </xf>
    <xf numFmtId="0" fontId="38" fillId="0" borderId="3679" xfId="0" applyNumberFormat="1" applyFont="1" applyBorder="1" applyAlignment="1">
      <alignment horizontal="center" wrapText="1"/>
    </xf>
    <xf numFmtId="0" fontId="38" fillId="0" borderId="3669" xfId="0" applyNumberFormat="1" applyFont="1" applyBorder="1" applyAlignment="1">
      <alignment horizontal="center" wrapText="1"/>
    </xf>
    <xf numFmtId="0" fontId="38" fillId="0" borderId="3582" xfId="0" applyNumberFormat="1" applyFont="1" applyBorder="1" applyAlignment="1">
      <alignment horizontal="center" wrapText="1"/>
    </xf>
    <xf numFmtId="0" fontId="38" fillId="0" borderId="3583" xfId="0" applyNumberFormat="1" applyFont="1" applyBorder="1" applyAlignment="1">
      <alignment horizontal="center" wrapText="1"/>
    </xf>
    <xf numFmtId="0" fontId="38" fillId="0" borderId="3584" xfId="0" applyNumberFormat="1" applyFont="1" applyBorder="1" applyAlignment="1">
      <alignment horizontal="center" wrapText="1"/>
    </xf>
    <xf numFmtId="0" fontId="38" fillId="0" borderId="3585" xfId="0" applyNumberFormat="1" applyFont="1" applyBorder="1" applyAlignment="1">
      <alignment horizontal="center" wrapText="1"/>
    </xf>
    <xf numFmtId="0" fontId="38" fillId="0" borderId="3586" xfId="0" applyNumberFormat="1" applyFont="1" applyBorder="1" applyAlignment="1">
      <alignment horizontal="center" wrapText="1"/>
    </xf>
    <xf numFmtId="0" fontId="38" fillId="0" borderId="3587" xfId="0" applyNumberFormat="1" applyFont="1" applyBorder="1" applyAlignment="1">
      <alignment horizontal="center" wrapText="1"/>
    </xf>
    <xf numFmtId="0" fontId="38" fillId="0" borderId="3588" xfId="0" applyNumberFormat="1" applyFont="1" applyBorder="1" applyAlignment="1">
      <alignment horizontal="center" wrapText="1"/>
    </xf>
    <xf numFmtId="0" fontId="38" fillId="0" borderId="3562" xfId="0" applyNumberFormat="1" applyFont="1" applyBorder="1" applyAlignment="1">
      <alignment horizontal="center" wrapText="1"/>
    </xf>
    <xf numFmtId="0" fontId="38" fillId="0" borderId="3563" xfId="0" applyNumberFormat="1" applyFont="1" applyBorder="1" applyAlignment="1">
      <alignment horizontal="center" wrapText="1"/>
    </xf>
    <xf numFmtId="0" fontId="38" fillId="0" borderId="3564" xfId="0" applyNumberFormat="1" applyFont="1" applyBorder="1" applyAlignment="1">
      <alignment horizontal="center" wrapText="1"/>
    </xf>
    <xf numFmtId="0" fontId="38" fillId="0" borderId="3565" xfId="0" applyNumberFormat="1" applyFont="1" applyBorder="1" applyAlignment="1">
      <alignment horizontal="center" wrapText="1"/>
    </xf>
    <xf numFmtId="0" fontId="38" fillId="0" borderId="3566" xfId="0" applyNumberFormat="1" applyFont="1" applyBorder="1" applyAlignment="1">
      <alignment horizontal="center" wrapText="1"/>
    </xf>
    <xf numFmtId="0" fontId="38" fillId="0" borderId="3567" xfId="0" applyNumberFormat="1" applyFont="1" applyBorder="1" applyAlignment="1">
      <alignment horizontal="center" wrapText="1"/>
    </xf>
    <xf numFmtId="0" fontId="38" fillId="0" borderId="3568" xfId="0" applyNumberFormat="1" applyFont="1" applyBorder="1" applyAlignment="1">
      <alignment horizontal="center" wrapText="1"/>
    </xf>
    <xf numFmtId="0" fontId="38" fillId="0" borderId="3552" xfId="0" applyNumberFormat="1" applyFont="1" applyBorder="1" applyAlignment="1">
      <alignment horizontal="center" wrapText="1"/>
    </xf>
    <xf numFmtId="0" fontId="38" fillId="0" borderId="3553" xfId="0" applyNumberFormat="1" applyFont="1" applyBorder="1" applyAlignment="1">
      <alignment horizontal="center" wrapText="1"/>
    </xf>
    <xf numFmtId="0" fontId="38" fillId="0" borderId="3554" xfId="0" applyNumberFormat="1" applyFont="1" applyBorder="1" applyAlignment="1">
      <alignment horizontal="center" wrapText="1"/>
    </xf>
    <xf numFmtId="0" fontId="38" fillId="0" borderId="3555" xfId="0" applyNumberFormat="1" applyFont="1" applyBorder="1" applyAlignment="1">
      <alignment horizontal="center" wrapText="1"/>
    </xf>
    <xf numFmtId="0" fontId="38" fillId="0" borderId="3556" xfId="0" applyNumberFormat="1" applyFont="1" applyBorder="1" applyAlignment="1">
      <alignment horizontal="center" wrapText="1"/>
    </xf>
    <xf numFmtId="0" fontId="38" fillId="0" borderId="3557" xfId="0" applyNumberFormat="1" applyFont="1" applyBorder="1" applyAlignment="1">
      <alignment horizontal="center" wrapText="1"/>
    </xf>
    <xf numFmtId="0" fontId="38" fillId="0" borderId="3558" xfId="0" applyNumberFormat="1" applyFont="1" applyBorder="1" applyAlignment="1">
      <alignment horizontal="center" wrapText="1"/>
    </xf>
    <xf numFmtId="0" fontId="38" fillId="0" borderId="3542" xfId="0" applyNumberFormat="1" applyFont="1" applyBorder="1" applyAlignment="1">
      <alignment horizontal="center" wrapText="1"/>
    </xf>
    <xf numFmtId="0" fontId="38" fillId="0" borderId="3543" xfId="0" applyNumberFormat="1" applyFont="1" applyBorder="1" applyAlignment="1">
      <alignment horizontal="center" wrapText="1"/>
    </xf>
    <xf numFmtId="0" fontId="38" fillId="0" borderId="3544" xfId="0" applyNumberFormat="1" applyFont="1" applyBorder="1" applyAlignment="1">
      <alignment horizontal="center" wrapText="1"/>
    </xf>
    <xf numFmtId="0" fontId="38" fillId="0" borderId="3545" xfId="0" applyNumberFormat="1" applyFont="1" applyBorder="1" applyAlignment="1">
      <alignment horizontal="center" wrapText="1"/>
    </xf>
    <xf numFmtId="0" fontId="38" fillId="0" borderId="3546" xfId="0" applyNumberFormat="1" applyFont="1" applyBorder="1" applyAlignment="1">
      <alignment horizontal="center" wrapText="1"/>
    </xf>
    <xf numFmtId="0" fontId="38" fillId="0" borderId="3547" xfId="0" applyNumberFormat="1" applyFont="1" applyBorder="1" applyAlignment="1">
      <alignment horizontal="center" wrapText="1"/>
    </xf>
    <xf numFmtId="0" fontId="38" fillId="0" borderId="3548" xfId="0" applyNumberFormat="1" applyFont="1" applyBorder="1" applyAlignment="1">
      <alignment horizontal="center" wrapText="1"/>
    </xf>
    <xf numFmtId="0" fontId="38" fillId="0" borderId="3532" xfId="0" applyNumberFormat="1" applyFont="1" applyBorder="1" applyAlignment="1">
      <alignment horizontal="center" wrapText="1"/>
    </xf>
    <xf numFmtId="0" fontId="38" fillId="0" borderId="3533" xfId="0" applyNumberFormat="1" applyFont="1" applyBorder="1" applyAlignment="1">
      <alignment horizontal="center" wrapText="1"/>
    </xf>
    <xf numFmtId="0" fontId="38" fillId="0" borderId="3534" xfId="0" applyNumberFormat="1" applyFont="1" applyBorder="1" applyAlignment="1">
      <alignment horizontal="center" wrapText="1"/>
    </xf>
    <xf numFmtId="0" fontId="38" fillId="0" borderId="3535" xfId="0" applyNumberFormat="1" applyFont="1" applyBorder="1" applyAlignment="1">
      <alignment horizontal="center" wrapText="1"/>
    </xf>
    <xf numFmtId="0" fontId="38" fillId="0" borderId="3536" xfId="0" applyNumberFormat="1" applyFont="1" applyBorder="1" applyAlignment="1">
      <alignment horizontal="center" wrapText="1"/>
    </xf>
    <xf numFmtId="0" fontId="38" fillId="0" borderId="3537" xfId="0" applyNumberFormat="1" applyFont="1" applyBorder="1" applyAlignment="1">
      <alignment horizontal="center" wrapText="1"/>
    </xf>
    <xf numFmtId="0" fontId="38" fillId="0" borderId="3538" xfId="0" applyNumberFormat="1" applyFont="1" applyBorder="1" applyAlignment="1">
      <alignment horizontal="center" wrapText="1"/>
    </xf>
    <xf numFmtId="0" fontId="38" fillId="0" borderId="3512" xfId="0" applyNumberFormat="1" applyFont="1" applyBorder="1" applyAlignment="1">
      <alignment horizontal="center" wrapText="1"/>
    </xf>
    <xf numFmtId="0" fontId="38" fillId="0" borderId="3513" xfId="0" applyNumberFormat="1" applyFont="1" applyBorder="1" applyAlignment="1">
      <alignment horizontal="center" wrapText="1"/>
    </xf>
    <xf numFmtId="0" fontId="38" fillId="0" borderId="3514" xfId="0" applyNumberFormat="1" applyFont="1" applyBorder="1" applyAlignment="1">
      <alignment horizontal="center" wrapText="1"/>
    </xf>
    <xf numFmtId="0" fontId="38" fillId="0" borderId="3515" xfId="0" applyNumberFormat="1" applyFont="1" applyBorder="1" applyAlignment="1">
      <alignment horizontal="center" wrapText="1"/>
    </xf>
    <xf numFmtId="0" fontId="38" fillId="0" borderId="3516" xfId="0" applyNumberFormat="1" applyFont="1" applyBorder="1" applyAlignment="1">
      <alignment horizontal="center" wrapText="1"/>
    </xf>
    <xf numFmtId="0" fontId="38" fillId="0" borderId="3517" xfId="0" applyNumberFormat="1" applyFont="1" applyBorder="1" applyAlignment="1">
      <alignment horizontal="center" wrapText="1"/>
    </xf>
    <xf numFmtId="0" fontId="38" fillId="0" borderId="3518" xfId="0" applyNumberFormat="1" applyFont="1" applyBorder="1" applyAlignment="1">
      <alignment horizontal="center" wrapText="1"/>
    </xf>
    <xf numFmtId="0" fontId="38" fillId="0" borderId="3522" xfId="0" applyNumberFormat="1" applyFont="1" applyBorder="1" applyAlignment="1">
      <alignment horizontal="center" wrapText="1"/>
    </xf>
    <xf numFmtId="0" fontId="38" fillId="0" borderId="3523" xfId="0" applyNumberFormat="1" applyFont="1" applyBorder="1" applyAlignment="1">
      <alignment horizontal="center" wrapText="1"/>
    </xf>
    <xf numFmtId="0" fontId="38" fillId="0" borderId="3524" xfId="0" applyNumberFormat="1" applyFont="1" applyBorder="1" applyAlignment="1">
      <alignment horizontal="center" wrapText="1"/>
    </xf>
    <xf numFmtId="0" fontId="38" fillId="0" borderId="3525" xfId="0" applyNumberFormat="1" applyFont="1" applyBorder="1" applyAlignment="1">
      <alignment horizontal="center" wrapText="1"/>
    </xf>
    <xf numFmtId="0" fontId="38" fillId="0" borderId="3526" xfId="0" applyNumberFormat="1" applyFont="1" applyBorder="1" applyAlignment="1">
      <alignment horizontal="center" wrapText="1"/>
    </xf>
    <xf numFmtId="0" fontId="38" fillId="0" borderId="3527" xfId="0" applyNumberFormat="1" applyFont="1" applyBorder="1" applyAlignment="1">
      <alignment horizontal="center" wrapText="1"/>
    </xf>
    <xf numFmtId="0" fontId="38" fillId="0" borderId="3528" xfId="0" applyNumberFormat="1" applyFont="1" applyBorder="1" applyAlignment="1">
      <alignment horizontal="center" wrapText="1"/>
    </xf>
    <xf numFmtId="0" fontId="38" fillId="0" borderId="3502" xfId="0" applyNumberFormat="1" applyFont="1" applyBorder="1" applyAlignment="1">
      <alignment horizontal="center" wrapText="1"/>
    </xf>
    <xf numFmtId="0" fontId="38" fillId="0" borderId="3503" xfId="0" applyNumberFormat="1" applyFont="1" applyBorder="1" applyAlignment="1">
      <alignment horizontal="center" wrapText="1"/>
    </xf>
    <xf numFmtId="0" fontId="38" fillId="0" borderId="3504" xfId="0" applyNumberFormat="1" applyFont="1" applyBorder="1" applyAlignment="1">
      <alignment horizontal="center" wrapText="1"/>
    </xf>
    <xf numFmtId="0" fontId="38" fillId="0" borderId="3505" xfId="0" applyNumberFormat="1" applyFont="1" applyBorder="1" applyAlignment="1">
      <alignment horizontal="center" wrapText="1"/>
    </xf>
    <xf numFmtId="0" fontId="38" fillId="0" borderId="3506" xfId="0" applyNumberFormat="1" applyFont="1" applyBorder="1" applyAlignment="1">
      <alignment horizontal="center" wrapText="1"/>
    </xf>
    <xf numFmtId="0" fontId="38" fillId="0" borderId="3507" xfId="0" applyNumberFormat="1" applyFont="1" applyBorder="1" applyAlignment="1">
      <alignment horizontal="center" wrapText="1"/>
    </xf>
    <xf numFmtId="0" fontId="38" fillId="0" borderId="3508" xfId="0" applyNumberFormat="1" applyFont="1" applyBorder="1" applyAlignment="1">
      <alignment horizontal="center" wrapText="1"/>
    </xf>
    <xf numFmtId="0" fontId="38" fillId="0" borderId="3492" xfId="0" applyNumberFormat="1" applyFont="1" applyBorder="1" applyAlignment="1">
      <alignment horizontal="center" wrapText="1"/>
    </xf>
    <xf numFmtId="0" fontId="38" fillId="0" borderId="3493" xfId="0" applyNumberFormat="1" applyFont="1" applyBorder="1" applyAlignment="1">
      <alignment horizontal="center" wrapText="1"/>
    </xf>
    <xf numFmtId="0" fontId="38" fillId="0" borderId="3494" xfId="0" applyNumberFormat="1" applyFont="1" applyBorder="1" applyAlignment="1">
      <alignment horizontal="center" wrapText="1"/>
    </xf>
    <xf numFmtId="0" fontId="38" fillId="0" borderId="3495" xfId="0" applyNumberFormat="1" applyFont="1" applyBorder="1" applyAlignment="1">
      <alignment horizontal="center" wrapText="1"/>
    </xf>
    <xf numFmtId="0" fontId="38" fillId="0" borderId="3496" xfId="0" applyNumberFormat="1" applyFont="1" applyBorder="1" applyAlignment="1">
      <alignment horizontal="center" wrapText="1"/>
    </xf>
    <xf numFmtId="0" fontId="38" fillId="0" borderId="3497" xfId="0" applyNumberFormat="1" applyFont="1" applyBorder="1" applyAlignment="1">
      <alignment horizontal="center" wrapText="1"/>
    </xf>
    <xf numFmtId="0" fontId="38" fillId="0" borderId="3498" xfId="0" applyNumberFormat="1" applyFont="1" applyBorder="1" applyAlignment="1">
      <alignment horizontal="center" wrapText="1"/>
    </xf>
    <xf numFmtId="0" fontId="38" fillId="0" borderId="3572" xfId="0" applyNumberFormat="1" applyFont="1" applyBorder="1" applyAlignment="1">
      <alignment horizontal="center" wrapText="1"/>
    </xf>
    <xf numFmtId="0" fontId="38" fillId="0" borderId="3573" xfId="0" applyNumberFormat="1" applyFont="1" applyBorder="1" applyAlignment="1">
      <alignment horizontal="center" wrapText="1"/>
    </xf>
    <xf numFmtId="0" fontId="38" fillId="0" borderId="3574" xfId="0" applyNumberFormat="1" applyFont="1" applyBorder="1" applyAlignment="1">
      <alignment horizontal="center" wrapText="1"/>
    </xf>
    <xf numFmtId="0" fontId="38" fillId="0" borderId="3575" xfId="0" applyNumberFormat="1" applyFont="1" applyBorder="1" applyAlignment="1">
      <alignment horizontal="center" wrapText="1"/>
    </xf>
    <xf numFmtId="0" fontId="38" fillId="0" borderId="3576" xfId="0" applyNumberFormat="1" applyFont="1" applyBorder="1" applyAlignment="1">
      <alignment horizontal="center" wrapText="1"/>
    </xf>
    <xf numFmtId="0" fontId="38" fillId="0" borderId="3577" xfId="0" applyNumberFormat="1" applyFont="1" applyBorder="1" applyAlignment="1">
      <alignment horizontal="center" wrapText="1"/>
    </xf>
    <xf numFmtId="0" fontId="38" fillId="0" borderId="3578" xfId="0" applyNumberFormat="1" applyFont="1" applyBorder="1" applyAlignment="1">
      <alignment horizontal="center" wrapText="1"/>
    </xf>
    <xf numFmtId="0" fontId="38" fillId="0" borderId="3471" xfId="0" applyNumberFormat="1" applyFont="1" applyBorder="1" applyAlignment="1">
      <alignment horizontal="center" wrapText="1"/>
    </xf>
    <xf numFmtId="0" fontId="38" fillId="0" borderId="3470" xfId="0" applyNumberFormat="1" applyFont="1" applyBorder="1" applyAlignment="1">
      <alignment horizontal="center" wrapText="1"/>
    </xf>
    <xf numFmtId="0" fontId="38" fillId="0" borderId="3469" xfId="0" applyNumberFormat="1" applyFont="1" applyBorder="1" applyAlignment="1">
      <alignment horizontal="center" wrapText="1"/>
    </xf>
    <xf numFmtId="0" fontId="38" fillId="0" borderId="3462" xfId="0" applyNumberFormat="1" applyFont="1" applyBorder="1" applyAlignment="1">
      <alignment horizontal="center" wrapText="1"/>
    </xf>
    <xf numFmtId="0" fontId="38" fillId="0" borderId="3463" xfId="0" applyNumberFormat="1" applyFont="1" applyBorder="1" applyAlignment="1">
      <alignment horizontal="center" wrapText="1"/>
    </xf>
    <xf numFmtId="0" fontId="38" fillId="0" borderId="3464" xfId="0" applyNumberFormat="1" applyFont="1" applyBorder="1" applyAlignment="1">
      <alignment horizontal="center" wrapText="1"/>
    </xf>
    <xf numFmtId="0" fontId="38" fillId="0" borderId="3465" xfId="0" applyNumberFormat="1" applyFont="1" applyBorder="1" applyAlignment="1">
      <alignment horizontal="center" wrapText="1"/>
    </xf>
    <xf numFmtId="0" fontId="38" fillId="0" borderId="3466" xfId="0" applyNumberFormat="1" applyFont="1" applyBorder="1" applyAlignment="1">
      <alignment horizontal="center" wrapText="1"/>
    </xf>
    <xf numFmtId="0" fontId="38" fillId="0" borderId="3467" xfId="0" applyNumberFormat="1" applyFont="1" applyBorder="1" applyAlignment="1">
      <alignment horizontal="center" wrapText="1"/>
    </xf>
    <xf numFmtId="0" fontId="38" fillId="0" borderId="3468" xfId="0" applyNumberFormat="1" applyFont="1" applyBorder="1" applyAlignment="1">
      <alignment horizontal="center" wrapText="1"/>
    </xf>
    <xf numFmtId="0" fontId="38" fillId="0" borderId="3482" xfId="0" applyNumberFormat="1" applyFont="1" applyBorder="1" applyAlignment="1">
      <alignment horizontal="center" wrapText="1"/>
    </xf>
    <xf numFmtId="0" fontId="38" fillId="0" borderId="3483" xfId="0" applyNumberFormat="1" applyFont="1" applyBorder="1" applyAlignment="1">
      <alignment horizontal="center" wrapText="1"/>
    </xf>
    <xf numFmtId="0" fontId="38" fillId="0" borderId="3484" xfId="0" applyNumberFormat="1" applyFont="1" applyBorder="1" applyAlignment="1">
      <alignment horizontal="center" wrapText="1"/>
    </xf>
    <xf numFmtId="0" fontId="38" fillId="0" borderId="3485" xfId="0" applyNumberFormat="1" applyFont="1" applyBorder="1" applyAlignment="1">
      <alignment horizontal="center" wrapText="1"/>
    </xf>
    <xf numFmtId="0" fontId="38" fillId="0" borderId="3486" xfId="0" applyNumberFormat="1" applyFont="1" applyBorder="1" applyAlignment="1">
      <alignment horizontal="center" wrapText="1"/>
    </xf>
    <xf numFmtId="0" fontId="38" fillId="0" borderId="3487" xfId="0" applyNumberFormat="1" applyFont="1" applyBorder="1" applyAlignment="1">
      <alignment horizontal="center" wrapText="1"/>
    </xf>
    <xf numFmtId="0" fontId="38" fillId="0" borderId="3488" xfId="0" applyNumberFormat="1" applyFont="1" applyBorder="1" applyAlignment="1">
      <alignment horizontal="center" wrapText="1"/>
    </xf>
    <xf numFmtId="0" fontId="38" fillId="0" borderId="3489" xfId="0" applyNumberFormat="1" applyFont="1" applyBorder="1" applyAlignment="1">
      <alignment horizontal="center" wrapText="1"/>
    </xf>
    <xf numFmtId="0" fontId="38" fillId="0" borderId="3490" xfId="0" applyNumberFormat="1" applyFont="1" applyBorder="1" applyAlignment="1">
      <alignment horizontal="center" wrapText="1"/>
    </xf>
    <xf numFmtId="0" fontId="38" fillId="0" borderId="3472" xfId="0" applyNumberFormat="1" applyFont="1" applyBorder="1" applyAlignment="1">
      <alignment horizontal="center" wrapText="1"/>
    </xf>
    <xf numFmtId="0" fontId="38" fillId="0" borderId="3473" xfId="0" applyNumberFormat="1" applyFont="1" applyBorder="1" applyAlignment="1">
      <alignment horizontal="center" wrapText="1"/>
    </xf>
    <xf numFmtId="0" fontId="38" fillId="0" borderId="3474" xfId="0" applyNumberFormat="1" applyFont="1" applyBorder="1" applyAlignment="1">
      <alignment horizontal="center" wrapText="1"/>
    </xf>
    <xf numFmtId="0" fontId="38" fillId="0" borderId="3475" xfId="0" applyNumberFormat="1" applyFont="1" applyBorder="1" applyAlignment="1">
      <alignment horizontal="center" wrapText="1"/>
    </xf>
    <xf numFmtId="0" fontId="38" fillId="0" borderId="3476" xfId="0" applyNumberFormat="1" applyFont="1" applyBorder="1" applyAlignment="1">
      <alignment horizontal="center" wrapText="1"/>
    </xf>
    <xf numFmtId="0" fontId="38" fillId="0" borderId="3477" xfId="0" applyNumberFormat="1" applyFont="1" applyBorder="1" applyAlignment="1">
      <alignment horizontal="center" wrapText="1"/>
    </xf>
    <xf numFmtId="0" fontId="38" fillId="0" borderId="3478" xfId="0" applyNumberFormat="1" applyFont="1" applyBorder="1" applyAlignment="1">
      <alignment horizontal="center" wrapText="1"/>
    </xf>
    <xf numFmtId="0" fontId="38" fillId="0" borderId="3479" xfId="0" applyNumberFormat="1" applyFont="1" applyBorder="1" applyAlignment="1">
      <alignment horizontal="center" wrapText="1"/>
    </xf>
    <xf numFmtId="0" fontId="38" fillId="0" borderId="3480" xfId="0" applyNumberFormat="1" applyFont="1" applyBorder="1" applyAlignment="1">
      <alignment horizontal="center" wrapText="1"/>
    </xf>
    <xf numFmtId="0" fontId="38" fillId="0" borderId="3481" xfId="0" applyNumberFormat="1" applyFont="1" applyBorder="1" applyAlignment="1">
      <alignment horizontal="center" wrapText="1"/>
    </xf>
    <xf numFmtId="0" fontId="38" fillId="0" borderId="3491" xfId="0" applyNumberFormat="1" applyFont="1" applyBorder="1" applyAlignment="1">
      <alignment horizontal="center" wrapText="1"/>
    </xf>
    <xf numFmtId="0" fontId="38" fillId="0" borderId="3499" xfId="0" applyNumberFormat="1" applyFont="1" applyBorder="1" applyAlignment="1">
      <alignment horizontal="center" wrapText="1"/>
    </xf>
    <xf numFmtId="0" fontId="38" fillId="0" borderId="3509" xfId="0" applyNumberFormat="1" applyFont="1" applyBorder="1" applyAlignment="1">
      <alignment horizontal="center" wrapText="1"/>
    </xf>
    <xf numFmtId="0" fontId="38" fillId="0" borderId="3519" xfId="0" applyNumberFormat="1" applyFont="1" applyBorder="1" applyAlignment="1">
      <alignment horizontal="center" wrapText="1"/>
    </xf>
    <xf numFmtId="0" fontId="38" fillId="0" borderId="3529" xfId="0" applyNumberFormat="1" applyFont="1" applyBorder="1" applyAlignment="1">
      <alignment horizontal="center" wrapText="1"/>
    </xf>
    <xf numFmtId="0" fontId="38" fillId="0" borderId="3539" xfId="0" applyNumberFormat="1" applyFont="1" applyBorder="1" applyAlignment="1">
      <alignment horizontal="center" wrapText="1"/>
    </xf>
    <xf numFmtId="0" fontId="38" fillId="0" borderId="3549" xfId="0" applyNumberFormat="1" applyFont="1" applyBorder="1" applyAlignment="1">
      <alignment horizontal="center" wrapText="1"/>
    </xf>
    <xf numFmtId="0" fontId="38" fillId="0" borderId="3559" xfId="0" applyNumberFormat="1" applyFont="1" applyBorder="1" applyAlignment="1">
      <alignment horizontal="center" wrapText="1"/>
    </xf>
    <xf numFmtId="0" fontId="38" fillId="0" borderId="3589" xfId="0" applyNumberFormat="1" applyFont="1" applyBorder="1" applyAlignment="1">
      <alignment horizontal="center" wrapText="1"/>
    </xf>
    <xf numFmtId="0" fontId="38" fillId="0" borderId="3579" xfId="0" applyNumberFormat="1" applyFont="1" applyBorder="1" applyAlignment="1">
      <alignment horizontal="center" wrapText="1"/>
    </xf>
    <xf numFmtId="0" fontId="38" fillId="0" borderId="3569" xfId="0" applyNumberFormat="1" applyFont="1" applyBorder="1" applyAlignment="1">
      <alignment horizontal="center" wrapText="1"/>
    </xf>
    <xf numFmtId="0" fontId="38" fillId="0" borderId="3511" xfId="0" applyNumberFormat="1" applyFont="1" applyBorder="1" applyAlignment="1">
      <alignment horizontal="center" wrapText="1"/>
    </xf>
    <xf numFmtId="0" fontId="38" fillId="0" borderId="3521" xfId="0" applyNumberFormat="1" applyFont="1" applyBorder="1" applyAlignment="1">
      <alignment horizontal="center" wrapText="1"/>
    </xf>
    <xf numFmtId="0" fontId="38" fillId="0" borderId="3531" xfId="0" applyNumberFormat="1" applyFont="1" applyBorder="1" applyAlignment="1">
      <alignment horizontal="center" wrapText="1"/>
    </xf>
    <xf numFmtId="0" fontId="38" fillId="0" borderId="3541" xfId="0" applyNumberFormat="1" applyFont="1" applyBorder="1" applyAlignment="1">
      <alignment horizontal="center" wrapText="1"/>
    </xf>
    <xf numFmtId="0" fontId="38" fillId="0" borderId="3551" xfId="0" applyNumberFormat="1" applyFont="1" applyBorder="1" applyAlignment="1">
      <alignment horizontal="center" wrapText="1"/>
    </xf>
    <xf numFmtId="0" fontId="38" fillId="0" borderId="3561" xfId="0" applyNumberFormat="1" applyFont="1" applyBorder="1" applyAlignment="1">
      <alignment horizontal="center" wrapText="1"/>
    </xf>
    <xf numFmtId="0" fontId="38" fillId="0" borderId="3501" xfId="0" applyNumberFormat="1" applyFont="1" applyBorder="1" applyAlignment="1">
      <alignment horizontal="center" wrapText="1"/>
    </xf>
    <xf numFmtId="0" fontId="38" fillId="0" borderId="3591" xfId="0" applyNumberFormat="1" applyFont="1" applyBorder="1" applyAlignment="1">
      <alignment horizontal="center" wrapText="1"/>
    </xf>
    <xf numFmtId="0" fontId="38" fillId="0" borderId="3581" xfId="0" applyNumberFormat="1" applyFont="1" applyBorder="1" applyAlignment="1">
      <alignment horizontal="center" wrapText="1"/>
    </xf>
    <xf numFmtId="0" fontId="38" fillId="0" borderId="3571" xfId="0" applyNumberFormat="1" applyFont="1" applyBorder="1" applyAlignment="1">
      <alignment horizontal="center" wrapText="1"/>
    </xf>
    <xf numFmtId="0" fontId="38" fillId="0" borderId="3590" xfId="0" applyNumberFormat="1" applyFont="1" applyBorder="1" applyAlignment="1">
      <alignment horizontal="center" wrapText="1"/>
    </xf>
    <xf numFmtId="0" fontId="38" fillId="0" borderId="3580" xfId="0" applyNumberFormat="1" applyFont="1" applyBorder="1" applyAlignment="1">
      <alignment horizontal="center" wrapText="1"/>
    </xf>
    <xf numFmtId="0" fontId="38" fillId="0" borderId="3560" xfId="0" applyNumberFormat="1" applyFont="1" applyBorder="1" applyAlignment="1">
      <alignment horizontal="center" wrapText="1"/>
    </xf>
    <xf numFmtId="0" fontId="38" fillId="0" borderId="3550" xfId="0" applyNumberFormat="1" applyFont="1" applyBorder="1" applyAlignment="1">
      <alignment horizontal="center" wrapText="1"/>
    </xf>
    <xf numFmtId="0" fontId="38" fillId="0" borderId="3540" xfId="0" applyNumberFormat="1" applyFont="1" applyBorder="1" applyAlignment="1">
      <alignment horizontal="center" wrapText="1"/>
    </xf>
    <xf numFmtId="0" fontId="38" fillId="0" borderId="3530" xfId="0" applyNumberFormat="1" applyFont="1" applyBorder="1" applyAlignment="1">
      <alignment horizontal="center" wrapText="1"/>
    </xf>
    <xf numFmtId="0" fontId="38" fillId="0" borderId="3520" xfId="0" applyNumberFormat="1" applyFont="1" applyBorder="1" applyAlignment="1">
      <alignment horizontal="center" wrapText="1"/>
    </xf>
    <xf numFmtId="0" fontId="38" fillId="0" borderId="3510" xfId="0" applyNumberFormat="1" applyFont="1" applyBorder="1" applyAlignment="1">
      <alignment horizontal="center" wrapText="1"/>
    </xf>
    <xf numFmtId="0" fontId="38" fillId="0" borderId="3500" xfId="0" applyNumberFormat="1" applyFont="1" applyBorder="1" applyAlignment="1">
      <alignment horizontal="center" wrapText="1"/>
    </xf>
    <xf numFmtId="0" fontId="38" fillId="0" borderId="3570" xfId="0" applyNumberFormat="1" applyFont="1" applyBorder="1" applyAlignment="1">
      <alignment horizontal="center" wrapText="1"/>
    </xf>
    <xf numFmtId="0" fontId="38" fillId="0" borderId="3592" xfId="0" applyNumberFormat="1" applyFont="1" applyBorder="1" applyAlignment="1">
      <alignment horizontal="center" wrapText="1"/>
    </xf>
    <xf numFmtId="0" fontId="38" fillId="0" borderId="3593" xfId="0" applyNumberFormat="1" applyFont="1" applyBorder="1" applyAlignment="1">
      <alignment horizontal="center" wrapText="1"/>
    </xf>
    <xf numFmtId="0" fontId="38" fillId="0" borderId="3594" xfId="0" applyNumberFormat="1" applyFont="1" applyBorder="1" applyAlignment="1">
      <alignment horizontal="center" wrapText="1"/>
    </xf>
    <xf numFmtId="0" fontId="38" fillId="0" borderId="3595" xfId="0" applyNumberFormat="1" applyFont="1" applyBorder="1" applyAlignment="1">
      <alignment horizontal="center" wrapText="1"/>
    </xf>
    <xf numFmtId="0" fontId="38" fillId="0" borderId="3596" xfId="0" applyNumberFormat="1" applyFont="1" applyBorder="1" applyAlignment="1">
      <alignment horizontal="center" wrapText="1"/>
    </xf>
    <xf numFmtId="0" fontId="38" fillId="0" borderId="3597" xfId="0" applyNumberFormat="1" applyFont="1" applyBorder="1" applyAlignment="1">
      <alignment horizontal="center" wrapText="1"/>
    </xf>
    <xf numFmtId="0" fontId="38" fillId="0" borderId="3598" xfId="0" applyNumberFormat="1" applyFont="1" applyBorder="1" applyAlignment="1">
      <alignment horizontal="center" wrapText="1"/>
    </xf>
    <xf numFmtId="0" fontId="38" fillId="0" borderId="3602" xfId="0" applyNumberFormat="1" applyFont="1" applyBorder="1" applyAlignment="1">
      <alignment horizontal="center" wrapText="1"/>
    </xf>
    <xf numFmtId="0" fontId="38" fillId="0" borderId="3603" xfId="0" applyNumberFormat="1" applyFont="1" applyBorder="1" applyAlignment="1">
      <alignment horizontal="center" wrapText="1"/>
    </xf>
    <xf numFmtId="0" fontId="38" fillId="0" borderId="3604" xfId="0" applyNumberFormat="1" applyFont="1" applyBorder="1" applyAlignment="1">
      <alignment horizontal="center" wrapText="1"/>
    </xf>
    <xf numFmtId="0" fontId="38" fillId="0" borderId="3605" xfId="0" applyNumberFormat="1" applyFont="1" applyBorder="1" applyAlignment="1">
      <alignment horizontal="center" wrapText="1"/>
    </xf>
    <xf numFmtId="0" fontId="38" fillId="0" borderId="3606" xfId="0" applyNumberFormat="1" applyFont="1" applyBorder="1" applyAlignment="1">
      <alignment horizontal="center" wrapText="1"/>
    </xf>
    <xf numFmtId="0" fontId="38" fillId="0" borderId="3607" xfId="0" applyNumberFormat="1" applyFont="1" applyBorder="1" applyAlignment="1">
      <alignment horizontal="center" wrapText="1"/>
    </xf>
    <xf numFmtId="0" fontId="38" fillId="0" borderId="3608" xfId="0" applyNumberFormat="1" applyFont="1" applyBorder="1" applyAlignment="1">
      <alignment horizontal="center" wrapText="1"/>
    </xf>
    <xf numFmtId="0" fontId="38" fillId="0" borderId="3599" xfId="0" applyNumberFormat="1" applyFont="1" applyBorder="1" applyAlignment="1">
      <alignment horizontal="center" wrapText="1"/>
    </xf>
    <xf numFmtId="0" fontId="38" fillId="0" borderId="3600" xfId="0" applyNumberFormat="1" applyFont="1" applyBorder="1" applyAlignment="1">
      <alignment horizontal="center" wrapText="1"/>
    </xf>
    <xf numFmtId="0" fontId="38" fillId="0" borderId="3601" xfId="0" applyNumberFormat="1" applyFont="1" applyBorder="1" applyAlignment="1">
      <alignment horizontal="center" wrapText="1"/>
    </xf>
    <xf numFmtId="0" fontId="38" fillId="0" borderId="3609" xfId="0" applyNumberFormat="1" applyFont="1" applyBorder="1" applyAlignment="1">
      <alignment horizontal="center" wrapText="1"/>
    </xf>
    <xf numFmtId="0" fontId="38" fillId="0" borderId="3612" xfId="0" applyNumberFormat="1" applyFont="1" applyBorder="1" applyAlignment="1">
      <alignment horizontal="center" wrapText="1"/>
    </xf>
    <xf numFmtId="0" fontId="38" fillId="0" borderId="3613" xfId="0" applyNumberFormat="1" applyFont="1" applyBorder="1" applyAlignment="1">
      <alignment horizontal="center" wrapText="1"/>
    </xf>
    <xf numFmtId="0" fontId="38" fillId="0" borderId="3614" xfId="0" applyNumberFormat="1" applyFont="1" applyBorder="1" applyAlignment="1">
      <alignment horizontal="center" wrapText="1"/>
    </xf>
    <xf numFmtId="0" fontId="38" fillId="0" borderId="3615" xfId="0" applyNumberFormat="1" applyFont="1" applyBorder="1" applyAlignment="1">
      <alignment horizontal="center" wrapText="1"/>
    </xf>
    <xf numFmtId="0" fontId="38" fillId="0" borderId="3616" xfId="0" applyNumberFormat="1" applyFont="1" applyBorder="1" applyAlignment="1">
      <alignment horizontal="center" wrapText="1"/>
    </xf>
    <xf numFmtId="0" fontId="38" fillId="0" borderId="3617" xfId="0" applyNumberFormat="1" applyFont="1" applyBorder="1" applyAlignment="1">
      <alignment horizontal="center" wrapText="1"/>
    </xf>
    <xf numFmtId="0" fontId="38" fillId="0" borderId="3618" xfId="0" applyNumberFormat="1" applyFont="1" applyBorder="1" applyAlignment="1">
      <alignment horizontal="center" wrapText="1"/>
    </xf>
    <xf numFmtId="0" fontId="38" fillId="0" borderId="3620" xfId="0" applyNumberFormat="1" applyFont="1" applyBorder="1" applyAlignment="1">
      <alignment horizontal="center" wrapText="1"/>
    </xf>
    <xf numFmtId="0" fontId="38" fillId="0" borderId="3621" xfId="0" applyNumberFormat="1" applyFont="1" applyBorder="1" applyAlignment="1">
      <alignment horizontal="center" wrapText="1"/>
    </xf>
    <xf numFmtId="0" fontId="38" fillId="0" borderId="3619" xfId="0" applyNumberFormat="1" applyFont="1" applyBorder="1" applyAlignment="1">
      <alignment horizontal="center" wrapText="1"/>
    </xf>
    <xf numFmtId="0" fontId="38" fillId="0" borderId="3610" xfId="0" applyNumberFormat="1" applyFont="1" applyBorder="1" applyAlignment="1">
      <alignment horizontal="center" wrapText="1"/>
    </xf>
    <xf numFmtId="0" fontId="38" fillId="0" borderId="3611" xfId="0" applyNumberFormat="1" applyFont="1" applyBorder="1" applyAlignment="1">
      <alignment horizontal="center" wrapText="1"/>
    </xf>
    <xf numFmtId="0" fontId="92" fillId="0" borderId="0" xfId="0" applyNumberFormat="1" applyFont="1" applyAlignment="1">
      <alignment horizontal="center" vertical="center"/>
    </xf>
    <xf numFmtId="0" fontId="100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vertical="center"/>
    </xf>
    <xf numFmtId="0" fontId="23" fillId="0" borderId="0" xfId="0" applyNumberFormat="1" applyFont="1" applyAlignment="1">
      <alignment horizontal="center" vertical="center" wrapText="1"/>
    </xf>
    <xf numFmtId="0" fontId="15" fillId="0" borderId="0" xfId="0" applyNumberFormat="1" applyFont="1" applyAlignment="1">
      <alignment horizontal="center" vertical="center" wrapText="1"/>
    </xf>
    <xf numFmtId="0" fontId="38" fillId="0" borderId="2956" xfId="0" applyNumberFormat="1" applyFont="1" applyBorder="1" applyAlignment="1">
      <alignment horizontal="center" vertical="center"/>
    </xf>
    <xf numFmtId="0" fontId="38" fillId="0" borderId="2944" xfId="0" applyNumberFormat="1" applyFont="1" applyBorder="1" applyAlignment="1">
      <alignment horizontal="center" vertical="center" wrapText="1"/>
    </xf>
    <xf numFmtId="0" fontId="38" fillId="0" borderId="2954" xfId="0" applyNumberFormat="1" applyFont="1" applyBorder="1" applyAlignment="1">
      <alignment horizontal="center" vertical="center" wrapText="1"/>
    </xf>
    <xf numFmtId="0" fontId="38" fillId="0" borderId="2955" xfId="0" applyNumberFormat="1" applyFont="1" applyBorder="1" applyAlignment="1">
      <alignment horizontal="center" vertical="center" wrapText="1"/>
    </xf>
    <xf numFmtId="0" fontId="38" fillId="0" borderId="2942" xfId="0" applyNumberFormat="1" applyFont="1" applyBorder="1" applyAlignment="1">
      <alignment horizontal="center" vertical="center"/>
    </xf>
    <xf numFmtId="0" fontId="38" fillId="0" borderId="2943" xfId="0" applyNumberFormat="1" applyFont="1" applyBorder="1" applyAlignment="1">
      <alignment horizontal="center" vertical="center"/>
    </xf>
    <xf numFmtId="2" fontId="47" fillId="0" borderId="0" xfId="0" applyNumberFormat="1" applyFont="1" applyAlignment="1">
      <alignment horizontal="center"/>
    </xf>
    <xf numFmtId="0" fontId="47" fillId="0" borderId="0" xfId="0" applyNumberFormat="1" applyFont="1" applyAlignment="1">
      <alignment horizontal="left"/>
    </xf>
    <xf numFmtId="0" fontId="38" fillId="0" borderId="3101" xfId="0" applyNumberFormat="1" applyFont="1" applyBorder="1" applyAlignment="1">
      <alignment horizontal="left"/>
    </xf>
    <xf numFmtId="0" fontId="38" fillId="0" borderId="3102" xfId="0" applyNumberFormat="1" applyFont="1" applyBorder="1" applyAlignment="1">
      <alignment horizontal="left"/>
    </xf>
    <xf numFmtId="0" fontId="38" fillId="0" borderId="3103" xfId="0" applyNumberFormat="1" applyFont="1" applyBorder="1" applyAlignment="1">
      <alignment horizontal="left"/>
    </xf>
    <xf numFmtId="0" fontId="38" fillId="0" borderId="3104" xfId="0" applyNumberFormat="1" applyFont="1" applyBorder="1" applyAlignment="1">
      <alignment horizontal="left"/>
    </xf>
    <xf numFmtId="0" fontId="38" fillId="0" borderId="3105" xfId="0" applyNumberFormat="1" applyFont="1" applyBorder="1" applyAlignment="1">
      <alignment horizontal="left"/>
    </xf>
    <xf numFmtId="0" fontId="38" fillId="0" borderId="3106" xfId="0" applyNumberFormat="1" applyFont="1" applyBorder="1" applyAlignment="1">
      <alignment horizontal="left"/>
    </xf>
    <xf numFmtId="0" fontId="38" fillId="0" borderId="3107" xfId="0" applyNumberFormat="1" applyFont="1" applyBorder="1" applyAlignment="1">
      <alignment horizontal="left"/>
    </xf>
    <xf numFmtId="0" fontId="38" fillId="0" borderId="3093" xfId="0" applyNumberFormat="1" applyFont="1" applyBorder="1" applyAlignment="1">
      <alignment horizontal="left"/>
    </xf>
    <xf numFmtId="0" fontId="38" fillId="0" borderId="3094" xfId="0" applyNumberFormat="1" applyFont="1" applyBorder="1" applyAlignment="1">
      <alignment horizontal="left"/>
    </xf>
    <xf numFmtId="0" fontId="38" fillId="0" borderId="3095" xfId="0" applyNumberFormat="1" applyFont="1" applyBorder="1" applyAlignment="1">
      <alignment horizontal="left"/>
    </xf>
    <xf numFmtId="0" fontId="38" fillId="0" borderId="3096" xfId="0" applyNumberFormat="1" applyFont="1" applyBorder="1" applyAlignment="1">
      <alignment horizontal="left"/>
    </xf>
    <xf numFmtId="0" fontId="38" fillId="0" borderId="3097" xfId="0" applyNumberFormat="1" applyFont="1" applyBorder="1" applyAlignment="1">
      <alignment horizontal="left"/>
    </xf>
    <xf numFmtId="0" fontId="38" fillId="0" borderId="3098" xfId="0" applyNumberFormat="1" applyFont="1" applyBorder="1" applyAlignment="1">
      <alignment horizontal="left"/>
    </xf>
    <xf numFmtId="0" fontId="38" fillId="0" borderId="3099" xfId="0" applyNumberFormat="1" applyFont="1" applyBorder="1" applyAlignment="1">
      <alignment horizontal="left"/>
    </xf>
    <xf numFmtId="0" fontId="38" fillId="0" borderId="3085" xfId="0" applyNumberFormat="1" applyFont="1" applyBorder="1" applyAlignment="1">
      <alignment horizontal="left"/>
    </xf>
    <xf numFmtId="0" fontId="38" fillId="0" borderId="3086" xfId="0" applyNumberFormat="1" applyFont="1" applyBorder="1" applyAlignment="1">
      <alignment horizontal="left"/>
    </xf>
    <xf numFmtId="0" fontId="38" fillId="0" borderId="3087" xfId="0" applyNumberFormat="1" applyFont="1" applyBorder="1" applyAlignment="1">
      <alignment horizontal="left"/>
    </xf>
    <xf numFmtId="0" fontId="38" fillId="0" borderId="3088" xfId="0" applyNumberFormat="1" applyFont="1" applyBorder="1" applyAlignment="1">
      <alignment horizontal="left"/>
    </xf>
    <xf numFmtId="0" fontId="38" fillId="0" borderId="3089" xfId="0" applyNumberFormat="1" applyFont="1" applyBorder="1" applyAlignment="1">
      <alignment horizontal="left"/>
    </xf>
    <xf numFmtId="0" fontId="38" fillId="0" borderId="3090" xfId="0" applyNumberFormat="1" applyFont="1" applyBorder="1" applyAlignment="1">
      <alignment horizontal="left"/>
    </xf>
    <xf numFmtId="0" fontId="38" fillId="0" borderId="3091" xfId="0" applyNumberFormat="1" applyFont="1" applyBorder="1" applyAlignment="1">
      <alignment horizontal="left"/>
    </xf>
    <xf numFmtId="0" fontId="38" fillId="0" borderId="3077" xfId="0" applyNumberFormat="1" applyFont="1" applyBorder="1" applyAlignment="1">
      <alignment horizontal="left"/>
    </xf>
    <xf numFmtId="0" fontId="38" fillId="0" borderId="3078" xfId="0" applyNumberFormat="1" applyFont="1" applyBorder="1" applyAlignment="1">
      <alignment horizontal="left"/>
    </xf>
    <xf numFmtId="0" fontId="38" fillId="0" borderId="3079" xfId="0" applyNumberFormat="1" applyFont="1" applyBorder="1" applyAlignment="1">
      <alignment horizontal="left"/>
    </xf>
    <xf numFmtId="0" fontId="38" fillId="0" borderId="3080" xfId="0" applyNumberFormat="1" applyFont="1" applyBorder="1" applyAlignment="1">
      <alignment horizontal="left"/>
    </xf>
    <xf numFmtId="0" fontId="38" fillId="0" borderId="3081" xfId="0" applyNumberFormat="1" applyFont="1" applyBorder="1" applyAlignment="1">
      <alignment horizontal="left"/>
    </xf>
    <xf numFmtId="0" fontId="38" fillId="0" borderId="3082" xfId="0" applyNumberFormat="1" applyFont="1" applyBorder="1" applyAlignment="1">
      <alignment horizontal="left"/>
    </xf>
    <xf numFmtId="0" fontId="38" fillId="0" borderId="3083" xfId="0" applyNumberFormat="1" applyFont="1" applyBorder="1" applyAlignment="1">
      <alignment horizontal="left"/>
    </xf>
    <xf numFmtId="0" fontId="38" fillId="0" borderId="3069" xfId="0" applyNumberFormat="1" applyFont="1" applyBorder="1" applyAlignment="1">
      <alignment horizontal="left"/>
    </xf>
    <xf numFmtId="0" fontId="38" fillId="0" borderId="3070" xfId="0" applyNumberFormat="1" applyFont="1" applyBorder="1" applyAlignment="1">
      <alignment horizontal="left"/>
    </xf>
    <xf numFmtId="0" fontId="38" fillId="0" borderId="3071" xfId="0" applyNumberFormat="1" applyFont="1" applyBorder="1" applyAlignment="1">
      <alignment horizontal="left"/>
    </xf>
    <xf numFmtId="0" fontId="38" fillId="0" borderId="3072" xfId="0" applyNumberFormat="1" applyFont="1" applyBorder="1" applyAlignment="1">
      <alignment horizontal="left"/>
    </xf>
    <xf numFmtId="0" fontId="38" fillId="0" borderId="3073" xfId="0" applyNumberFormat="1" applyFont="1" applyBorder="1" applyAlignment="1">
      <alignment horizontal="left"/>
    </xf>
    <xf numFmtId="0" fontId="38" fillId="0" borderId="3074" xfId="0" applyNumberFormat="1" applyFont="1" applyBorder="1" applyAlignment="1">
      <alignment horizontal="left"/>
    </xf>
    <xf numFmtId="0" fontId="38" fillId="0" borderId="3075" xfId="0" applyNumberFormat="1" applyFont="1" applyBorder="1" applyAlignment="1">
      <alignment horizontal="left"/>
    </xf>
    <xf numFmtId="0" fontId="38" fillId="0" borderId="3061" xfId="0" applyNumberFormat="1" applyFont="1" applyBorder="1" applyAlignment="1">
      <alignment horizontal="left"/>
    </xf>
    <xf numFmtId="0" fontId="38" fillId="0" borderId="3062" xfId="0" applyNumberFormat="1" applyFont="1" applyBorder="1" applyAlignment="1">
      <alignment horizontal="left"/>
    </xf>
    <xf numFmtId="0" fontId="38" fillId="0" borderId="3063" xfId="0" applyNumberFormat="1" applyFont="1" applyBorder="1" applyAlignment="1">
      <alignment horizontal="left"/>
    </xf>
    <xf numFmtId="0" fontId="38" fillId="0" borderId="3064" xfId="0" applyNumberFormat="1" applyFont="1" applyBorder="1" applyAlignment="1">
      <alignment horizontal="left"/>
    </xf>
    <xf numFmtId="0" fontId="38" fillId="0" borderId="3065" xfId="0" applyNumberFormat="1" applyFont="1" applyBorder="1" applyAlignment="1">
      <alignment horizontal="left"/>
    </xf>
    <xf numFmtId="0" fontId="38" fillId="0" borderId="3066" xfId="0" applyNumberFormat="1" applyFont="1" applyBorder="1" applyAlignment="1">
      <alignment horizontal="left"/>
    </xf>
    <xf numFmtId="0" fontId="38" fillId="0" borderId="3067" xfId="0" applyNumberFormat="1" applyFont="1" applyBorder="1" applyAlignment="1">
      <alignment horizontal="left"/>
    </xf>
    <xf numFmtId="0" fontId="38" fillId="0" borderId="3053" xfId="0" applyNumberFormat="1" applyFont="1" applyBorder="1" applyAlignment="1">
      <alignment horizontal="left"/>
    </xf>
    <xf numFmtId="0" fontId="38" fillId="0" borderId="3054" xfId="0" applyNumberFormat="1" applyFont="1" applyBorder="1" applyAlignment="1">
      <alignment horizontal="left"/>
    </xf>
    <xf numFmtId="0" fontId="38" fillId="0" borderId="3055" xfId="0" applyNumberFormat="1" applyFont="1" applyBorder="1" applyAlignment="1">
      <alignment horizontal="left"/>
    </xf>
    <xf numFmtId="0" fontId="38" fillId="0" borderId="3056" xfId="0" applyNumberFormat="1" applyFont="1" applyBorder="1" applyAlignment="1">
      <alignment horizontal="left"/>
    </xf>
    <xf numFmtId="0" fontId="38" fillId="0" borderId="3057" xfId="0" applyNumberFormat="1" applyFont="1" applyBorder="1" applyAlignment="1">
      <alignment horizontal="left"/>
    </xf>
    <xf numFmtId="0" fontId="38" fillId="0" borderId="3058" xfId="0" applyNumberFormat="1" applyFont="1" applyBorder="1" applyAlignment="1">
      <alignment horizontal="left"/>
    </xf>
    <xf numFmtId="0" fontId="38" fillId="0" borderId="3059" xfId="0" applyNumberFormat="1" applyFont="1" applyBorder="1" applyAlignment="1">
      <alignment horizontal="left"/>
    </xf>
    <xf numFmtId="0" fontId="38" fillId="0" borderId="3045" xfId="0" applyNumberFormat="1" applyFont="1" applyBorder="1" applyAlignment="1">
      <alignment horizontal="left"/>
    </xf>
    <xf numFmtId="0" fontId="38" fillId="0" borderId="3046" xfId="0" applyNumberFormat="1" applyFont="1" applyBorder="1" applyAlignment="1">
      <alignment horizontal="left"/>
    </xf>
    <xf numFmtId="0" fontId="38" fillId="0" borderId="3047" xfId="0" applyNumberFormat="1" applyFont="1" applyBorder="1" applyAlignment="1">
      <alignment horizontal="left"/>
    </xf>
    <xf numFmtId="0" fontId="38" fillId="0" borderId="3048" xfId="0" applyNumberFormat="1" applyFont="1" applyBorder="1" applyAlignment="1">
      <alignment horizontal="left"/>
    </xf>
    <xf numFmtId="0" fontId="38" fillId="0" borderId="3049" xfId="0" applyNumberFormat="1" applyFont="1" applyBorder="1" applyAlignment="1">
      <alignment horizontal="left"/>
    </xf>
    <xf numFmtId="0" fontId="38" fillId="0" borderId="3050" xfId="0" applyNumberFormat="1" applyFont="1" applyBorder="1" applyAlignment="1">
      <alignment horizontal="left"/>
    </xf>
    <xf numFmtId="0" fontId="38" fillId="0" borderId="3051" xfId="0" applyNumberFormat="1" applyFont="1" applyBorder="1" applyAlignment="1">
      <alignment horizontal="left"/>
    </xf>
    <xf numFmtId="0" fontId="38" fillId="0" borderId="3037" xfId="0" applyNumberFormat="1" applyFont="1" applyBorder="1" applyAlignment="1">
      <alignment horizontal="left"/>
    </xf>
    <xf numFmtId="0" fontId="38" fillId="0" borderId="3038" xfId="0" applyNumberFormat="1" applyFont="1" applyBorder="1" applyAlignment="1">
      <alignment horizontal="left"/>
    </xf>
    <xf numFmtId="0" fontId="38" fillId="0" borderId="3039" xfId="0" applyNumberFormat="1" applyFont="1" applyBorder="1" applyAlignment="1">
      <alignment horizontal="left"/>
    </xf>
    <xf numFmtId="0" fontId="38" fillId="0" borderId="3040" xfId="0" applyNumberFormat="1" applyFont="1" applyBorder="1" applyAlignment="1">
      <alignment horizontal="left"/>
    </xf>
    <xf numFmtId="0" fontId="38" fillId="0" borderId="3041" xfId="0" applyNumberFormat="1" applyFont="1" applyBorder="1" applyAlignment="1">
      <alignment horizontal="left"/>
    </xf>
    <xf numFmtId="0" fontId="38" fillId="0" borderId="3042" xfId="0" applyNumberFormat="1" applyFont="1" applyBorder="1" applyAlignment="1">
      <alignment horizontal="left"/>
    </xf>
    <xf numFmtId="0" fontId="38" fillId="0" borderId="3043" xfId="0" applyNumberFormat="1" applyFont="1" applyBorder="1" applyAlignment="1">
      <alignment horizontal="left"/>
    </xf>
    <xf numFmtId="0" fontId="38" fillId="0" borderId="3029" xfId="0" applyNumberFormat="1" applyFont="1" applyBorder="1" applyAlignment="1">
      <alignment horizontal="left"/>
    </xf>
    <xf numFmtId="0" fontId="38" fillId="0" borderId="3030" xfId="0" applyNumberFormat="1" applyFont="1" applyBorder="1" applyAlignment="1">
      <alignment horizontal="left"/>
    </xf>
    <xf numFmtId="0" fontId="38" fillId="0" borderId="3031" xfId="0" applyNumberFormat="1" applyFont="1" applyBorder="1" applyAlignment="1">
      <alignment horizontal="left"/>
    </xf>
    <xf numFmtId="0" fontId="38" fillId="0" borderId="3032" xfId="0" applyNumberFormat="1" applyFont="1" applyBorder="1" applyAlignment="1">
      <alignment horizontal="left"/>
    </xf>
    <xf numFmtId="0" fontId="38" fillId="0" borderId="3033" xfId="0" applyNumberFormat="1" applyFont="1" applyBorder="1" applyAlignment="1">
      <alignment horizontal="left"/>
    </xf>
    <xf numFmtId="0" fontId="38" fillId="0" borderId="3034" xfId="0" applyNumberFormat="1" applyFont="1" applyBorder="1" applyAlignment="1">
      <alignment horizontal="left"/>
    </xf>
    <xf numFmtId="0" fontId="38" fillId="0" borderId="3035" xfId="0" applyNumberFormat="1" applyFont="1" applyBorder="1" applyAlignment="1">
      <alignment horizontal="left"/>
    </xf>
    <xf numFmtId="0" fontId="38" fillId="0" borderId="3021" xfId="0" applyNumberFormat="1" applyFont="1" applyBorder="1" applyAlignment="1">
      <alignment horizontal="left"/>
    </xf>
    <xf numFmtId="0" fontId="38" fillId="0" borderId="3022" xfId="0" applyNumberFormat="1" applyFont="1" applyBorder="1" applyAlignment="1">
      <alignment horizontal="left"/>
    </xf>
    <xf numFmtId="0" fontId="38" fillId="0" borderId="3023" xfId="0" applyNumberFormat="1" applyFont="1" applyBorder="1" applyAlignment="1">
      <alignment horizontal="left"/>
    </xf>
    <xf numFmtId="0" fontId="38" fillId="0" borderId="3024" xfId="0" applyNumberFormat="1" applyFont="1" applyBorder="1" applyAlignment="1">
      <alignment horizontal="left"/>
    </xf>
    <xf numFmtId="0" fontId="38" fillId="0" borderId="3025" xfId="0" applyNumberFormat="1" applyFont="1" applyBorder="1" applyAlignment="1">
      <alignment horizontal="left"/>
    </xf>
    <xf numFmtId="0" fontId="38" fillId="0" borderId="3026" xfId="0" applyNumberFormat="1" applyFont="1" applyBorder="1" applyAlignment="1">
      <alignment horizontal="left"/>
    </xf>
    <xf numFmtId="0" fontId="38" fillId="0" borderId="3027" xfId="0" applyNumberFormat="1" applyFont="1" applyBorder="1" applyAlignment="1">
      <alignment horizontal="left"/>
    </xf>
    <xf numFmtId="0" fontId="38" fillId="0" borderId="3013" xfId="0" applyNumberFormat="1" applyFont="1" applyBorder="1" applyAlignment="1">
      <alignment horizontal="left"/>
    </xf>
    <xf numFmtId="0" fontId="38" fillId="0" borderId="3014" xfId="0" applyNumberFormat="1" applyFont="1" applyBorder="1" applyAlignment="1">
      <alignment horizontal="left"/>
    </xf>
    <xf numFmtId="0" fontId="38" fillId="0" borderId="3015" xfId="0" applyNumberFormat="1" applyFont="1" applyBorder="1" applyAlignment="1">
      <alignment horizontal="left"/>
    </xf>
    <xf numFmtId="0" fontId="38" fillId="0" borderId="3016" xfId="0" applyNumberFormat="1" applyFont="1" applyBorder="1" applyAlignment="1">
      <alignment horizontal="left"/>
    </xf>
    <xf numFmtId="0" fontId="38" fillId="0" borderId="3017" xfId="0" applyNumberFormat="1" applyFont="1" applyBorder="1" applyAlignment="1">
      <alignment horizontal="left"/>
    </xf>
    <xf numFmtId="0" fontId="38" fillId="0" borderId="3018" xfId="0" applyNumberFormat="1" applyFont="1" applyBorder="1" applyAlignment="1">
      <alignment horizontal="left"/>
    </xf>
    <xf numFmtId="0" fontId="38" fillId="0" borderId="3019" xfId="0" applyNumberFormat="1" applyFont="1" applyBorder="1" applyAlignment="1">
      <alignment horizontal="left"/>
    </xf>
    <xf numFmtId="0" fontId="38" fillId="0" borderId="3005" xfId="0" applyNumberFormat="1" applyFont="1" applyBorder="1" applyAlignment="1">
      <alignment horizontal="left"/>
    </xf>
    <xf numFmtId="0" fontId="38" fillId="0" borderId="3006" xfId="0" applyNumberFormat="1" applyFont="1" applyBorder="1" applyAlignment="1">
      <alignment horizontal="left"/>
    </xf>
    <xf numFmtId="0" fontId="38" fillId="0" borderId="3007" xfId="0" applyNumberFormat="1" applyFont="1" applyBorder="1" applyAlignment="1">
      <alignment horizontal="left"/>
    </xf>
    <xf numFmtId="0" fontId="38" fillId="0" borderId="3008" xfId="0" applyNumberFormat="1" applyFont="1" applyBorder="1" applyAlignment="1">
      <alignment horizontal="left"/>
    </xf>
    <xf numFmtId="0" fontId="38" fillId="0" borderId="3009" xfId="0" applyNumberFormat="1" applyFont="1" applyBorder="1" applyAlignment="1">
      <alignment horizontal="left"/>
    </xf>
    <xf numFmtId="0" fontId="38" fillId="0" borderId="3010" xfId="0" applyNumberFormat="1" applyFont="1" applyBorder="1" applyAlignment="1">
      <alignment horizontal="left"/>
    </xf>
    <xf numFmtId="0" fontId="38" fillId="0" borderId="3011" xfId="0" applyNumberFormat="1" applyFont="1" applyBorder="1" applyAlignment="1">
      <alignment horizontal="left"/>
    </xf>
    <xf numFmtId="0" fontId="38" fillId="0" borderId="2997" xfId="0" applyNumberFormat="1" applyFont="1" applyBorder="1" applyAlignment="1">
      <alignment horizontal="left"/>
    </xf>
    <xf numFmtId="0" fontId="38" fillId="0" borderId="2998" xfId="0" applyNumberFormat="1" applyFont="1" applyBorder="1" applyAlignment="1">
      <alignment horizontal="left"/>
    </xf>
    <xf numFmtId="0" fontId="38" fillId="0" borderId="2999" xfId="0" applyNumberFormat="1" applyFont="1" applyBorder="1" applyAlignment="1">
      <alignment horizontal="left"/>
    </xf>
    <xf numFmtId="0" fontId="38" fillId="0" borderId="3000" xfId="0" applyNumberFormat="1" applyFont="1" applyBorder="1" applyAlignment="1">
      <alignment horizontal="left"/>
    </xf>
    <xf numFmtId="0" fontId="38" fillId="0" borderId="3001" xfId="0" applyNumberFormat="1" applyFont="1" applyBorder="1" applyAlignment="1">
      <alignment horizontal="left"/>
    </xf>
    <xf numFmtId="0" fontId="38" fillId="0" borderId="3002" xfId="0" applyNumberFormat="1" applyFont="1" applyBorder="1" applyAlignment="1">
      <alignment horizontal="left"/>
    </xf>
    <xf numFmtId="0" fontId="38" fillId="0" borderId="3003" xfId="0" applyNumberFormat="1" applyFont="1" applyBorder="1" applyAlignment="1">
      <alignment horizontal="left"/>
    </xf>
    <xf numFmtId="0" fontId="41" fillId="0" borderId="3004" xfId="0" applyNumberFormat="1" applyFont="1" applyBorder="1" applyAlignment="1">
      <alignment horizontal="center"/>
    </xf>
    <xf numFmtId="0" fontId="38" fillId="0" borderId="2989" xfId="0" applyNumberFormat="1" applyFont="1" applyBorder="1" applyAlignment="1">
      <alignment horizontal="left"/>
    </xf>
    <xf numFmtId="0" fontId="38" fillId="0" borderId="2990" xfId="0" applyNumberFormat="1" applyFont="1" applyBorder="1" applyAlignment="1">
      <alignment horizontal="left"/>
    </xf>
    <xf numFmtId="0" fontId="38" fillId="0" borderId="2991" xfId="0" applyNumberFormat="1" applyFont="1" applyBorder="1" applyAlignment="1">
      <alignment horizontal="left"/>
    </xf>
    <xf numFmtId="0" fontId="38" fillId="0" borderId="2992" xfId="0" applyNumberFormat="1" applyFont="1" applyBorder="1" applyAlignment="1">
      <alignment horizontal="left"/>
    </xf>
    <xf numFmtId="0" fontId="38" fillId="0" borderId="2993" xfId="0" applyNumberFormat="1" applyFont="1" applyBorder="1" applyAlignment="1">
      <alignment horizontal="left"/>
    </xf>
    <xf numFmtId="0" fontId="38" fillId="0" borderId="2994" xfId="0" applyNumberFormat="1" applyFont="1" applyBorder="1" applyAlignment="1">
      <alignment horizontal="left"/>
    </xf>
    <xf numFmtId="0" fontId="38" fillId="0" borderId="2995" xfId="0" applyNumberFormat="1" applyFont="1" applyBorder="1" applyAlignment="1">
      <alignment horizontal="left"/>
    </xf>
    <xf numFmtId="0" fontId="41" fillId="0" borderId="2996" xfId="0" applyNumberFormat="1" applyFont="1" applyBorder="1" applyAlignment="1">
      <alignment horizontal="center"/>
    </xf>
    <xf numFmtId="0" fontId="38" fillId="0" borderId="2981" xfId="0" applyNumberFormat="1" applyFont="1" applyBorder="1" applyAlignment="1">
      <alignment horizontal="left"/>
    </xf>
    <xf numFmtId="0" fontId="38" fillId="0" borderId="2982" xfId="0" applyNumberFormat="1" applyFont="1" applyBorder="1" applyAlignment="1">
      <alignment horizontal="left"/>
    </xf>
    <xf numFmtId="0" fontId="38" fillId="0" borderId="2983" xfId="0" applyNumberFormat="1" applyFont="1" applyBorder="1" applyAlignment="1">
      <alignment horizontal="left"/>
    </xf>
    <xf numFmtId="0" fontId="38" fillId="0" borderId="2984" xfId="0" applyNumberFormat="1" applyFont="1" applyBorder="1" applyAlignment="1">
      <alignment horizontal="left"/>
    </xf>
    <xf numFmtId="0" fontId="38" fillId="0" borderId="2985" xfId="0" applyNumberFormat="1" applyFont="1" applyBorder="1" applyAlignment="1">
      <alignment horizontal="left"/>
    </xf>
    <xf numFmtId="0" fontId="38" fillId="0" borderId="2986" xfId="0" applyNumberFormat="1" applyFont="1" applyBorder="1" applyAlignment="1">
      <alignment horizontal="left"/>
    </xf>
    <xf numFmtId="0" fontId="38" fillId="0" borderId="2987" xfId="0" applyNumberFormat="1" applyFont="1" applyBorder="1" applyAlignment="1">
      <alignment horizontal="left"/>
    </xf>
    <xf numFmtId="0" fontId="41" fillId="0" borderId="2988" xfId="0" applyNumberFormat="1" applyFont="1" applyBorder="1" applyAlignment="1">
      <alignment horizontal="center"/>
    </xf>
    <xf numFmtId="0" fontId="38" fillId="0" borderId="2973" xfId="0" applyNumberFormat="1" applyFont="1" applyBorder="1" applyAlignment="1">
      <alignment horizontal="left"/>
    </xf>
    <xf numFmtId="0" fontId="38" fillId="0" borderId="2974" xfId="0" applyNumberFormat="1" applyFont="1" applyBorder="1" applyAlignment="1">
      <alignment horizontal="left"/>
    </xf>
    <xf numFmtId="0" fontId="38" fillId="0" borderId="2975" xfId="0" applyNumberFormat="1" applyFont="1" applyBorder="1" applyAlignment="1">
      <alignment horizontal="left"/>
    </xf>
    <xf numFmtId="0" fontId="38" fillId="0" borderId="2976" xfId="0" applyNumberFormat="1" applyFont="1" applyBorder="1" applyAlignment="1">
      <alignment horizontal="left"/>
    </xf>
    <xf numFmtId="0" fontId="38" fillId="0" borderId="2977" xfId="0" applyNumberFormat="1" applyFont="1" applyBorder="1" applyAlignment="1">
      <alignment horizontal="left"/>
    </xf>
    <xf numFmtId="0" fontId="38" fillId="0" borderId="2978" xfId="0" applyNumberFormat="1" applyFont="1" applyBorder="1" applyAlignment="1">
      <alignment horizontal="left"/>
    </xf>
    <xf numFmtId="0" fontId="38" fillId="0" borderId="2979" xfId="0" applyNumberFormat="1" applyFont="1" applyBorder="1" applyAlignment="1">
      <alignment horizontal="left"/>
    </xf>
    <xf numFmtId="0" fontId="41" fillId="0" borderId="2980" xfId="0" applyNumberFormat="1" applyFont="1" applyBorder="1" applyAlignment="1">
      <alignment horizontal="center"/>
    </xf>
    <xf numFmtId="0" fontId="41" fillId="0" borderId="2972" xfId="0" applyNumberFormat="1" applyFont="1" applyBorder="1" applyAlignment="1">
      <alignment horizontal="center"/>
    </xf>
    <xf numFmtId="0" fontId="38" fillId="0" borderId="2965" xfId="0" applyNumberFormat="1" applyFont="1" applyBorder="1" applyAlignment="1">
      <alignment horizontal="left"/>
    </xf>
    <xf numFmtId="0" fontId="38" fillId="0" borderId="2966" xfId="0" applyNumberFormat="1" applyFont="1" applyBorder="1" applyAlignment="1">
      <alignment horizontal="left"/>
    </xf>
    <xf numFmtId="0" fontId="38" fillId="0" borderId="2967" xfId="0" applyNumberFormat="1" applyFont="1" applyBorder="1" applyAlignment="1">
      <alignment horizontal="left"/>
    </xf>
    <xf numFmtId="0" fontId="38" fillId="0" borderId="2968" xfId="0" applyNumberFormat="1" applyFont="1" applyBorder="1" applyAlignment="1">
      <alignment horizontal="left"/>
    </xf>
    <xf numFmtId="0" fontId="38" fillId="0" borderId="2969" xfId="0" applyNumberFormat="1" applyFont="1" applyBorder="1" applyAlignment="1">
      <alignment horizontal="left"/>
    </xf>
    <xf numFmtId="0" fontId="38" fillId="0" borderId="2970" xfId="0" applyNumberFormat="1" applyFont="1" applyBorder="1" applyAlignment="1">
      <alignment horizontal="left"/>
    </xf>
    <xf numFmtId="0" fontId="38" fillId="0" borderId="2971" xfId="0" applyNumberFormat="1" applyFont="1" applyBorder="1" applyAlignment="1">
      <alignment horizontal="left"/>
    </xf>
    <xf numFmtId="0" fontId="41" fillId="0" borderId="2964" xfId="0" applyNumberFormat="1" applyFont="1" applyBorder="1" applyAlignment="1">
      <alignment horizontal="center"/>
    </xf>
    <xf numFmtId="0" fontId="38" fillId="0" borderId="2957" xfId="0" applyNumberFormat="1" applyFont="1" applyBorder="1" applyAlignment="1">
      <alignment horizontal="left"/>
    </xf>
    <xf numFmtId="0" fontId="38" fillId="0" borderId="2958" xfId="0" applyNumberFormat="1" applyFont="1" applyBorder="1" applyAlignment="1">
      <alignment horizontal="left"/>
    </xf>
    <xf numFmtId="0" fontId="38" fillId="0" borderId="2959" xfId="0" applyNumberFormat="1" applyFont="1" applyBorder="1" applyAlignment="1">
      <alignment horizontal="left"/>
    </xf>
    <xf numFmtId="0" fontId="38" fillId="0" borderId="2960" xfId="0" applyNumberFormat="1" applyFont="1" applyBorder="1" applyAlignment="1">
      <alignment horizontal="left"/>
    </xf>
    <xf numFmtId="0" fontId="38" fillId="0" borderId="2961" xfId="0" applyNumberFormat="1" applyFont="1" applyBorder="1" applyAlignment="1">
      <alignment horizontal="left"/>
    </xf>
    <xf numFmtId="0" fontId="38" fillId="0" borderId="2962" xfId="0" applyNumberFormat="1" applyFont="1" applyBorder="1" applyAlignment="1">
      <alignment horizontal="left"/>
    </xf>
    <xf numFmtId="0" fontId="38" fillId="0" borderId="2963" xfId="0" applyNumberFormat="1" applyFont="1" applyBorder="1" applyAlignment="1">
      <alignment horizontal="left"/>
    </xf>
    <xf numFmtId="0" fontId="38" fillId="0" borderId="2935" xfId="0" applyNumberFormat="1" applyFont="1" applyBorder="1" applyAlignment="1">
      <alignment horizontal="center" vertical="center"/>
    </xf>
    <xf numFmtId="0" fontId="38" fillId="0" borderId="2936" xfId="0" applyNumberFormat="1" applyFont="1" applyBorder="1" applyAlignment="1">
      <alignment horizontal="center" vertical="center"/>
    </xf>
    <xf numFmtId="0" fontId="38" fillId="0" borderId="2937" xfId="0" applyNumberFormat="1" applyFont="1" applyBorder="1" applyAlignment="1">
      <alignment horizontal="center" vertical="center"/>
    </xf>
    <xf numFmtId="0" fontId="38" fillId="0" borderId="2938" xfId="0" applyNumberFormat="1" applyFont="1" applyBorder="1" applyAlignment="1">
      <alignment horizontal="center" vertical="center"/>
    </xf>
    <xf numFmtId="0" fontId="38" fillId="0" borderId="2939" xfId="0" applyNumberFormat="1" applyFont="1" applyBorder="1" applyAlignment="1">
      <alignment horizontal="center" vertical="center"/>
    </xf>
    <xf numFmtId="0" fontId="38" fillId="0" borderId="2940" xfId="0" applyNumberFormat="1" applyFont="1" applyBorder="1" applyAlignment="1">
      <alignment horizontal="center" vertical="center"/>
    </xf>
    <xf numFmtId="0" fontId="38" fillId="0" borderId="2941" xfId="0" applyNumberFormat="1" applyFont="1" applyBorder="1" applyAlignment="1">
      <alignment horizontal="center" vertical="center"/>
    </xf>
    <xf numFmtId="0" fontId="38" fillId="0" borderId="2946" xfId="0" applyNumberFormat="1" applyFont="1" applyBorder="1" applyAlignment="1">
      <alignment horizontal="center" vertical="center"/>
    </xf>
    <xf numFmtId="0" fontId="38" fillId="0" borderId="2947" xfId="0" applyNumberFormat="1" applyFont="1" applyBorder="1" applyAlignment="1">
      <alignment horizontal="center" vertical="center"/>
    </xf>
    <xf numFmtId="0" fontId="38" fillId="0" borderId="2948" xfId="0" applyNumberFormat="1" applyFont="1" applyBorder="1" applyAlignment="1">
      <alignment horizontal="center" vertical="center"/>
    </xf>
    <xf numFmtId="0" fontId="38" fillId="0" borderId="2949" xfId="0" applyNumberFormat="1" applyFont="1" applyBorder="1" applyAlignment="1">
      <alignment horizontal="center" vertical="center"/>
    </xf>
    <xf numFmtId="0" fontId="38" fillId="0" borderId="2950" xfId="0" applyNumberFormat="1" applyFont="1" applyBorder="1" applyAlignment="1">
      <alignment horizontal="center" vertical="center"/>
    </xf>
    <xf numFmtId="0" fontId="38" fillId="0" borderId="2951" xfId="0" applyNumberFormat="1" applyFont="1" applyBorder="1" applyAlignment="1">
      <alignment horizontal="center" vertical="center"/>
    </xf>
    <xf numFmtId="0" fontId="38" fillId="0" borderId="2952" xfId="0" applyNumberFormat="1" applyFont="1" applyBorder="1" applyAlignment="1">
      <alignment horizontal="center" vertical="center"/>
    </xf>
    <xf numFmtId="0" fontId="38" fillId="0" borderId="2953" xfId="0" applyNumberFormat="1" applyFont="1" applyBorder="1" applyAlignment="1">
      <alignment horizontal="center" vertical="center"/>
    </xf>
    <xf numFmtId="0" fontId="41" fillId="0" borderId="3012" xfId="0" applyNumberFormat="1" applyFont="1" applyBorder="1" applyAlignment="1">
      <alignment horizontal="center"/>
    </xf>
    <xf numFmtId="0" fontId="41" fillId="0" borderId="3036" xfId="0" applyNumberFormat="1" applyFont="1" applyBorder="1" applyAlignment="1">
      <alignment horizontal="center"/>
    </xf>
    <xf numFmtId="0" fontId="41" fillId="0" borderId="3044" xfId="0" applyNumberFormat="1" applyFont="1" applyBorder="1" applyAlignment="1">
      <alignment horizontal="center"/>
    </xf>
    <xf numFmtId="0" fontId="41" fillId="0" borderId="3052" xfId="0" applyNumberFormat="1" applyFont="1" applyBorder="1" applyAlignment="1">
      <alignment horizontal="center"/>
    </xf>
    <xf numFmtId="0" fontId="41" fillId="0" borderId="3020" xfId="0" applyNumberFormat="1" applyFont="1" applyBorder="1" applyAlignment="1">
      <alignment horizontal="center"/>
    </xf>
    <xf numFmtId="0" fontId="41" fillId="0" borderId="3028" xfId="0" applyNumberFormat="1" applyFont="1" applyBorder="1" applyAlignment="1">
      <alignment horizontal="center"/>
    </xf>
    <xf numFmtId="0" fontId="39" fillId="0" borderId="0" xfId="0" applyNumberFormat="1" applyFont="1" applyAlignment="1">
      <alignment horizontal="left" vertical="center"/>
    </xf>
    <xf numFmtId="0" fontId="47" fillId="0" borderId="0" xfId="0" applyNumberFormat="1" applyFont="1" applyAlignment="1">
      <alignment horizontal="center" vertical="center" wrapText="1"/>
    </xf>
    <xf numFmtId="0" fontId="27" fillId="0" borderId="4074" xfId="0" applyNumberFormat="1" applyFont="1" applyBorder="1" applyAlignment="1">
      <alignment horizontal="center" vertical="top"/>
    </xf>
    <xf numFmtId="0" fontId="27" fillId="0" borderId="4075" xfId="0" applyNumberFormat="1" applyFont="1" applyBorder="1" applyAlignment="1">
      <alignment horizontal="center" vertical="top"/>
    </xf>
    <xf numFmtId="0" fontId="27" fillId="0" borderId="4076" xfId="0" applyNumberFormat="1" applyFont="1" applyBorder="1" applyAlignment="1">
      <alignment horizontal="center" vertical="top"/>
    </xf>
    <xf numFmtId="0" fontId="27" fillId="0" borderId="4077" xfId="0" applyNumberFormat="1" applyFont="1" applyBorder="1" applyAlignment="1">
      <alignment horizontal="center" vertical="top"/>
    </xf>
    <xf numFmtId="0" fontId="27" fillId="0" borderId="4078" xfId="0" applyNumberFormat="1" applyFont="1" applyBorder="1" applyAlignment="1">
      <alignment horizontal="center" vertical="top"/>
    </xf>
    <xf numFmtId="0" fontId="27" fillId="0" borderId="4079" xfId="0" applyNumberFormat="1" applyFont="1" applyBorder="1" applyAlignment="1">
      <alignment horizontal="center" vertical="top"/>
    </xf>
    <xf numFmtId="0" fontId="27" fillId="0" borderId="4080" xfId="0" applyNumberFormat="1" applyFont="1" applyBorder="1" applyAlignment="1">
      <alignment horizontal="center" vertical="top"/>
    </xf>
    <xf numFmtId="0" fontId="27" fillId="0" borderId="4081" xfId="0" applyNumberFormat="1" applyFont="1" applyBorder="1" applyAlignment="1">
      <alignment horizontal="center" vertical="top"/>
    </xf>
    <xf numFmtId="0" fontId="27" fillId="0" borderId="4094" xfId="0" applyNumberFormat="1" applyFont="1" applyBorder="1" applyAlignment="1">
      <alignment horizontal="center" vertical="top"/>
    </xf>
    <xf numFmtId="0" fontId="27" fillId="0" borderId="4095" xfId="0" applyNumberFormat="1" applyFont="1" applyBorder="1" applyAlignment="1">
      <alignment horizontal="center" vertical="top"/>
    </xf>
    <xf numFmtId="0" fontId="27" fillId="0" borderId="4096" xfId="0" applyNumberFormat="1" applyFont="1" applyBorder="1" applyAlignment="1">
      <alignment horizontal="center" vertical="top"/>
    </xf>
    <xf numFmtId="0" fontId="27" fillId="0" borderId="4097" xfId="0" applyNumberFormat="1" applyFont="1" applyBorder="1" applyAlignment="1">
      <alignment horizontal="center" vertical="top"/>
    </xf>
    <xf numFmtId="0" fontId="38" fillId="0" borderId="70" xfId="0" applyNumberFormat="1" applyFont="1" applyBorder="1" applyAlignment="1">
      <alignment horizontal="center"/>
    </xf>
    <xf numFmtId="0" fontId="38" fillId="0" borderId="4086" xfId="0" applyNumberFormat="1" applyFont="1" applyBorder="1" applyAlignment="1">
      <alignment horizontal="center"/>
    </xf>
    <xf numFmtId="0" fontId="38" fillId="0" borderId="4087" xfId="0" applyNumberFormat="1" applyFont="1" applyBorder="1" applyAlignment="1">
      <alignment horizontal="center"/>
    </xf>
    <xf numFmtId="0" fontId="38" fillId="0" borderId="4088" xfId="0" applyNumberFormat="1" applyFont="1" applyBorder="1" applyAlignment="1">
      <alignment horizontal="center"/>
    </xf>
    <xf numFmtId="0" fontId="38" fillId="0" borderId="4089" xfId="0" applyNumberFormat="1" applyFont="1" applyBorder="1" applyAlignment="1">
      <alignment horizontal="center"/>
    </xf>
    <xf numFmtId="0" fontId="38" fillId="0" borderId="18" xfId="0" applyNumberFormat="1" applyFont="1" applyBorder="1" applyAlignment="1">
      <alignment vertical="top"/>
    </xf>
    <xf numFmtId="0" fontId="38" fillId="0" borderId="4061" xfId="0" applyNumberFormat="1" applyFont="1" applyBorder="1" applyAlignment="1">
      <alignment vertical="top"/>
    </xf>
    <xf numFmtId="0" fontId="38" fillId="0" borderId="4062" xfId="0" applyNumberFormat="1" applyFont="1" applyBorder="1" applyAlignment="1">
      <alignment vertical="top"/>
    </xf>
    <xf numFmtId="0" fontId="38" fillId="0" borderId="4063" xfId="0" applyNumberFormat="1" applyFont="1" applyBorder="1" applyAlignment="1">
      <alignment vertical="top"/>
    </xf>
    <xf numFmtId="0" fontId="38" fillId="0" borderId="4064" xfId="0" applyNumberFormat="1" applyFont="1" applyBorder="1" applyAlignment="1">
      <alignment vertical="top"/>
    </xf>
    <xf numFmtId="0" fontId="38" fillId="0" borderId="4065" xfId="0" applyNumberFormat="1" applyFont="1" applyBorder="1" applyAlignment="1">
      <alignment vertical="top"/>
    </xf>
    <xf numFmtId="0" fontId="38" fillId="0" borderId="4051" xfId="0" applyNumberFormat="1" applyFont="1" applyBorder="1" applyAlignment="1">
      <alignment vertical="top"/>
    </xf>
    <xf numFmtId="0" fontId="38" fillId="0" borderId="4052" xfId="0" applyNumberFormat="1" applyFont="1" applyBorder="1" applyAlignment="1">
      <alignment vertical="top"/>
    </xf>
    <xf numFmtId="0" fontId="38" fillId="0" borderId="4053" xfId="0" applyNumberFormat="1" applyFont="1" applyBorder="1" applyAlignment="1">
      <alignment vertical="top"/>
    </xf>
    <xf numFmtId="0" fontId="38" fillId="0" borderId="4054" xfId="0" applyNumberFormat="1" applyFont="1" applyBorder="1" applyAlignment="1">
      <alignment vertical="top"/>
    </xf>
    <xf numFmtId="0" fontId="38" fillId="0" borderId="4055" xfId="0" applyNumberFormat="1" applyFont="1" applyBorder="1" applyAlignment="1">
      <alignment vertical="top"/>
    </xf>
    <xf numFmtId="0" fontId="38" fillId="0" borderId="18" xfId="0" applyNumberFormat="1" applyFont="1" applyBorder="1" applyAlignment="1">
      <alignment horizontal="center" vertical="top"/>
    </xf>
    <xf numFmtId="0" fontId="38" fillId="0" borderId="4041" xfId="0" applyNumberFormat="1" applyFont="1" applyBorder="1" applyAlignment="1">
      <alignment horizontal="center" vertical="top"/>
    </xf>
    <xf numFmtId="0" fontId="38" fillId="0" borderId="4042" xfId="0" applyNumberFormat="1" applyFont="1" applyBorder="1" applyAlignment="1">
      <alignment horizontal="center" vertical="top"/>
    </xf>
    <xf numFmtId="0" fontId="38" fillId="0" borderId="4043" xfId="0" applyNumberFormat="1" applyFont="1" applyBorder="1" applyAlignment="1">
      <alignment horizontal="center" vertical="top"/>
    </xf>
    <xf numFmtId="0" fontId="38" fillId="0" borderId="4044" xfId="0" applyNumberFormat="1" applyFont="1" applyBorder="1" applyAlignment="1">
      <alignment horizontal="center" vertical="top"/>
    </xf>
    <xf numFmtId="0" fontId="38" fillId="0" borderId="4045" xfId="0" applyNumberFormat="1" applyFont="1" applyBorder="1" applyAlignment="1">
      <alignment horizontal="center" vertical="top"/>
    </xf>
    <xf numFmtId="0" fontId="38" fillId="0" borderId="18" xfId="0" applyNumberFormat="1" applyFont="1" applyBorder="1"/>
    <xf numFmtId="0" fontId="38" fillId="0" borderId="4031" xfId="0" applyNumberFormat="1" applyFont="1" applyBorder="1"/>
    <xf numFmtId="0" fontId="38" fillId="0" borderId="4032" xfId="0" applyNumberFormat="1" applyFont="1" applyBorder="1"/>
    <xf numFmtId="0" fontId="38" fillId="0" borderId="4033" xfId="0" applyNumberFormat="1" applyFont="1" applyBorder="1"/>
    <xf numFmtId="0" fontId="38" fillId="0" borderId="4034" xfId="0" applyNumberFormat="1" applyFont="1" applyBorder="1"/>
    <xf numFmtId="0" fontId="38" fillId="0" borderId="4035" xfId="0" applyNumberFormat="1" applyFont="1" applyBorder="1"/>
    <xf numFmtId="0" fontId="38" fillId="0" borderId="4021" xfId="0" applyNumberFormat="1" applyFont="1" applyBorder="1" applyAlignment="1">
      <alignment horizontal="center"/>
    </xf>
    <xf numFmtId="0" fontId="38" fillId="0" borderId="4022" xfId="0" applyNumberFormat="1" applyFont="1" applyBorder="1" applyAlignment="1">
      <alignment horizontal="center"/>
    </xf>
    <xf numFmtId="0" fontId="38" fillId="0" borderId="4023" xfId="0" applyNumberFormat="1" applyFont="1" applyBorder="1" applyAlignment="1">
      <alignment horizontal="center"/>
    </xf>
    <xf numFmtId="0" fontId="38" fillId="0" borderId="4024" xfId="0" applyNumberFormat="1" applyFont="1" applyBorder="1" applyAlignment="1">
      <alignment horizontal="center"/>
    </xf>
    <xf numFmtId="0" fontId="38" fillId="0" borderId="4025" xfId="0" applyNumberFormat="1" applyFont="1" applyBorder="1" applyAlignment="1">
      <alignment horizontal="center"/>
    </xf>
    <xf numFmtId="0" fontId="29" fillId="0" borderId="18" xfId="0" applyNumberFormat="1" applyFont="1" applyBorder="1" applyAlignment="1">
      <alignment horizontal="center" vertical="top"/>
    </xf>
    <xf numFmtId="0" fontId="29" fillId="0" borderId="4014" xfId="0" applyNumberFormat="1" applyFont="1" applyBorder="1" applyAlignment="1">
      <alignment horizontal="center" vertical="top"/>
    </xf>
    <xf numFmtId="0" fontId="29" fillId="0" borderId="4015" xfId="0" applyNumberFormat="1" applyFont="1" applyBorder="1" applyAlignment="1">
      <alignment horizontal="center" vertical="top"/>
    </xf>
    <xf numFmtId="0" fontId="29" fillId="0" borderId="4010" xfId="0" applyNumberFormat="1" applyFont="1" applyBorder="1" applyAlignment="1">
      <alignment horizontal="center" vertical="top"/>
    </xf>
    <xf numFmtId="0" fontId="29" fillId="0" borderId="4011" xfId="0" applyNumberFormat="1" applyFont="1" applyBorder="1" applyAlignment="1">
      <alignment horizontal="center" vertical="top"/>
    </xf>
    <xf numFmtId="0" fontId="29" fillId="0" borderId="18" xfId="0" applyNumberFormat="1" applyFont="1" applyBorder="1" applyAlignment="1">
      <alignment horizontal="center"/>
    </xf>
    <xf numFmtId="0" fontId="29" fillId="0" borderId="4006" xfId="0" applyNumberFormat="1" applyFont="1" applyBorder="1" applyAlignment="1">
      <alignment horizontal="center"/>
    </xf>
    <xf numFmtId="0" fontId="29" fillId="0" borderId="4007" xfId="0" applyNumberFormat="1" applyFont="1" applyBorder="1" applyAlignment="1">
      <alignment horizontal="center"/>
    </xf>
    <xf numFmtId="0" fontId="29" fillId="0" borderId="4002" xfId="0" applyNumberFormat="1" applyFont="1" applyBorder="1" applyAlignment="1">
      <alignment horizontal="center"/>
    </xf>
    <xf numFmtId="0" fontId="29" fillId="0" borderId="4003" xfId="0" applyNumberFormat="1" applyFont="1" applyBorder="1" applyAlignment="1">
      <alignment horizontal="center"/>
    </xf>
    <xf numFmtId="0" fontId="29" fillId="0" borderId="3899" xfId="0" applyNumberFormat="1" applyFont="1" applyBorder="1" applyAlignment="1">
      <alignment horizontal="center"/>
    </xf>
    <xf numFmtId="0" fontId="29" fillId="0" borderId="3900" xfId="0" applyNumberFormat="1" applyFont="1" applyBorder="1" applyAlignment="1">
      <alignment horizontal="center"/>
    </xf>
    <xf numFmtId="0" fontId="29" fillId="0" borderId="3903" xfId="0" applyNumberFormat="1" applyFont="1" applyBorder="1" applyAlignment="1">
      <alignment horizontal="center"/>
    </xf>
    <xf numFmtId="0" fontId="29" fillId="0" borderId="3904" xfId="0" applyNumberFormat="1" applyFont="1" applyBorder="1" applyAlignment="1">
      <alignment horizontal="center"/>
    </xf>
    <xf numFmtId="0" fontId="29" fillId="0" borderId="3907" xfId="0" applyNumberFormat="1" applyFont="1" applyBorder="1" applyAlignment="1">
      <alignment horizontal="center" vertical="top"/>
    </xf>
    <xf numFmtId="0" fontId="29" fillId="0" borderId="3908" xfId="0" applyNumberFormat="1" applyFont="1" applyBorder="1" applyAlignment="1">
      <alignment horizontal="center" vertical="top"/>
    </xf>
    <xf numFmtId="0" fontId="38" fillId="0" borderId="3911" xfId="0" applyNumberFormat="1" applyFont="1" applyBorder="1" applyAlignment="1">
      <alignment horizontal="center" vertical="top"/>
    </xf>
    <xf numFmtId="0" fontId="38" fillId="0" borderId="3912" xfId="0" applyNumberFormat="1" applyFont="1" applyBorder="1" applyAlignment="1">
      <alignment horizontal="center" vertical="top"/>
    </xf>
    <xf numFmtId="0" fontId="38" fillId="0" borderId="3915" xfId="0" applyNumberFormat="1" applyFont="1" applyBorder="1" applyAlignment="1">
      <alignment horizontal="center"/>
    </xf>
    <xf numFmtId="0" fontId="38" fillId="0" borderId="3916" xfId="0" applyNumberFormat="1" applyFont="1" applyBorder="1" applyAlignment="1">
      <alignment horizontal="center"/>
    </xf>
    <xf numFmtId="0" fontId="38" fillId="0" borderId="3917" xfId="0" applyNumberFormat="1" applyFont="1" applyBorder="1" applyAlignment="1">
      <alignment horizontal="center"/>
    </xf>
    <xf numFmtId="0" fontId="38" fillId="0" borderId="3918" xfId="0" applyNumberFormat="1" applyFont="1" applyBorder="1" applyAlignment="1">
      <alignment horizontal="center"/>
    </xf>
    <xf numFmtId="0" fontId="38" fillId="0" borderId="3919" xfId="0" applyNumberFormat="1" applyFont="1" applyBorder="1" applyAlignment="1">
      <alignment horizontal="center"/>
    </xf>
    <xf numFmtId="0" fontId="38" fillId="0" borderId="3925" xfId="0" applyNumberFormat="1" applyFont="1" applyBorder="1"/>
    <xf numFmtId="0" fontId="38" fillId="0" borderId="3926" xfId="0" applyNumberFormat="1" applyFont="1" applyBorder="1"/>
    <xf numFmtId="0" fontId="38" fillId="0" borderId="3927" xfId="0" applyNumberFormat="1" applyFont="1" applyBorder="1"/>
    <xf numFmtId="0" fontId="38" fillId="0" borderId="3928" xfId="0" applyNumberFormat="1" applyFont="1" applyBorder="1"/>
    <xf numFmtId="0" fontId="38" fillId="0" borderId="3929" xfId="0" applyNumberFormat="1" applyFont="1" applyBorder="1"/>
    <xf numFmtId="0" fontId="38" fillId="0" borderId="3935" xfId="0" applyNumberFormat="1" applyFont="1" applyBorder="1" applyAlignment="1">
      <alignment horizontal="center" vertical="top"/>
    </xf>
    <xf numFmtId="0" fontId="38" fillId="0" borderId="3936" xfId="0" applyNumberFormat="1" applyFont="1" applyBorder="1" applyAlignment="1">
      <alignment horizontal="center" vertical="top"/>
    </xf>
    <xf numFmtId="0" fontId="38" fillId="0" borderId="3937" xfId="0" applyNumberFormat="1" applyFont="1" applyBorder="1" applyAlignment="1">
      <alignment horizontal="center" vertical="top"/>
    </xf>
    <xf numFmtId="0" fontId="38" fillId="0" borderId="3938" xfId="0" applyNumberFormat="1" applyFont="1" applyBorder="1" applyAlignment="1">
      <alignment horizontal="center" vertical="top"/>
    </xf>
    <xf numFmtId="0" fontId="38" fillId="0" borderId="3939" xfId="0" applyNumberFormat="1" applyFont="1" applyBorder="1" applyAlignment="1">
      <alignment horizontal="center" vertical="top"/>
    </xf>
    <xf numFmtId="0" fontId="38" fillId="0" borderId="3945" xfId="0" applyNumberFormat="1" applyFont="1" applyBorder="1" applyAlignment="1">
      <alignment vertical="top"/>
    </xf>
    <xf numFmtId="0" fontId="38" fillId="0" borderId="3946" xfId="0" applyNumberFormat="1" applyFont="1" applyBorder="1" applyAlignment="1">
      <alignment vertical="top"/>
    </xf>
    <xf numFmtId="0" fontId="38" fillId="0" borderId="3947" xfId="0" applyNumberFormat="1" applyFont="1" applyBorder="1" applyAlignment="1">
      <alignment vertical="top"/>
    </xf>
    <xf numFmtId="0" fontId="38" fillId="0" borderId="3948" xfId="0" applyNumberFormat="1" applyFont="1" applyBorder="1" applyAlignment="1">
      <alignment vertical="top"/>
    </xf>
    <xf numFmtId="0" fontId="38" fillId="0" borderId="3949" xfId="0" applyNumberFormat="1" applyFont="1" applyBorder="1" applyAlignment="1">
      <alignment vertical="top"/>
    </xf>
    <xf numFmtId="0" fontId="38" fillId="0" borderId="3955" xfId="0" applyNumberFormat="1" applyFont="1" applyBorder="1" applyAlignment="1">
      <alignment vertical="top"/>
    </xf>
    <xf numFmtId="0" fontId="38" fillId="0" borderId="3956" xfId="0" applyNumberFormat="1" applyFont="1" applyBorder="1" applyAlignment="1">
      <alignment vertical="top"/>
    </xf>
    <xf numFmtId="0" fontId="38" fillId="0" borderId="3957" xfId="0" applyNumberFormat="1" applyFont="1" applyBorder="1" applyAlignment="1">
      <alignment vertical="top"/>
    </xf>
    <xf numFmtId="0" fontId="38" fillId="0" borderId="3958" xfId="0" applyNumberFormat="1" applyFont="1" applyBorder="1" applyAlignment="1">
      <alignment vertical="top"/>
    </xf>
    <xf numFmtId="0" fontId="38" fillId="0" borderId="3959" xfId="0" applyNumberFormat="1" applyFont="1" applyBorder="1" applyAlignment="1">
      <alignment vertical="top"/>
    </xf>
    <xf numFmtId="0" fontId="27" fillId="0" borderId="3989" xfId="0" applyNumberFormat="1" applyFont="1" applyBorder="1" applyAlignment="1">
      <alignment horizontal="center" vertical="top"/>
    </xf>
    <xf numFmtId="0" fontId="27" fillId="0" borderId="3990" xfId="0" applyNumberFormat="1" applyFont="1" applyBorder="1" applyAlignment="1">
      <alignment horizontal="center" vertical="top"/>
    </xf>
    <xf numFmtId="0" fontId="27" fillId="0" borderId="3991" xfId="0" applyNumberFormat="1" applyFont="1" applyBorder="1" applyAlignment="1">
      <alignment horizontal="center" vertical="top"/>
    </xf>
    <xf numFmtId="0" fontId="27" fillId="0" borderId="3992" xfId="0" applyNumberFormat="1" applyFont="1" applyBorder="1" applyAlignment="1">
      <alignment horizontal="center" vertical="top"/>
    </xf>
    <xf numFmtId="0" fontId="38" fillId="0" borderId="3981" xfId="0" applyNumberFormat="1" applyFont="1" applyBorder="1" applyAlignment="1">
      <alignment horizontal="center"/>
    </xf>
    <xf numFmtId="0" fontId="38" fillId="0" borderId="3982" xfId="0" applyNumberFormat="1" applyFont="1" applyBorder="1" applyAlignment="1">
      <alignment horizontal="center"/>
    </xf>
    <xf numFmtId="0" fontId="38" fillId="0" borderId="3983" xfId="0" applyNumberFormat="1" applyFont="1" applyBorder="1" applyAlignment="1">
      <alignment horizontal="center"/>
    </xf>
    <xf numFmtId="0" fontId="38" fillId="0" borderId="3984" xfId="0" applyNumberFormat="1" applyFont="1" applyBorder="1" applyAlignment="1">
      <alignment horizontal="center"/>
    </xf>
    <xf numFmtId="0" fontId="27" fillId="0" borderId="3965" xfId="0" applyNumberFormat="1" applyFont="1" applyBorder="1" applyAlignment="1">
      <alignment horizontal="center" vertical="top"/>
    </xf>
    <xf numFmtId="0" fontId="27" fillId="0" borderId="3966" xfId="0" applyNumberFormat="1" applyFont="1" applyBorder="1" applyAlignment="1">
      <alignment horizontal="center" vertical="top"/>
    </xf>
    <xf numFmtId="0" fontId="27" fillId="0" borderId="3967" xfId="0" applyNumberFormat="1" applyFont="1" applyBorder="1" applyAlignment="1">
      <alignment horizontal="center" vertical="top"/>
    </xf>
    <xf numFmtId="0" fontId="27" fillId="0" borderId="3968" xfId="0" applyNumberFormat="1" applyFont="1" applyBorder="1" applyAlignment="1">
      <alignment horizontal="center" vertical="top"/>
    </xf>
    <xf numFmtId="0" fontId="27" fillId="0" borderId="3969" xfId="0" applyNumberFormat="1" applyFont="1" applyBorder="1" applyAlignment="1">
      <alignment horizontal="center" vertical="top"/>
    </xf>
    <xf numFmtId="0" fontId="27" fillId="0" borderId="3970" xfId="0" applyNumberFormat="1" applyFont="1" applyBorder="1" applyAlignment="1">
      <alignment horizontal="center" vertical="top"/>
    </xf>
    <xf numFmtId="0" fontId="27" fillId="0" borderId="3971" xfId="0" applyNumberFormat="1" applyFont="1" applyBorder="1" applyAlignment="1">
      <alignment horizontal="center" vertical="top"/>
    </xf>
    <xf numFmtId="0" fontId="27" fillId="0" borderId="3972" xfId="0" applyNumberFormat="1" applyFont="1" applyBorder="1" applyAlignment="1">
      <alignment horizontal="center" vertical="top"/>
    </xf>
    <xf numFmtId="0" fontId="27" fillId="0" borderId="4066" xfId="0" applyNumberFormat="1" applyFont="1" applyBorder="1" applyAlignment="1">
      <alignment horizontal="center" vertical="top"/>
    </xf>
    <xf numFmtId="0" fontId="27" fillId="0" borderId="4067" xfId="0" applyNumberFormat="1" applyFont="1" applyBorder="1" applyAlignment="1">
      <alignment horizontal="center" vertical="top"/>
    </xf>
    <xf numFmtId="0" fontId="27" fillId="0" borderId="4068" xfId="0" applyNumberFormat="1" applyFont="1" applyBorder="1" applyAlignment="1">
      <alignment horizontal="center" vertical="top"/>
    </xf>
    <xf numFmtId="0" fontId="27" fillId="0" borderId="4069" xfId="0" applyNumberFormat="1" applyFont="1" applyBorder="1" applyAlignment="1">
      <alignment horizontal="center" vertical="top"/>
    </xf>
    <xf numFmtId="0" fontId="27" fillId="0" borderId="4070" xfId="0" applyNumberFormat="1" applyFont="1" applyBorder="1" applyAlignment="1">
      <alignment horizontal="center" vertical="top"/>
    </xf>
    <xf numFmtId="0" fontId="27" fillId="0" borderId="4071" xfId="0" applyNumberFormat="1" applyFont="1" applyBorder="1" applyAlignment="1">
      <alignment horizontal="center" vertical="top"/>
    </xf>
    <xf numFmtId="0" fontId="27" fillId="0" borderId="4072" xfId="0" applyNumberFormat="1" applyFont="1" applyBorder="1" applyAlignment="1">
      <alignment horizontal="center" vertical="top"/>
    </xf>
    <xf numFmtId="0" fontId="27" fillId="0" borderId="4073" xfId="0" applyNumberFormat="1" applyFont="1" applyBorder="1" applyAlignment="1">
      <alignment horizontal="center" vertical="top"/>
    </xf>
    <xf numFmtId="0" fontId="38" fillId="0" borderId="4082" xfId="0" applyNumberFormat="1" applyFont="1" applyBorder="1" applyAlignment="1">
      <alignment horizontal="center"/>
    </xf>
    <xf numFmtId="0" fontId="38" fillId="0" borderId="4083" xfId="0" applyNumberFormat="1" applyFont="1" applyBorder="1" applyAlignment="1">
      <alignment horizontal="center"/>
    </xf>
    <xf numFmtId="0" fontId="38" fillId="0" borderId="4084" xfId="0" applyNumberFormat="1" applyFont="1" applyBorder="1" applyAlignment="1">
      <alignment horizontal="center"/>
    </xf>
    <xf numFmtId="0" fontId="38" fillId="0" borderId="4085" xfId="0" applyNumberFormat="1" applyFont="1" applyBorder="1" applyAlignment="1">
      <alignment horizontal="center"/>
    </xf>
    <xf numFmtId="0" fontId="27" fillId="0" borderId="4090" xfId="0" applyNumberFormat="1" applyFont="1" applyBorder="1" applyAlignment="1">
      <alignment horizontal="center" vertical="top"/>
    </xf>
    <xf numFmtId="0" fontId="27" fillId="0" borderId="4091" xfId="0" applyNumberFormat="1" applyFont="1" applyBorder="1" applyAlignment="1">
      <alignment horizontal="center" vertical="top"/>
    </xf>
    <xf numFmtId="0" fontId="27" fillId="0" borderId="4092" xfId="0" applyNumberFormat="1" applyFont="1" applyBorder="1" applyAlignment="1">
      <alignment horizontal="center" vertical="top"/>
    </xf>
    <xf numFmtId="0" fontId="27" fillId="0" borderId="4093" xfId="0" applyNumberFormat="1" applyFont="1" applyBorder="1" applyAlignment="1">
      <alignment horizontal="center" vertical="top"/>
    </xf>
    <xf numFmtId="0" fontId="38" fillId="0" borderId="4056" xfId="0" applyNumberFormat="1" applyFont="1" applyBorder="1" applyAlignment="1">
      <alignment vertical="top"/>
    </xf>
    <xf numFmtId="0" fontId="38" fillId="0" borderId="4057" xfId="0" applyNumberFormat="1" applyFont="1" applyBorder="1" applyAlignment="1">
      <alignment vertical="top"/>
    </xf>
    <xf numFmtId="0" fontId="38" fillId="0" borderId="4058" xfId="0" applyNumberFormat="1" applyFont="1" applyBorder="1" applyAlignment="1">
      <alignment vertical="top"/>
    </xf>
    <xf numFmtId="0" fontId="38" fillId="0" borderId="4059" xfId="0" applyNumberFormat="1" applyFont="1" applyBorder="1" applyAlignment="1">
      <alignment vertical="top"/>
    </xf>
    <xf numFmtId="0" fontId="38" fillId="0" borderId="4060" xfId="0" applyNumberFormat="1" applyFont="1" applyBorder="1" applyAlignment="1">
      <alignment vertical="top"/>
    </xf>
    <xf numFmtId="0" fontId="38" fillId="0" borderId="4046" xfId="0" applyNumberFormat="1" applyFont="1" applyBorder="1" applyAlignment="1">
      <alignment vertical="top"/>
    </xf>
    <xf numFmtId="0" fontId="38" fillId="0" borderId="4047" xfId="0" applyNumberFormat="1" applyFont="1" applyBorder="1" applyAlignment="1">
      <alignment vertical="top"/>
    </xf>
    <xf numFmtId="0" fontId="38" fillId="0" borderId="4048" xfId="0" applyNumberFormat="1" applyFont="1" applyBorder="1" applyAlignment="1">
      <alignment vertical="top"/>
    </xf>
    <xf numFmtId="0" fontId="38" fillId="0" borderId="4049" xfId="0" applyNumberFormat="1" applyFont="1" applyBorder="1" applyAlignment="1">
      <alignment vertical="top"/>
    </xf>
    <xf numFmtId="0" fontId="38" fillId="0" borderId="4050" xfId="0" applyNumberFormat="1" applyFont="1" applyBorder="1" applyAlignment="1">
      <alignment vertical="top"/>
    </xf>
    <xf numFmtId="0" fontId="38" fillId="0" borderId="4036" xfId="0" applyNumberFormat="1" applyFont="1" applyBorder="1" applyAlignment="1">
      <alignment horizontal="center" vertical="top"/>
    </xf>
    <xf numFmtId="0" fontId="38" fillId="0" borderId="4037" xfId="0" applyNumberFormat="1" applyFont="1" applyBorder="1" applyAlignment="1">
      <alignment horizontal="center" vertical="top"/>
    </xf>
    <xf numFmtId="0" fontId="38" fillId="0" borderId="4038" xfId="0" applyNumberFormat="1" applyFont="1" applyBorder="1" applyAlignment="1">
      <alignment horizontal="center" vertical="top"/>
    </xf>
    <xf numFmtId="0" fontId="38" fillId="0" borderId="4039" xfId="0" applyNumberFormat="1" applyFont="1" applyBorder="1" applyAlignment="1">
      <alignment horizontal="center" vertical="top"/>
    </xf>
    <xf numFmtId="0" fontId="38" fillId="0" borderId="4040" xfId="0" applyNumberFormat="1" applyFont="1" applyBorder="1" applyAlignment="1">
      <alignment horizontal="center" vertical="top"/>
    </xf>
    <xf numFmtId="0" fontId="38" fillId="0" borderId="4026" xfId="0" applyNumberFormat="1" applyFont="1" applyBorder="1"/>
    <xf numFmtId="0" fontId="38" fillId="0" borderId="4027" xfId="0" applyNumberFormat="1" applyFont="1" applyBorder="1"/>
    <xf numFmtId="0" fontId="38" fillId="0" borderId="4028" xfId="0" applyNumberFormat="1" applyFont="1" applyBorder="1"/>
    <xf numFmtId="0" fontId="38" fillId="0" borderId="4029" xfId="0" applyNumberFormat="1" applyFont="1" applyBorder="1"/>
    <xf numFmtId="0" fontId="38" fillId="0" borderId="4030" xfId="0" applyNumberFormat="1" applyFont="1" applyBorder="1"/>
    <xf numFmtId="0" fontId="38" fillId="0" borderId="4016" xfId="0" applyNumberFormat="1" applyFont="1" applyBorder="1" applyAlignment="1">
      <alignment horizontal="center"/>
    </xf>
    <xf numFmtId="0" fontId="38" fillId="0" borderId="4017" xfId="0" applyNumberFormat="1" applyFont="1" applyBorder="1" applyAlignment="1">
      <alignment horizontal="center"/>
    </xf>
    <xf numFmtId="0" fontId="38" fillId="0" borderId="4018" xfId="0" applyNumberFormat="1" applyFont="1" applyBorder="1" applyAlignment="1">
      <alignment horizontal="center"/>
    </xf>
    <xf numFmtId="0" fontId="38" fillId="0" borderId="4019" xfId="0" applyNumberFormat="1" applyFont="1" applyBorder="1" applyAlignment="1">
      <alignment horizontal="center"/>
    </xf>
    <xf numFmtId="0" fontId="38" fillId="0" borderId="4020" xfId="0" applyNumberFormat="1" applyFont="1" applyBorder="1" applyAlignment="1">
      <alignment horizontal="center"/>
    </xf>
    <xf numFmtId="0" fontId="38" fillId="0" borderId="4012" xfId="0" applyNumberFormat="1" applyFont="1" applyBorder="1" applyAlignment="1">
      <alignment horizontal="center" vertical="top"/>
    </xf>
    <xf numFmtId="0" fontId="38" fillId="0" borderId="4013" xfId="0" applyNumberFormat="1" applyFont="1" applyBorder="1" applyAlignment="1">
      <alignment horizontal="center" vertical="top"/>
    </xf>
    <xf numFmtId="0" fontId="29" fillId="0" borderId="4008" xfId="0" applyNumberFormat="1" applyFont="1" applyBorder="1" applyAlignment="1">
      <alignment horizontal="center" vertical="top"/>
    </xf>
    <xf numFmtId="0" fontId="29" fillId="0" borderId="4009" xfId="0" applyNumberFormat="1" applyFont="1" applyBorder="1" applyAlignment="1">
      <alignment horizontal="center" vertical="top"/>
    </xf>
    <xf numFmtId="0" fontId="29" fillId="0" borderId="4004" xfId="0" applyNumberFormat="1" applyFont="1" applyBorder="1" applyAlignment="1">
      <alignment horizontal="center"/>
    </xf>
    <xf numFmtId="0" fontId="29" fillId="0" borderId="4005" xfId="0" applyNumberFormat="1" applyFont="1" applyBorder="1" applyAlignment="1">
      <alignment horizontal="center"/>
    </xf>
    <xf numFmtId="0" fontId="29" fillId="0" borderId="4000" xfId="0" applyNumberFormat="1" applyFont="1" applyBorder="1" applyAlignment="1">
      <alignment horizontal="center"/>
    </xf>
    <xf numFmtId="0" fontId="29" fillId="0" borderId="4001" xfId="0" applyNumberFormat="1" applyFont="1" applyBorder="1" applyAlignment="1">
      <alignment horizontal="center"/>
    </xf>
    <xf numFmtId="0" fontId="38" fillId="0" borderId="3985" xfId="0" applyNumberFormat="1" applyFont="1" applyBorder="1" applyAlignment="1">
      <alignment horizontal="center"/>
    </xf>
    <xf numFmtId="0" fontId="38" fillId="0" borderId="3986" xfId="0" applyNumberFormat="1" applyFont="1" applyBorder="1" applyAlignment="1">
      <alignment horizontal="center"/>
    </xf>
    <xf numFmtId="0" fontId="38" fillId="0" borderId="3987" xfId="0" applyNumberFormat="1" applyFont="1" applyBorder="1" applyAlignment="1">
      <alignment horizontal="center"/>
    </xf>
    <xf numFmtId="0" fontId="38" fillId="0" borderId="3988" xfId="0" applyNumberFormat="1" applyFont="1" applyBorder="1" applyAlignment="1">
      <alignment horizontal="center"/>
    </xf>
    <xf numFmtId="0" fontId="38" fillId="0" borderId="3940" xfId="0" applyNumberFormat="1" applyFont="1" applyBorder="1" applyAlignment="1">
      <alignment horizontal="center" vertical="top"/>
    </xf>
    <xf numFmtId="0" fontId="38" fillId="0" borderId="3941" xfId="0" applyNumberFormat="1" applyFont="1" applyBorder="1" applyAlignment="1">
      <alignment horizontal="center" vertical="top"/>
    </xf>
    <xf numFmtId="0" fontId="38" fillId="0" borderId="3942" xfId="0" applyNumberFormat="1" applyFont="1" applyBorder="1" applyAlignment="1">
      <alignment horizontal="center" vertical="top"/>
    </xf>
    <xf numFmtId="0" fontId="38" fillId="0" borderId="3943" xfId="0" applyNumberFormat="1" applyFont="1" applyBorder="1" applyAlignment="1">
      <alignment horizontal="center" vertical="top"/>
    </xf>
    <xf numFmtId="0" fontId="38" fillId="0" borderId="3944" xfId="0" applyNumberFormat="1" applyFont="1" applyBorder="1" applyAlignment="1">
      <alignment horizontal="center" vertical="top"/>
    </xf>
    <xf numFmtId="0" fontId="38" fillId="0" borderId="3930" xfId="0" applyNumberFormat="1" applyFont="1" applyBorder="1"/>
    <xf numFmtId="0" fontId="38" fillId="0" borderId="3931" xfId="0" applyNumberFormat="1" applyFont="1" applyBorder="1"/>
    <xf numFmtId="0" fontId="38" fillId="0" borderId="3932" xfId="0" applyNumberFormat="1" applyFont="1" applyBorder="1"/>
    <xf numFmtId="0" fontId="38" fillId="0" borderId="3933" xfId="0" applyNumberFormat="1" applyFont="1" applyBorder="1"/>
    <xf numFmtId="0" fontId="38" fillId="0" borderId="3934" xfId="0" applyNumberFormat="1" applyFont="1" applyBorder="1"/>
    <xf numFmtId="0" fontId="38" fillId="0" borderId="3920" xfId="0" applyNumberFormat="1" applyFont="1" applyBorder="1" applyAlignment="1">
      <alignment horizontal="center"/>
    </xf>
    <xf numFmtId="0" fontId="38" fillId="0" borderId="3921" xfId="0" applyNumberFormat="1" applyFont="1" applyBorder="1" applyAlignment="1">
      <alignment horizontal="center"/>
    </xf>
    <xf numFmtId="0" fontId="38" fillId="0" borderId="3922" xfId="0" applyNumberFormat="1" applyFont="1" applyBorder="1" applyAlignment="1">
      <alignment horizontal="center"/>
    </xf>
    <xf numFmtId="0" fontId="38" fillId="0" borderId="3923" xfId="0" applyNumberFormat="1" applyFont="1" applyBorder="1" applyAlignment="1">
      <alignment horizontal="center"/>
    </xf>
    <xf numFmtId="0" fontId="38" fillId="0" borderId="3924" xfId="0" applyNumberFormat="1" applyFont="1" applyBorder="1" applyAlignment="1">
      <alignment horizontal="center"/>
    </xf>
    <xf numFmtId="0" fontId="29" fillId="0" borderId="3901" xfId="0" applyNumberFormat="1" applyFont="1" applyBorder="1" applyAlignment="1">
      <alignment horizontal="center"/>
    </xf>
    <xf numFmtId="0" fontId="29" fillId="0" borderId="3902" xfId="0" applyNumberFormat="1" applyFont="1" applyBorder="1" applyAlignment="1">
      <alignment horizontal="center"/>
    </xf>
    <xf numFmtId="0" fontId="27" fillId="0" borderId="3993" xfId="0" applyNumberFormat="1" applyFont="1" applyBorder="1" applyAlignment="1">
      <alignment horizontal="center" vertical="top"/>
    </xf>
    <xf numFmtId="0" fontId="27" fillId="0" borderId="3994" xfId="0" applyNumberFormat="1" applyFont="1" applyBorder="1" applyAlignment="1">
      <alignment horizontal="center" vertical="top"/>
    </xf>
    <xf numFmtId="0" fontId="27" fillId="0" borderId="3995" xfId="0" applyNumberFormat="1" applyFont="1" applyBorder="1" applyAlignment="1">
      <alignment horizontal="center" vertical="top"/>
    </xf>
    <xf numFmtId="0" fontId="27" fillId="0" borderId="3996" xfId="0" applyNumberFormat="1" applyFont="1" applyBorder="1" applyAlignment="1">
      <alignment horizontal="center" vertical="top"/>
    </xf>
    <xf numFmtId="0" fontId="27" fillId="0" borderId="3973" xfId="0" applyNumberFormat="1" applyFont="1" applyBorder="1" applyAlignment="1">
      <alignment horizontal="center" vertical="top"/>
    </xf>
    <xf numFmtId="0" fontId="27" fillId="0" borderId="3974" xfId="0" applyNumberFormat="1" applyFont="1" applyBorder="1" applyAlignment="1">
      <alignment horizontal="center" vertical="top"/>
    </xf>
    <xf numFmtId="0" fontId="27" fillId="0" borderId="3975" xfId="0" applyNumberFormat="1" applyFont="1" applyBorder="1" applyAlignment="1">
      <alignment horizontal="center" vertical="top"/>
    </xf>
    <xf numFmtId="0" fontId="27" fillId="0" borderId="3976" xfId="0" applyNumberFormat="1" applyFont="1" applyBorder="1" applyAlignment="1">
      <alignment horizontal="center" vertical="top"/>
    </xf>
    <xf numFmtId="0" fontId="27" fillId="0" borderId="3977" xfId="0" applyNumberFormat="1" applyFont="1" applyBorder="1" applyAlignment="1">
      <alignment horizontal="center" vertical="top"/>
    </xf>
    <xf numFmtId="0" fontId="27" fillId="0" borderId="3978" xfId="0" applyNumberFormat="1" applyFont="1" applyBorder="1" applyAlignment="1">
      <alignment horizontal="center" vertical="top"/>
    </xf>
    <xf numFmtId="0" fontId="27" fillId="0" borderId="3979" xfId="0" applyNumberFormat="1" applyFont="1" applyBorder="1" applyAlignment="1">
      <alignment horizontal="center" vertical="top"/>
    </xf>
    <xf numFmtId="0" fontId="27" fillId="0" borderId="3980" xfId="0" applyNumberFormat="1" applyFont="1" applyBorder="1" applyAlignment="1">
      <alignment horizontal="center" vertical="top"/>
    </xf>
    <xf numFmtId="0" fontId="38" fillId="0" borderId="3960" xfId="0" applyNumberFormat="1" applyFont="1" applyBorder="1" applyAlignment="1">
      <alignment vertical="top"/>
    </xf>
    <xf numFmtId="0" fontId="38" fillId="0" borderId="3961" xfId="0" applyNumberFormat="1" applyFont="1" applyBorder="1" applyAlignment="1">
      <alignment vertical="top"/>
    </xf>
    <xf numFmtId="0" fontId="38" fillId="0" borderId="3962" xfId="0" applyNumberFormat="1" applyFont="1" applyBorder="1" applyAlignment="1">
      <alignment vertical="top"/>
    </xf>
    <xf numFmtId="0" fontId="38" fillId="0" borderId="3963" xfId="0" applyNumberFormat="1" applyFont="1" applyBorder="1" applyAlignment="1">
      <alignment vertical="top"/>
    </xf>
    <xf numFmtId="0" fontId="38" fillId="0" borderId="3964" xfId="0" applyNumberFormat="1" applyFont="1" applyBorder="1" applyAlignment="1">
      <alignment vertical="top"/>
    </xf>
    <xf numFmtId="0" fontId="38" fillId="0" borderId="3950" xfId="0" applyNumberFormat="1" applyFont="1" applyBorder="1" applyAlignment="1">
      <alignment vertical="top"/>
    </xf>
    <xf numFmtId="0" fontId="38" fillId="0" borderId="3951" xfId="0" applyNumberFormat="1" applyFont="1" applyBorder="1" applyAlignment="1">
      <alignment vertical="top"/>
    </xf>
    <xf numFmtId="0" fontId="38" fillId="0" borderId="3952" xfId="0" applyNumberFormat="1" applyFont="1" applyBorder="1" applyAlignment="1">
      <alignment vertical="top"/>
    </xf>
    <xf numFmtId="0" fontId="38" fillId="0" borderId="3953" xfId="0" applyNumberFormat="1" applyFont="1" applyBorder="1" applyAlignment="1">
      <alignment vertical="top"/>
    </xf>
    <xf numFmtId="0" fontId="38" fillId="0" borderId="3954" xfId="0" applyNumberFormat="1" applyFont="1" applyBorder="1" applyAlignment="1">
      <alignment vertical="top"/>
    </xf>
    <xf numFmtId="0" fontId="29" fillId="0" borderId="3905" xfId="0" applyNumberFormat="1" applyFont="1" applyBorder="1" applyAlignment="1">
      <alignment horizontal="center"/>
    </xf>
    <xf numFmtId="0" fontId="29" fillId="0" borderId="3906" xfId="0" applyNumberFormat="1" applyFont="1" applyBorder="1" applyAlignment="1">
      <alignment horizontal="center"/>
    </xf>
    <xf numFmtId="0" fontId="29" fillId="0" borderId="3909" xfId="0" applyNumberFormat="1" applyFont="1" applyBorder="1" applyAlignment="1">
      <alignment horizontal="center" vertical="top"/>
    </xf>
    <xf numFmtId="0" fontId="29" fillId="0" borderId="3910" xfId="0" applyNumberFormat="1" applyFont="1" applyBorder="1" applyAlignment="1">
      <alignment horizontal="center" vertical="top"/>
    </xf>
    <xf numFmtId="0" fontId="29" fillId="0" borderId="3913" xfId="0" applyNumberFormat="1" applyFont="1" applyBorder="1" applyAlignment="1">
      <alignment horizontal="center" vertical="top"/>
    </xf>
    <xf numFmtId="0" fontId="29" fillId="0" borderId="3914" xfId="0" applyNumberFormat="1" applyFont="1" applyBorder="1" applyAlignment="1">
      <alignment horizontal="center" vertical="top"/>
    </xf>
    <xf numFmtId="2" fontId="41" fillId="0" borderId="4112" xfId="0" applyNumberFormat="1" applyFont="1" applyBorder="1" applyAlignment="1">
      <alignment horizontal="center" vertical="top" wrapText="1"/>
    </xf>
    <xf numFmtId="2" fontId="41" fillId="0" borderId="4113" xfId="0" applyNumberFormat="1" applyFont="1" applyBorder="1" applyAlignment="1">
      <alignment horizontal="center" vertical="top" wrapText="1"/>
    </xf>
    <xf numFmtId="2" fontId="41" fillId="0" borderId="4115" xfId="0" applyNumberFormat="1" applyFont="1" applyBorder="1" applyAlignment="1">
      <alignment horizontal="center" vertical="top" wrapText="1"/>
    </xf>
    <xf numFmtId="2" fontId="41" fillId="0" borderId="4151" xfId="0" applyNumberFormat="1" applyFont="1" applyBorder="1" applyAlignment="1">
      <alignment horizontal="center" vertical="top" wrapText="1"/>
    </xf>
    <xf numFmtId="2" fontId="41" fillId="0" borderId="4152" xfId="0" applyNumberFormat="1" applyFont="1" applyBorder="1" applyAlignment="1">
      <alignment horizontal="center" vertical="top" wrapText="1"/>
    </xf>
    <xf numFmtId="2" fontId="41" fillId="0" borderId="4133" xfId="0" applyNumberFormat="1" applyFont="1" applyBorder="1" applyAlignment="1">
      <alignment horizontal="center" vertical="top" wrapText="1"/>
    </xf>
    <xf numFmtId="2" fontId="41" fillId="0" borderId="4134" xfId="0" applyNumberFormat="1" applyFont="1" applyBorder="1" applyAlignment="1">
      <alignment horizontal="center" vertical="top" wrapText="1"/>
    </xf>
    <xf numFmtId="2" fontId="41" fillId="0" borderId="4190" xfId="0" applyNumberFormat="1" applyFont="1" applyBorder="1" applyAlignment="1">
      <alignment horizontal="center" vertical="top" wrapText="1"/>
    </xf>
    <xf numFmtId="2" fontId="41" fillId="0" borderId="4191" xfId="0" applyNumberFormat="1" applyFont="1" applyBorder="1" applyAlignment="1">
      <alignment horizontal="center" vertical="top" wrapText="1"/>
    </xf>
    <xf numFmtId="2" fontId="41" fillId="0" borderId="4164" xfId="0" applyNumberFormat="1" applyFont="1" applyBorder="1" applyAlignment="1">
      <alignment horizontal="center" vertical="top" wrapText="1"/>
    </xf>
    <xf numFmtId="2" fontId="41" fillId="0" borderId="4165" xfId="0" applyNumberFormat="1" applyFont="1" applyBorder="1" applyAlignment="1">
      <alignment horizontal="center" vertical="top" wrapText="1"/>
    </xf>
    <xf numFmtId="2" fontId="41" fillId="0" borderId="4166" xfId="0" applyNumberFormat="1" applyFont="1" applyBorder="1" applyAlignment="1">
      <alignment horizontal="center" vertical="top" wrapText="1"/>
    </xf>
    <xf numFmtId="2" fontId="41" fillId="0" borderId="4167" xfId="0" applyNumberFormat="1" applyFont="1" applyBorder="1" applyAlignment="1">
      <alignment horizontal="center" vertical="top" wrapText="1"/>
    </xf>
    <xf numFmtId="2" fontId="41" fillId="0" borderId="4168" xfId="0" applyNumberFormat="1" applyFont="1" applyBorder="1" applyAlignment="1">
      <alignment horizontal="center" vertical="top" wrapText="1"/>
    </xf>
    <xf numFmtId="2" fontId="41" fillId="0" borderId="4159" xfId="0" applyNumberFormat="1" applyFont="1" applyBorder="1" applyAlignment="1">
      <alignment horizontal="center" vertical="top" wrapText="1"/>
    </xf>
    <xf numFmtId="2" fontId="41" fillId="0" borderId="4160" xfId="0" applyNumberFormat="1" applyFont="1" applyBorder="1" applyAlignment="1">
      <alignment horizontal="center" vertical="top" wrapText="1"/>
    </xf>
    <xf numFmtId="2" fontId="41" fillId="0" borderId="4161" xfId="0" applyNumberFormat="1" applyFont="1" applyBorder="1" applyAlignment="1">
      <alignment horizontal="center" vertical="top" wrapText="1"/>
    </xf>
    <xf numFmtId="2" fontId="41" fillId="0" borderId="4162" xfId="0" applyNumberFormat="1" applyFont="1" applyBorder="1" applyAlignment="1">
      <alignment horizontal="center" vertical="top" wrapText="1"/>
    </xf>
    <xf numFmtId="2" fontId="41" fillId="0" borderId="4163" xfId="0" applyNumberFormat="1" applyFont="1" applyBorder="1" applyAlignment="1">
      <alignment horizontal="center" vertical="top" wrapText="1"/>
    </xf>
    <xf numFmtId="2" fontId="41" fillId="0" borderId="4192" xfId="0" applyNumberFormat="1" applyFont="1" applyBorder="1" applyAlignment="1">
      <alignment horizontal="center" vertical="top" wrapText="1"/>
    </xf>
    <xf numFmtId="2" fontId="41" fillId="0" borderId="4193" xfId="0" applyNumberFormat="1" applyFont="1" applyBorder="1" applyAlignment="1">
      <alignment horizontal="center" vertical="top" wrapText="1"/>
    </xf>
    <xf numFmtId="2" fontId="41" fillId="0" borderId="4202" xfId="0" applyNumberFormat="1" applyFont="1" applyBorder="1" applyAlignment="1">
      <alignment horizontal="center" vertical="top" wrapText="1"/>
    </xf>
    <xf numFmtId="2" fontId="41" fillId="0" borderId="4203" xfId="0" applyNumberFormat="1" applyFont="1" applyBorder="1" applyAlignment="1">
      <alignment horizontal="center" vertical="top" wrapText="1"/>
    </xf>
    <xf numFmtId="2" fontId="41" fillId="0" borderId="4143" xfId="0" applyNumberFormat="1" applyFont="1" applyBorder="1" applyAlignment="1">
      <alignment horizontal="center" vertical="top" wrapText="1"/>
    </xf>
    <xf numFmtId="2" fontId="41" fillId="0" borderId="4144" xfId="0" applyNumberFormat="1" applyFont="1" applyBorder="1" applyAlignment="1">
      <alignment horizontal="center" vertical="top" wrapText="1"/>
    </xf>
    <xf numFmtId="2" fontId="41" fillId="0" borderId="4222" xfId="0" applyNumberFormat="1" applyFont="1" applyBorder="1" applyAlignment="1">
      <alignment horizontal="center" vertical="top" wrapText="1"/>
    </xf>
    <xf numFmtId="2" fontId="41" fillId="0" borderId="4223" xfId="0" applyNumberFormat="1" applyFont="1" applyBorder="1" applyAlignment="1">
      <alignment horizontal="center" vertical="top" wrapText="1"/>
    </xf>
    <xf numFmtId="2" fontId="41" fillId="0" borderId="4169" xfId="0" applyNumberFormat="1" applyFont="1" applyBorder="1" applyAlignment="1">
      <alignment horizontal="center" vertical="top" wrapText="1"/>
    </xf>
    <xf numFmtId="2" fontId="41" fillId="0" borderId="4170" xfId="0" applyNumberFormat="1" applyFont="1" applyBorder="1" applyAlignment="1">
      <alignment horizontal="center" vertical="top" wrapText="1"/>
    </xf>
    <xf numFmtId="2" fontId="41" fillId="0" borderId="4171" xfId="0" applyNumberFormat="1" applyFont="1" applyBorder="1" applyAlignment="1">
      <alignment horizontal="center" vertical="top" wrapText="1"/>
    </xf>
    <xf numFmtId="2" fontId="41" fillId="0" borderId="4172" xfId="0" applyNumberFormat="1" applyFont="1" applyBorder="1" applyAlignment="1">
      <alignment horizontal="center" vertical="top" wrapText="1"/>
    </xf>
    <xf numFmtId="2" fontId="41" fillId="0" borderId="4173" xfId="0" applyNumberFormat="1" applyFont="1" applyBorder="1" applyAlignment="1">
      <alignment horizontal="center" vertical="top" wrapText="1"/>
    </xf>
    <xf numFmtId="2" fontId="41" fillId="0" borderId="4118" xfId="0" applyNumberFormat="1" applyFont="1" applyBorder="1" applyAlignment="1">
      <alignment horizontal="center" vertical="top" wrapText="1"/>
    </xf>
    <xf numFmtId="2" fontId="41" fillId="0" borderId="4119" xfId="0" applyNumberFormat="1" applyFont="1" applyBorder="1" applyAlignment="1">
      <alignment horizontal="center" vertical="top" wrapText="1"/>
    </xf>
    <xf numFmtId="2" fontId="57" fillId="0" borderId="4107" xfId="0" applyNumberFormat="1" applyFont="1" applyBorder="1" applyAlignment="1">
      <alignment horizontal="center" vertical="top" wrapText="1"/>
    </xf>
    <xf numFmtId="2" fontId="57" fillId="0" borderId="4226" xfId="0" applyNumberFormat="1" applyFont="1" applyBorder="1" applyAlignment="1">
      <alignment horizontal="center" vertical="top" wrapText="1"/>
    </xf>
    <xf numFmtId="2" fontId="57" fillId="0" borderId="4227" xfId="0" applyNumberFormat="1" applyFont="1" applyBorder="1" applyAlignment="1">
      <alignment horizontal="center" vertical="top" wrapText="1"/>
    </xf>
    <xf numFmtId="2" fontId="57" fillId="0" borderId="4228" xfId="0" applyNumberFormat="1" applyFont="1" applyBorder="1" applyAlignment="1">
      <alignment horizontal="center" vertical="top" wrapText="1"/>
    </xf>
    <xf numFmtId="2" fontId="57" fillId="0" borderId="4229" xfId="0" applyNumberFormat="1" applyFont="1" applyBorder="1" applyAlignment="1">
      <alignment horizontal="center" vertical="top" wrapText="1"/>
    </xf>
    <xf numFmtId="2" fontId="57" fillId="0" borderId="4216" xfId="0" applyNumberFormat="1" applyFont="1" applyBorder="1" applyAlignment="1">
      <alignment horizontal="center" vertical="top" wrapText="1"/>
    </xf>
    <xf numFmtId="2" fontId="57" fillId="0" borderId="4217" xfId="0" applyNumberFormat="1" applyFont="1" applyBorder="1" applyAlignment="1">
      <alignment horizontal="center" vertical="top" wrapText="1"/>
    </xf>
    <xf numFmtId="2" fontId="57" fillId="0" borderId="4218" xfId="0" applyNumberFormat="1" applyFont="1" applyBorder="1" applyAlignment="1">
      <alignment horizontal="center" vertical="top" wrapText="1"/>
    </xf>
    <xf numFmtId="2" fontId="57" fillId="0" borderId="4219" xfId="0" applyNumberFormat="1" applyFont="1" applyBorder="1" applyAlignment="1">
      <alignment horizontal="center" vertical="top" wrapText="1"/>
    </xf>
    <xf numFmtId="2" fontId="57" fillId="0" borderId="4208" xfId="0" applyNumberFormat="1" applyFont="1" applyBorder="1" applyAlignment="1">
      <alignment horizontal="center" vertical="top" wrapText="1"/>
    </xf>
    <xf numFmtId="2" fontId="57" fillId="0" borderId="4209" xfId="0" applyNumberFormat="1" applyFont="1" applyBorder="1" applyAlignment="1">
      <alignment horizontal="center" vertical="top" wrapText="1"/>
    </xf>
    <xf numFmtId="2" fontId="57" fillId="0" borderId="4210" xfId="0" applyNumberFormat="1" applyFont="1" applyBorder="1" applyAlignment="1">
      <alignment horizontal="center" vertical="top" wrapText="1"/>
    </xf>
    <xf numFmtId="2" fontId="57" fillId="0" borderId="4211" xfId="0" applyNumberFormat="1" applyFont="1" applyBorder="1" applyAlignment="1">
      <alignment horizontal="center" vertical="top" wrapText="1"/>
    </xf>
    <xf numFmtId="2" fontId="57" fillId="0" borderId="4198" xfId="0" applyNumberFormat="1" applyFont="1" applyBorder="1" applyAlignment="1">
      <alignment horizontal="center" vertical="top" wrapText="1"/>
    </xf>
    <xf numFmtId="2" fontId="57" fillId="0" borderId="4199" xfId="0" applyNumberFormat="1" applyFont="1" applyBorder="1" applyAlignment="1">
      <alignment horizontal="center" vertical="top" wrapText="1"/>
    </xf>
    <xf numFmtId="2" fontId="57" fillId="0" borderId="4200" xfId="0" applyNumberFormat="1" applyFont="1" applyBorder="1" applyAlignment="1">
      <alignment horizontal="center" vertical="top" wrapText="1"/>
    </xf>
    <xf numFmtId="2" fontId="57" fillId="0" borderId="4201" xfId="0" applyNumberFormat="1" applyFont="1" applyBorder="1" applyAlignment="1">
      <alignment horizontal="center" vertical="top" wrapText="1"/>
    </xf>
    <xf numFmtId="2" fontId="57" fillId="0" borderId="4182" xfId="0" applyNumberFormat="1" applyFont="1" applyBorder="1" applyAlignment="1">
      <alignment horizontal="center" vertical="top" wrapText="1"/>
    </xf>
    <xf numFmtId="2" fontId="57" fillId="0" borderId="4183" xfId="0" applyNumberFormat="1" applyFont="1" applyBorder="1" applyAlignment="1">
      <alignment horizontal="center" vertical="top" wrapText="1"/>
    </xf>
    <xf numFmtId="2" fontId="57" fillId="0" borderId="4184" xfId="0" applyNumberFormat="1" applyFont="1" applyBorder="1" applyAlignment="1">
      <alignment horizontal="center" vertical="top" wrapText="1"/>
    </xf>
    <xf numFmtId="2" fontId="57" fillId="0" borderId="4185" xfId="0" applyNumberFormat="1" applyFont="1" applyBorder="1" applyAlignment="1">
      <alignment horizontal="center" vertical="top" wrapText="1"/>
    </xf>
    <xf numFmtId="2" fontId="47" fillId="0" borderId="1267" xfId="0" applyNumberFormat="1" applyFont="1" applyBorder="1" applyAlignment="1">
      <alignment horizontal="center"/>
    </xf>
    <xf numFmtId="2" fontId="47" fillId="0" borderId="4174" xfId="0" applyNumberFormat="1" applyFont="1" applyBorder="1" applyAlignment="1">
      <alignment horizontal="center"/>
    </xf>
    <xf numFmtId="2" fontId="47" fillId="0" borderId="4175" xfId="0" applyNumberFormat="1" applyFont="1" applyBorder="1" applyAlignment="1">
      <alignment horizontal="center"/>
    </xf>
    <xf numFmtId="2" fontId="47" fillId="0" borderId="4176" xfId="0" applyNumberFormat="1" applyFont="1" applyBorder="1" applyAlignment="1">
      <alignment horizontal="center"/>
    </xf>
    <xf numFmtId="2" fontId="47" fillId="0" borderId="4177" xfId="0" applyNumberFormat="1" applyFont="1" applyBorder="1" applyAlignment="1">
      <alignment horizontal="center"/>
    </xf>
    <xf numFmtId="2" fontId="107" fillId="0" borderId="4178" xfId="0" applyNumberFormat="1" applyFont="1" applyBorder="1" applyAlignment="1">
      <alignment horizontal="center" vertical="top" wrapText="1"/>
    </xf>
    <xf numFmtId="2" fontId="107" fillId="0" borderId="4179" xfId="0" applyNumberFormat="1" applyFont="1" applyBorder="1" applyAlignment="1">
      <alignment horizontal="center" vertical="top" wrapText="1"/>
    </xf>
    <xf numFmtId="2" fontId="107" fillId="0" borderId="4180" xfId="0" applyNumberFormat="1" applyFont="1" applyBorder="1" applyAlignment="1">
      <alignment horizontal="center" vertical="top" wrapText="1"/>
    </xf>
    <xf numFmtId="2" fontId="57" fillId="0" borderId="4137" xfId="0" applyNumberFormat="1" applyFont="1" applyBorder="1" applyAlignment="1">
      <alignment horizontal="center" vertical="top" wrapText="1"/>
    </xf>
    <xf numFmtId="2" fontId="57" fillId="0" borderId="4138" xfId="0" applyNumberFormat="1" applyFont="1" applyBorder="1" applyAlignment="1">
      <alignment horizontal="center" vertical="top" wrapText="1"/>
    </xf>
    <xf numFmtId="2" fontId="57" fillId="0" borderId="4139" xfId="0" applyNumberFormat="1" applyFont="1" applyBorder="1" applyAlignment="1">
      <alignment horizontal="center" vertical="top" wrapText="1"/>
    </xf>
    <xf numFmtId="2" fontId="57" fillId="0" borderId="4140" xfId="0" applyNumberFormat="1" applyFont="1" applyBorder="1" applyAlignment="1">
      <alignment horizontal="center" vertical="top" wrapText="1"/>
    </xf>
    <xf numFmtId="2" fontId="57" fillId="0" borderId="4145" xfId="0" applyNumberFormat="1" applyFont="1" applyBorder="1" applyAlignment="1">
      <alignment horizontal="center" vertical="top" wrapText="1"/>
    </xf>
    <xf numFmtId="2" fontId="57" fillId="0" borderId="4146" xfId="0" applyNumberFormat="1" applyFont="1" applyBorder="1" applyAlignment="1">
      <alignment horizontal="center" vertical="top" wrapText="1"/>
    </xf>
    <xf numFmtId="2" fontId="57" fillId="0" borderId="4147" xfId="0" applyNumberFormat="1" applyFont="1" applyBorder="1" applyAlignment="1">
      <alignment horizontal="center" vertical="top" wrapText="1"/>
    </xf>
    <xf numFmtId="2" fontId="57" fillId="0" borderId="4148" xfId="0" applyNumberFormat="1" applyFont="1" applyBorder="1" applyAlignment="1">
      <alignment horizontal="center" vertical="top" wrapText="1"/>
    </xf>
    <xf numFmtId="2" fontId="57" fillId="0" borderId="4155" xfId="0" applyNumberFormat="1" applyFont="1" applyBorder="1" applyAlignment="1">
      <alignment horizontal="center" vertical="top" wrapText="1"/>
    </xf>
    <xf numFmtId="2" fontId="57" fillId="0" borderId="4156" xfId="0" applyNumberFormat="1" applyFont="1" applyBorder="1" applyAlignment="1">
      <alignment horizontal="center" vertical="top" wrapText="1"/>
    </xf>
    <xf numFmtId="2" fontId="57" fillId="0" borderId="4157" xfId="0" applyNumberFormat="1" applyFont="1" applyBorder="1" applyAlignment="1">
      <alignment horizontal="center" vertical="top" wrapText="1"/>
    </xf>
    <xf numFmtId="2" fontId="57" fillId="0" borderId="4158" xfId="0" applyNumberFormat="1" applyFont="1" applyBorder="1" applyAlignment="1">
      <alignment horizontal="center" vertical="top" wrapText="1"/>
    </xf>
    <xf numFmtId="2" fontId="57" fillId="0" borderId="4127" xfId="0" applyNumberFormat="1" applyFont="1" applyBorder="1" applyAlignment="1">
      <alignment horizontal="center" vertical="top" wrapText="1"/>
    </xf>
    <xf numFmtId="2" fontId="57" fillId="0" borderId="4128" xfId="0" applyNumberFormat="1" applyFont="1" applyBorder="1" applyAlignment="1">
      <alignment horizontal="center" vertical="top" wrapText="1"/>
    </xf>
    <xf numFmtId="2" fontId="57" fillId="0" borderId="4129" xfId="0" applyNumberFormat="1" applyFont="1" applyBorder="1" applyAlignment="1">
      <alignment horizontal="center" vertical="top" wrapText="1"/>
    </xf>
    <xf numFmtId="2" fontId="57" fillId="0" borderId="4130" xfId="0" applyNumberFormat="1" applyFont="1" applyBorder="1" applyAlignment="1">
      <alignment horizontal="center" vertical="top" wrapText="1"/>
    </xf>
    <xf numFmtId="2" fontId="47" fillId="0" borderId="4098" xfId="0" applyNumberFormat="1" applyFont="1" applyBorder="1" applyAlignment="1">
      <alignment horizontal="center"/>
    </xf>
    <xf numFmtId="2" fontId="47" fillId="0" borderId="4099" xfId="0" applyNumberFormat="1" applyFont="1" applyBorder="1" applyAlignment="1">
      <alignment horizontal="center"/>
    </xf>
    <xf numFmtId="2" fontId="47" fillId="0" borderId="4100" xfId="0" applyNumberFormat="1" applyFont="1" applyBorder="1" applyAlignment="1">
      <alignment horizontal="center"/>
    </xf>
    <xf numFmtId="2" fontId="47" fillId="0" borderId="4101" xfId="0" applyNumberFormat="1" applyFont="1" applyBorder="1" applyAlignment="1">
      <alignment horizontal="center"/>
    </xf>
    <xf numFmtId="2" fontId="107" fillId="0" borderId="4103" xfId="0" applyNumberFormat="1" applyFont="1" applyBorder="1" applyAlignment="1">
      <alignment horizontal="center" vertical="top" wrapText="1"/>
    </xf>
    <xf numFmtId="2" fontId="107" fillId="0" borderId="4104" xfId="0" applyNumberFormat="1" applyFont="1" applyBorder="1" applyAlignment="1">
      <alignment horizontal="center" vertical="top" wrapText="1"/>
    </xf>
    <xf numFmtId="2" fontId="107" fillId="0" borderId="4105" xfId="0" applyNumberFormat="1" applyFont="1" applyBorder="1" applyAlignment="1">
      <alignment horizontal="center" vertical="top" wrapText="1"/>
    </xf>
    <xf numFmtId="2" fontId="57" fillId="0" borderId="4108" xfId="0" applyNumberFormat="1" applyFont="1" applyBorder="1" applyAlignment="1">
      <alignment horizontal="center" vertical="top" wrapText="1"/>
    </xf>
    <xf numFmtId="2" fontId="57" fillId="0" borderId="4109" xfId="0" applyNumberFormat="1" applyFont="1" applyBorder="1" applyAlignment="1">
      <alignment horizontal="center" vertical="top" wrapText="1"/>
    </xf>
    <xf numFmtId="2" fontId="57" fillId="0" borderId="4110" xfId="0" applyNumberFormat="1" applyFont="1" applyBorder="1" applyAlignment="1">
      <alignment horizontal="center" vertical="top" wrapText="1"/>
    </xf>
    <xf numFmtId="2" fontId="57" fillId="0" borderId="4111" xfId="0" applyNumberFormat="1" applyFont="1" applyBorder="1" applyAlignment="1">
      <alignment horizontal="center" vertical="top" wrapText="1"/>
    </xf>
    <xf numFmtId="2" fontId="41" fillId="0" borderId="4116" xfId="0" applyNumberFormat="1" applyFont="1" applyBorder="1" applyAlignment="1">
      <alignment horizontal="center" vertical="top" wrapText="1"/>
    </xf>
    <xf numFmtId="2" fontId="41" fillId="0" borderId="4117" xfId="0" applyNumberFormat="1" applyFont="1" applyBorder="1" applyAlignment="1">
      <alignment horizontal="center" vertical="top" wrapText="1"/>
    </xf>
    <xf numFmtId="2" fontId="41" fillId="0" borderId="4196" xfId="0" applyNumberFormat="1" applyFont="1" applyBorder="1" applyAlignment="1">
      <alignment horizontal="center" vertical="top" wrapText="1"/>
    </xf>
    <xf numFmtId="2" fontId="41" fillId="0" borderId="4197" xfId="0" applyNumberFormat="1" applyFont="1" applyBorder="1" applyAlignment="1">
      <alignment horizontal="center" vertical="top" wrapText="1"/>
    </xf>
    <xf numFmtId="2" fontId="41" fillId="0" borderId="4204" xfId="0" applyNumberFormat="1" applyFont="1" applyBorder="1" applyAlignment="1">
      <alignment horizontal="center" vertical="top" wrapText="1"/>
    </xf>
    <xf numFmtId="2" fontId="41" fillId="0" borderId="4205" xfId="0" applyNumberFormat="1" applyFont="1" applyBorder="1" applyAlignment="1">
      <alignment horizontal="center" vertical="top" wrapText="1"/>
    </xf>
    <xf numFmtId="2" fontId="41" fillId="0" borderId="4240" xfId="0" applyNumberFormat="1" applyFont="1" applyBorder="1" applyAlignment="1">
      <alignment horizontal="center" vertical="top" wrapText="1"/>
    </xf>
    <xf numFmtId="2" fontId="41" fillId="0" borderId="4241" xfId="0" applyNumberFormat="1" applyFont="1" applyBorder="1" applyAlignment="1">
      <alignment horizontal="center" vertical="top" wrapText="1"/>
    </xf>
    <xf numFmtId="2" fontId="41" fillId="0" borderId="4242" xfId="0" applyNumberFormat="1" applyFont="1" applyBorder="1" applyAlignment="1">
      <alignment horizontal="center" vertical="top" wrapText="1"/>
    </xf>
    <xf numFmtId="2" fontId="41" fillId="0" borderId="4243" xfId="0" applyNumberFormat="1" applyFont="1" applyBorder="1" applyAlignment="1">
      <alignment horizontal="center" vertical="top" wrapText="1"/>
    </xf>
    <xf numFmtId="2" fontId="41" fillId="0" borderId="4244" xfId="0" applyNumberFormat="1" applyFont="1" applyBorder="1" applyAlignment="1">
      <alignment horizontal="center" vertical="top" wrapText="1"/>
    </xf>
    <xf numFmtId="2" fontId="41" fillId="0" borderId="4153" xfId="0" applyNumberFormat="1" applyFont="1" applyBorder="1" applyAlignment="1">
      <alignment horizontal="center" vertical="top" wrapText="1"/>
    </xf>
    <xf numFmtId="2" fontId="41" fillId="0" borderId="4154" xfId="0" applyNumberFormat="1" applyFont="1" applyBorder="1" applyAlignment="1">
      <alignment horizontal="center" vertical="top" wrapText="1"/>
    </xf>
    <xf numFmtId="2" fontId="41" fillId="0" borderId="4135" xfId="0" applyNumberFormat="1" applyFont="1" applyBorder="1" applyAlignment="1">
      <alignment horizontal="center" vertical="top" wrapText="1"/>
    </xf>
    <xf numFmtId="2" fontId="41" fillId="0" borderId="4136" xfId="0" applyNumberFormat="1" applyFont="1" applyBorder="1" applyAlignment="1">
      <alignment horizontal="center" vertical="top" wrapText="1"/>
    </xf>
    <xf numFmtId="2" fontId="41" fillId="0" borderId="4122" xfId="0" applyNumberFormat="1" applyFont="1" applyBorder="1" applyAlignment="1">
      <alignment horizontal="center" vertical="top" wrapText="1"/>
    </xf>
    <xf numFmtId="2" fontId="41" fillId="0" borderId="4123" xfId="0" applyNumberFormat="1" applyFont="1" applyBorder="1" applyAlignment="1">
      <alignment horizontal="center" vertical="top" wrapText="1"/>
    </xf>
    <xf numFmtId="2" fontId="41" fillId="0" borderId="4212" xfId="0" applyNumberFormat="1" applyFont="1" applyBorder="1" applyAlignment="1">
      <alignment horizontal="center" vertical="top" wrapText="1"/>
    </xf>
    <xf numFmtId="2" fontId="41" fillId="0" borderId="4213" xfId="0" applyNumberFormat="1" applyFont="1" applyBorder="1" applyAlignment="1">
      <alignment horizontal="center" vertical="top" wrapText="1"/>
    </xf>
    <xf numFmtId="2" fontId="41" fillId="0" borderId="4188" xfId="0" applyNumberFormat="1" applyFont="1" applyBorder="1" applyAlignment="1">
      <alignment horizontal="center" vertical="top" wrapText="1"/>
    </xf>
    <xf numFmtId="2" fontId="41" fillId="0" borderId="4189" xfId="0" applyNumberFormat="1" applyFont="1" applyBorder="1" applyAlignment="1">
      <alignment horizontal="center" vertical="top" wrapText="1"/>
    </xf>
    <xf numFmtId="2" fontId="41" fillId="0" borderId="4131" xfId="0" applyNumberFormat="1" applyFont="1" applyBorder="1" applyAlignment="1">
      <alignment horizontal="center" vertical="top" wrapText="1"/>
    </xf>
    <xf numFmtId="2" fontId="41" fillId="0" borderId="4132" xfId="0" applyNumberFormat="1" applyFont="1" applyBorder="1" applyAlignment="1">
      <alignment horizontal="center" vertical="top" wrapText="1"/>
    </xf>
    <xf numFmtId="2" fontId="41" fillId="0" borderId="4206" xfId="0" applyNumberFormat="1" applyFont="1" applyBorder="1" applyAlignment="1">
      <alignment horizontal="center" vertical="top" wrapText="1"/>
    </xf>
    <xf numFmtId="2" fontId="41" fillId="0" borderId="4207" xfId="0" applyNumberFormat="1" applyFont="1" applyBorder="1" applyAlignment="1">
      <alignment horizontal="center" vertical="top" wrapText="1"/>
    </xf>
    <xf numFmtId="2" fontId="41" fillId="0" borderId="4220" xfId="0" applyNumberFormat="1" applyFont="1" applyBorder="1" applyAlignment="1">
      <alignment horizontal="center" vertical="top" wrapText="1"/>
    </xf>
    <xf numFmtId="2" fontId="41" fillId="0" borderId="4221" xfId="0" applyNumberFormat="1" applyFont="1" applyBorder="1" applyAlignment="1">
      <alignment horizontal="center" vertical="top" wrapText="1"/>
    </xf>
    <xf numFmtId="2" fontId="41" fillId="0" borderId="4120" xfId="0" applyNumberFormat="1" applyFont="1" applyBorder="1" applyAlignment="1">
      <alignment horizontal="center" vertical="top" wrapText="1"/>
    </xf>
    <xf numFmtId="2" fontId="41" fillId="0" borderId="4121" xfId="0" applyNumberFormat="1" applyFont="1" applyBorder="1" applyAlignment="1">
      <alignment horizontal="center" vertical="top" wrapText="1"/>
    </xf>
    <xf numFmtId="2" fontId="41" fillId="0" borderId="4149" xfId="0" applyNumberFormat="1" applyFont="1" applyBorder="1" applyAlignment="1">
      <alignment horizontal="center" vertical="top" wrapText="1"/>
    </xf>
    <xf numFmtId="2" fontId="41" fillId="0" borderId="4150" xfId="0" applyNumberFormat="1" applyFont="1" applyBorder="1" applyAlignment="1">
      <alignment horizontal="center" vertical="top" wrapText="1"/>
    </xf>
    <xf numFmtId="2" fontId="41" fillId="0" borderId="4194" xfId="0" applyNumberFormat="1" applyFont="1" applyBorder="1" applyAlignment="1">
      <alignment horizontal="center" vertical="top" wrapText="1"/>
    </xf>
    <xf numFmtId="2" fontId="41" fillId="0" borderId="4195" xfId="0" applyNumberFormat="1" applyFont="1" applyBorder="1" applyAlignment="1">
      <alignment horizontal="center" vertical="top" wrapText="1"/>
    </xf>
    <xf numFmtId="2" fontId="41" fillId="0" borderId="4230" xfId="0" applyNumberFormat="1" applyFont="1" applyBorder="1" applyAlignment="1">
      <alignment horizontal="center" vertical="top" wrapText="1"/>
    </xf>
    <xf numFmtId="2" fontId="41" fillId="0" borderId="4231" xfId="0" applyNumberFormat="1" applyFont="1" applyBorder="1" applyAlignment="1">
      <alignment horizontal="center" vertical="top" wrapText="1"/>
    </xf>
    <xf numFmtId="2" fontId="41" fillId="0" borderId="4232" xfId="0" applyNumberFormat="1" applyFont="1" applyBorder="1" applyAlignment="1">
      <alignment horizontal="center" vertical="top" wrapText="1"/>
    </xf>
    <xf numFmtId="2" fontId="41" fillId="0" borderId="4233" xfId="0" applyNumberFormat="1" applyFont="1" applyBorder="1" applyAlignment="1">
      <alignment horizontal="center" vertical="top" wrapText="1"/>
    </xf>
    <xf numFmtId="2" fontId="41" fillId="0" borderId="4234" xfId="0" applyNumberFormat="1" applyFont="1" applyBorder="1" applyAlignment="1">
      <alignment horizontal="center" vertical="top" wrapText="1"/>
    </xf>
    <xf numFmtId="2" fontId="102" fillId="0" borderId="4102" xfId="0" applyNumberFormat="1" applyFont="1" applyBorder="1" applyAlignment="1">
      <alignment horizontal="center" vertical="center" wrapText="1"/>
    </xf>
    <xf numFmtId="2" fontId="102" fillId="0" borderId="4181" xfId="0" applyNumberFormat="1" applyFont="1" applyBorder="1" applyAlignment="1">
      <alignment horizontal="center" vertical="center" wrapText="1"/>
    </xf>
    <xf numFmtId="2" fontId="102" fillId="0" borderId="4106" xfId="0" applyNumberFormat="1" applyFont="1" applyBorder="1" applyAlignment="1">
      <alignment horizontal="center" vertical="center" wrapText="1"/>
    </xf>
    <xf numFmtId="2" fontId="41" fillId="0" borderId="4141" xfId="0" applyNumberFormat="1" applyFont="1" applyBorder="1" applyAlignment="1">
      <alignment horizontal="center" vertical="top" wrapText="1"/>
    </xf>
    <xf numFmtId="2" fontId="41" fillId="0" borderId="4142" xfId="0" applyNumberFormat="1" applyFont="1" applyBorder="1" applyAlignment="1">
      <alignment horizontal="center" vertical="top" wrapText="1"/>
    </xf>
    <xf numFmtId="2" fontId="41" fillId="0" borderId="4214" xfId="0" applyNumberFormat="1" applyFont="1" applyBorder="1" applyAlignment="1">
      <alignment horizontal="center" vertical="top" wrapText="1"/>
    </xf>
    <xf numFmtId="2" fontId="41" fillId="0" borderId="4215" xfId="0" applyNumberFormat="1" applyFont="1" applyBorder="1" applyAlignment="1">
      <alignment horizontal="center" vertical="top" wrapText="1"/>
    </xf>
    <xf numFmtId="2" fontId="41" fillId="0" borderId="4235" xfId="0" applyNumberFormat="1" applyFont="1" applyBorder="1" applyAlignment="1">
      <alignment horizontal="center" vertical="top" wrapText="1"/>
    </xf>
    <xf numFmtId="2" fontId="41" fillId="0" borderId="4236" xfId="0" applyNumberFormat="1" applyFont="1" applyBorder="1" applyAlignment="1">
      <alignment horizontal="center" vertical="top" wrapText="1"/>
    </xf>
    <xf numFmtId="2" fontId="41" fillId="0" borderId="4237" xfId="0" applyNumberFormat="1" applyFont="1" applyBorder="1" applyAlignment="1">
      <alignment horizontal="center" vertical="top" wrapText="1"/>
    </xf>
    <xf numFmtId="2" fontId="41" fillId="0" borderId="4238" xfId="0" applyNumberFormat="1" applyFont="1" applyBorder="1" applyAlignment="1">
      <alignment horizontal="center" vertical="top" wrapText="1"/>
    </xf>
    <xf numFmtId="2" fontId="41" fillId="0" borderId="4239" xfId="0" applyNumberFormat="1" applyFont="1" applyBorder="1" applyAlignment="1">
      <alignment horizontal="center" vertical="top" wrapText="1"/>
    </xf>
    <xf numFmtId="2" fontId="41" fillId="0" borderId="4125" xfId="0" applyNumberFormat="1" applyFont="1" applyBorder="1" applyAlignment="1">
      <alignment horizontal="center" vertical="top" wrapText="1"/>
    </xf>
    <xf numFmtId="2" fontId="41" fillId="0" borderId="4126" xfId="0" applyNumberFormat="1" applyFont="1" applyBorder="1" applyAlignment="1">
      <alignment horizontal="center" vertical="top" wrapText="1"/>
    </xf>
    <xf numFmtId="2" fontId="41" fillId="0" borderId="4224" xfId="0" applyNumberFormat="1" applyFont="1" applyBorder="1" applyAlignment="1">
      <alignment horizontal="center" vertical="top" wrapText="1"/>
    </xf>
    <xf numFmtId="2" fontId="41" fillId="0" borderId="4225" xfId="0" applyNumberFormat="1" applyFont="1" applyBorder="1" applyAlignment="1">
      <alignment horizontal="center" vertical="top" wrapText="1"/>
    </xf>
    <xf numFmtId="2" fontId="41" fillId="0" borderId="4186" xfId="0" applyNumberFormat="1" applyFont="1" applyBorder="1" applyAlignment="1">
      <alignment horizontal="center" vertical="top" wrapText="1"/>
    </xf>
    <xf numFmtId="2" fontId="41" fillId="0" borderId="4187" xfId="0" applyNumberFormat="1" applyFont="1" applyBorder="1" applyAlignment="1">
      <alignment horizontal="center" vertical="top" wrapText="1"/>
    </xf>
    <xf numFmtId="0" fontId="7" fillId="0" borderId="4245" xfId="0" applyNumberFormat="1" applyFont="1" applyBorder="1" applyAlignment="1">
      <alignment horizontal="center" vertical="center"/>
    </xf>
    <xf numFmtId="0" fontId="7" fillId="0" borderId="4246" xfId="0" applyNumberFormat="1" applyFont="1" applyBorder="1" applyAlignment="1">
      <alignment horizontal="center" vertical="center"/>
    </xf>
    <xf numFmtId="0" fontId="7" fillId="0" borderId="4251" xfId="0" applyNumberFormat="1" applyFont="1" applyBorder="1" applyAlignment="1">
      <alignment horizontal="center" vertical="center"/>
    </xf>
    <xf numFmtId="0" fontId="7" fillId="0" borderId="4250" xfId="0" applyNumberFormat="1" applyFont="1" applyBorder="1" applyAlignment="1">
      <alignment horizontal="center" vertical="center"/>
    </xf>
    <xf numFmtId="0" fontId="7" fillId="0" borderId="4249" xfId="0" applyNumberFormat="1" applyFont="1" applyBorder="1" applyAlignment="1">
      <alignment horizontal="center" vertical="center"/>
    </xf>
    <xf numFmtId="0" fontId="7" fillId="0" borderId="4248" xfId="0" applyNumberFormat="1" applyFont="1" applyBorder="1" applyAlignment="1">
      <alignment horizontal="center" vertical="center"/>
    </xf>
    <xf numFmtId="0" fontId="7" fillId="0" borderId="4247" xfId="0" applyNumberFormat="1" applyFont="1" applyBorder="1" applyAlignment="1">
      <alignment horizontal="center" vertical="center"/>
    </xf>
    <xf numFmtId="0" fontId="111" fillId="0" borderId="4252" xfId="0" applyNumberFormat="1" applyFont="1" applyBorder="1" applyAlignment="1">
      <alignment horizontal="center"/>
    </xf>
    <xf numFmtId="0" fontId="111" fillId="0" borderId="4253" xfId="0" applyNumberFormat="1" applyFont="1" applyBorder="1" applyAlignment="1">
      <alignment horizontal="center"/>
    </xf>
    <xf numFmtId="0" fontId="111" fillId="0" borderId="4254" xfId="0" applyNumberFormat="1" applyFont="1" applyBorder="1" applyAlignment="1">
      <alignment horizontal="center"/>
    </xf>
    <xf numFmtId="0" fontId="111" fillId="0" borderId="4255" xfId="0" applyNumberFormat="1" applyFont="1" applyBorder="1" applyAlignment="1">
      <alignment horizontal="center"/>
    </xf>
    <xf numFmtId="0" fontId="111" fillId="0" borderId="4256" xfId="0" applyNumberFormat="1" applyFont="1" applyBorder="1" applyAlignment="1">
      <alignment horizontal="center"/>
    </xf>
    <xf numFmtId="0" fontId="111" fillId="0" borderId="4257" xfId="0" applyNumberFormat="1" applyFont="1" applyBorder="1" applyAlignment="1">
      <alignment horizontal="center"/>
    </xf>
    <xf numFmtId="0" fontId="111" fillId="0" borderId="4258" xfId="0" applyNumberFormat="1" applyFont="1" applyBorder="1" applyAlignment="1">
      <alignment horizontal="center"/>
    </xf>
    <xf numFmtId="0" fontId="111" fillId="0" borderId="4259" xfId="0" applyNumberFormat="1" applyFont="1" applyBorder="1" applyAlignment="1">
      <alignment horizontal="center"/>
    </xf>
    <xf numFmtId="0" fontId="111" fillId="0" borderId="4266" xfId="0" applyNumberFormat="1" applyFont="1" applyBorder="1" applyAlignment="1">
      <alignment horizontal="center"/>
    </xf>
    <xf numFmtId="0" fontId="111" fillId="0" borderId="4267" xfId="0" applyNumberFormat="1" applyFont="1" applyBorder="1" applyAlignment="1">
      <alignment horizontal="center"/>
    </xf>
    <xf numFmtId="0" fontId="111" fillId="0" borderId="4268" xfId="0" applyNumberFormat="1" applyFont="1" applyBorder="1" applyAlignment="1">
      <alignment horizontal="center"/>
    </xf>
    <xf numFmtId="0" fontId="111" fillId="0" borderId="4269" xfId="0" applyNumberFormat="1" applyFont="1" applyBorder="1" applyAlignment="1">
      <alignment horizontal="center"/>
    </xf>
    <xf numFmtId="0" fontId="111" fillId="0" borderId="4270" xfId="0" applyNumberFormat="1" applyFont="1" applyBorder="1" applyAlignment="1">
      <alignment horizontal="center"/>
    </xf>
    <xf numFmtId="0" fontId="111" fillId="0" borderId="4271" xfId="0" applyNumberFormat="1" applyFont="1" applyBorder="1" applyAlignment="1">
      <alignment horizontal="center"/>
    </xf>
    <xf numFmtId="0" fontId="111" fillId="0" borderId="4272" xfId="0" applyNumberFormat="1" applyFont="1" applyBorder="1" applyAlignment="1">
      <alignment horizontal="center"/>
    </xf>
    <xf numFmtId="0" fontId="111" fillId="0" borderId="4273" xfId="0" applyNumberFormat="1" applyFont="1" applyBorder="1" applyAlignment="1">
      <alignment horizontal="center"/>
    </xf>
    <xf numFmtId="0" fontId="111" fillId="0" borderId="4274" xfId="0" applyNumberFormat="1" applyFont="1" applyBorder="1" applyAlignment="1">
      <alignment horizontal="center"/>
    </xf>
    <xf numFmtId="0" fontId="111" fillId="0" borderId="4275" xfId="0" applyNumberFormat="1" applyFont="1" applyBorder="1" applyAlignment="1">
      <alignment horizontal="center"/>
    </xf>
    <xf numFmtId="0" fontId="111" fillId="0" borderId="4276" xfId="0" applyNumberFormat="1" applyFont="1" applyBorder="1" applyAlignment="1">
      <alignment horizontal="center"/>
    </xf>
    <xf numFmtId="0" fontId="111" fillId="0" borderId="4277" xfId="0" applyNumberFormat="1" applyFont="1" applyBorder="1" applyAlignment="1">
      <alignment horizontal="center"/>
    </xf>
    <xf numFmtId="0" fontId="113" fillId="0" borderId="0" xfId="0" applyNumberFormat="1" applyFont="1" applyAlignment="1">
      <alignment horizontal="center" vertical="center"/>
    </xf>
    <xf numFmtId="0" fontId="115" fillId="0" borderId="0" xfId="0" applyNumberFormat="1" applyFont="1" applyAlignment="1">
      <alignment horizontal="center" vertical="center"/>
    </xf>
    <xf numFmtId="0" fontId="116" fillId="0" borderId="0" xfId="0" applyNumberFormat="1" applyFont="1" applyAlignment="1">
      <alignment horizontal="center" vertical="center" wrapText="1"/>
    </xf>
    <xf numFmtId="169" fontId="117" fillId="0" borderId="0" xfId="0" applyNumberFormat="1" applyFont="1" applyAlignment="1">
      <alignment horizontal="left" vertical="center" indent="3"/>
    </xf>
    <xf numFmtId="0" fontId="121" fillId="0" borderId="0" xfId="0" applyNumberFormat="1" applyFont="1" applyAlignment="1">
      <alignment horizontal="left"/>
    </xf>
    <xf numFmtId="0" fontId="121" fillId="0" borderId="0" xfId="0" applyNumberFormat="1" applyFont="1" applyAlignment="1">
      <alignment horizontal="left" wrapText="1"/>
    </xf>
    <xf numFmtId="0" fontId="121" fillId="0" borderId="0" xfId="0" applyNumberFormat="1" applyFont="1" applyAlignment="1">
      <alignment horizontal="left" vertical="center" wrapText="1"/>
    </xf>
    <xf numFmtId="0" fontId="122" fillId="0" borderId="4286" xfId="0" applyNumberFormat="1" applyFont="1" applyBorder="1" applyAlignment="1">
      <alignment horizontal="center" vertical="center"/>
    </xf>
    <xf numFmtId="0" fontId="122" fillId="0" borderId="4287" xfId="0" applyNumberFormat="1" applyFont="1" applyBorder="1" applyAlignment="1">
      <alignment horizontal="center" vertical="center"/>
    </xf>
    <xf numFmtId="0" fontId="122" fillId="0" borderId="4288" xfId="0" applyNumberFormat="1" applyFont="1" applyBorder="1" applyAlignment="1">
      <alignment horizontal="center" vertical="center"/>
    </xf>
    <xf numFmtId="0" fontId="122" fillId="0" borderId="4289" xfId="0" applyNumberFormat="1" applyFont="1" applyBorder="1" applyAlignment="1">
      <alignment horizontal="center" vertical="center"/>
    </xf>
    <xf numFmtId="0" fontId="122" fillId="0" borderId="4290" xfId="0" applyNumberFormat="1" applyFont="1" applyBorder="1" applyAlignment="1">
      <alignment horizontal="center" vertical="center"/>
    </xf>
    <xf numFmtId="0" fontId="122" fillId="0" borderId="4291" xfId="0" applyNumberFormat="1" applyFont="1" applyBorder="1" applyAlignment="1">
      <alignment horizontal="center" vertical="center"/>
    </xf>
    <xf numFmtId="0" fontId="122" fillId="0" borderId="1032" xfId="0" applyNumberFormat="1" applyFont="1" applyBorder="1" applyAlignment="1">
      <alignment horizontal="center" vertical="center" wrapText="1"/>
    </xf>
    <xf numFmtId="0" fontId="122" fillId="0" borderId="4307" xfId="0" applyNumberFormat="1" applyFont="1" applyBorder="1" applyAlignment="1">
      <alignment horizontal="center" vertical="center" wrapText="1"/>
    </xf>
    <xf numFmtId="0" fontId="122" fillId="0" borderId="1082" xfId="0" applyNumberFormat="1" applyFont="1" applyBorder="1" applyAlignment="1">
      <alignment horizontal="center" vertical="center" wrapText="1"/>
    </xf>
    <xf numFmtId="0" fontId="122" fillId="0" borderId="4306" xfId="0" applyNumberFormat="1" applyFont="1" applyBorder="1" applyAlignment="1">
      <alignment horizontal="center" vertical="center" wrapText="1"/>
    </xf>
    <xf numFmtId="166" fontId="43" fillId="0" borderId="1317" xfId="0" applyNumberFormat="1" applyFont="1" applyBorder="1" applyAlignment="1">
      <alignment horizontal="center" vertical="center" wrapText="1"/>
    </xf>
    <xf numFmtId="166" fontId="43" fillId="0" borderId="0" xfId="0" applyNumberFormat="1" applyFont="1" applyAlignment="1">
      <alignment horizontal="center" vertical="center" wrapText="1"/>
    </xf>
    <xf numFmtId="166" fontId="43" fillId="0" borderId="4312" xfId="0" applyNumberFormat="1" applyFont="1" applyBorder="1" applyAlignment="1">
      <alignment horizontal="center" vertical="center" wrapText="1"/>
    </xf>
    <xf numFmtId="0" fontId="122" fillId="0" borderId="4305" xfId="0" applyNumberFormat="1" applyFont="1" applyBorder="1" applyAlignment="1">
      <alignment horizontal="center" vertical="center" wrapText="1"/>
    </xf>
    <xf numFmtId="0" fontId="122" fillId="0" borderId="4281" xfId="0" applyNumberFormat="1" applyFont="1" applyBorder="1" applyAlignment="1">
      <alignment horizontal="center" vertical="center" wrapText="1"/>
    </xf>
    <xf numFmtId="0" fontId="122" fillId="0" borderId="4282" xfId="0" applyNumberFormat="1" applyFont="1" applyBorder="1" applyAlignment="1">
      <alignment horizontal="center" vertical="center" wrapText="1"/>
    </xf>
    <xf numFmtId="0" fontId="122" fillId="0" borderId="4283" xfId="0" applyNumberFormat="1" applyFont="1" applyBorder="1" applyAlignment="1">
      <alignment horizontal="center" vertical="center" wrapText="1"/>
    </xf>
    <xf numFmtId="0" fontId="122" fillId="0" borderId="4284" xfId="0" applyNumberFormat="1" applyFont="1" applyBorder="1" applyAlignment="1">
      <alignment horizontal="center" vertical="center" wrapText="1"/>
    </xf>
    <xf numFmtId="0" fontId="122" fillId="0" borderId="4285" xfId="0" applyNumberFormat="1" applyFont="1" applyBorder="1" applyAlignment="1">
      <alignment horizontal="center" vertical="center" wrapText="1"/>
    </xf>
    <xf numFmtId="0" fontId="122" fillId="0" borderId="4304" xfId="0" applyNumberFormat="1" applyFont="1" applyBorder="1" applyAlignment="1">
      <alignment horizontal="center" vertical="center" wrapText="1"/>
    </xf>
    <xf numFmtId="0" fontId="122" fillId="0" borderId="4303" xfId="0" applyNumberFormat="1" applyFont="1" applyBorder="1" applyAlignment="1">
      <alignment horizontal="center" vertical="center" wrapText="1"/>
    </xf>
    <xf numFmtId="0" fontId="122" fillId="0" borderId="4302" xfId="0" applyNumberFormat="1" applyFont="1" applyBorder="1" applyAlignment="1">
      <alignment horizontal="center" vertical="center" wrapText="1"/>
    </xf>
    <xf numFmtId="0" fontId="122" fillId="0" borderId="4280" xfId="0" applyNumberFormat="1" applyFont="1" applyBorder="1" applyAlignment="1">
      <alignment horizontal="center" vertical="center" wrapText="1"/>
    </xf>
    <xf numFmtId="0" fontId="122" fillId="0" borderId="4300" xfId="0" applyNumberFormat="1" applyFont="1" applyBorder="1" applyAlignment="1">
      <alignment horizontal="center" vertical="center" wrapText="1"/>
    </xf>
    <xf numFmtId="0" fontId="122" fillId="0" borderId="4301" xfId="0" applyNumberFormat="1" applyFont="1" applyBorder="1" applyAlignment="1">
      <alignment horizontal="center" vertical="center" wrapText="1"/>
    </xf>
    <xf numFmtId="0" fontId="122" fillId="0" borderId="4279" xfId="0" applyNumberFormat="1" applyFont="1" applyBorder="1" applyAlignment="1">
      <alignment horizontal="center" vertical="center" wrapText="1"/>
    </xf>
    <xf numFmtId="0" fontId="122" fillId="0" borderId="4298" xfId="0" applyNumberFormat="1" applyFont="1" applyBorder="1" applyAlignment="1">
      <alignment horizontal="center" vertical="center" wrapText="1"/>
    </xf>
    <xf numFmtId="0" fontId="122" fillId="0" borderId="4299" xfId="0" applyNumberFormat="1" applyFont="1" applyBorder="1" applyAlignment="1">
      <alignment horizontal="center" vertical="center" wrapText="1"/>
    </xf>
    <xf numFmtId="0" fontId="122" fillId="0" borderId="4278" xfId="0" applyNumberFormat="1" applyFont="1" applyBorder="1" applyAlignment="1">
      <alignment horizontal="center" vertical="center" wrapText="1"/>
    </xf>
    <xf numFmtId="0" fontId="122" fillId="0" borderId="4296" xfId="0" applyNumberFormat="1" applyFont="1" applyBorder="1" applyAlignment="1">
      <alignment horizontal="center" vertical="center" wrapText="1"/>
    </xf>
    <xf numFmtId="0" fontId="122" fillId="0" borderId="4297" xfId="0" applyNumberFormat="1" applyFont="1" applyBorder="1" applyAlignment="1">
      <alignment horizontal="center" vertical="center" wrapText="1"/>
    </xf>
    <xf numFmtId="0" fontId="122" fillId="0" borderId="4295" xfId="0" applyNumberFormat="1" applyFont="1" applyBorder="1" applyAlignment="1">
      <alignment horizontal="center" vertical="center" wrapText="1"/>
    </xf>
    <xf numFmtId="0" fontId="122" fillId="0" borderId="4311" xfId="0" applyNumberFormat="1" applyFont="1" applyBorder="1" applyAlignment="1">
      <alignment horizontal="center" vertical="center" wrapText="1"/>
    </xf>
    <xf numFmtId="0" fontId="121" fillId="0" borderId="0" xfId="0" applyNumberFormat="1" applyFont="1" applyAlignment="1">
      <alignment horizontal="left" vertical="top" wrapText="1"/>
    </xf>
    <xf numFmtId="0" fontId="123" fillId="0" borderId="0" xfId="0" applyNumberFormat="1" applyFont="1" applyAlignment="1">
      <alignment horizontal="left" wrapText="1"/>
    </xf>
    <xf numFmtId="0" fontId="122" fillId="0" borderId="4294" xfId="0" applyNumberFormat="1" applyFont="1" applyBorder="1" applyAlignment="1">
      <alignment horizontal="center" vertical="center" wrapText="1"/>
    </xf>
    <xf numFmtId="0" fontId="122" fillId="0" borderId="4310" xfId="0" applyNumberFormat="1" applyFont="1" applyBorder="1" applyAlignment="1">
      <alignment horizontal="center" vertical="center" wrapText="1"/>
    </xf>
    <xf numFmtId="0" fontId="61" fillId="0" borderId="1082" xfId="0" applyNumberFormat="1" applyFont="1" applyBorder="1" applyAlignment="1">
      <alignment horizontal="center" vertical="center" wrapText="1"/>
    </xf>
    <xf numFmtId="0" fontId="61" fillId="0" borderId="4314" xfId="0" applyNumberFormat="1" applyFont="1" applyBorder="1" applyAlignment="1">
      <alignment horizontal="center" vertical="center" wrapText="1"/>
    </xf>
    <xf numFmtId="0" fontId="122" fillId="0" borderId="4293" xfId="0" applyNumberFormat="1" applyFont="1" applyBorder="1" applyAlignment="1">
      <alignment horizontal="center" vertical="center" wrapText="1"/>
    </xf>
    <xf numFmtId="0" fontId="122" fillId="0" borderId="4309" xfId="0" applyNumberFormat="1" applyFont="1" applyBorder="1" applyAlignment="1">
      <alignment horizontal="center" vertical="center" wrapText="1"/>
    </xf>
    <xf numFmtId="0" fontId="61" fillId="0" borderId="4320" xfId="0" applyNumberFormat="1" applyFont="1" applyBorder="1" applyAlignment="1">
      <alignment horizontal="center" vertical="center" wrapText="1"/>
    </xf>
    <xf numFmtId="0" fontId="61" fillId="0" borderId="1031" xfId="0" applyNumberFormat="1" applyFont="1" applyBorder="1" applyAlignment="1">
      <alignment horizontal="center" vertical="center" wrapText="1"/>
    </xf>
    <xf numFmtId="0" fontId="61" fillId="0" borderId="4357" xfId="0" applyNumberFormat="1" applyFont="1" applyBorder="1" applyAlignment="1">
      <alignment horizontal="center" vertical="center" wrapText="1"/>
    </xf>
    <xf numFmtId="0" fontId="61" fillId="0" borderId="4323" xfId="0" applyNumberFormat="1" applyFont="1" applyBorder="1" applyAlignment="1">
      <alignment horizontal="center" vertical="center" wrapText="1"/>
    </xf>
    <xf numFmtId="0" fontId="61" fillId="0" borderId="4355" xfId="0" applyNumberFormat="1" applyFont="1" applyBorder="1" applyAlignment="1">
      <alignment horizontal="center" vertical="center" wrapText="1"/>
    </xf>
    <xf numFmtId="0" fontId="61" fillId="0" borderId="4345" xfId="0" applyNumberFormat="1" applyFont="1" applyBorder="1" applyAlignment="1">
      <alignment horizontal="center" vertical="center" wrapText="1"/>
    </xf>
    <xf numFmtId="0" fontId="61" fillId="0" borderId="4317" xfId="0" applyNumberFormat="1" applyFont="1" applyBorder="1" applyAlignment="1">
      <alignment horizontal="center" vertical="center" wrapText="1"/>
    </xf>
    <xf numFmtId="0" fontId="61" fillId="0" borderId="4333" xfId="0" applyNumberFormat="1" applyFont="1" applyBorder="1" applyAlignment="1">
      <alignment horizontal="center" vertical="center" wrapText="1"/>
    </xf>
    <xf numFmtId="0" fontId="61" fillId="0" borderId="4351" xfId="0" applyNumberFormat="1" applyFont="1" applyBorder="1" applyAlignment="1">
      <alignment horizontal="center" vertical="center" wrapText="1"/>
    </xf>
    <xf numFmtId="0" fontId="61" fillId="0" borderId="4327" xfId="0" applyNumberFormat="1" applyFont="1" applyBorder="1" applyAlignment="1">
      <alignment horizontal="center" vertical="center" wrapText="1"/>
    </xf>
    <xf numFmtId="0" fontId="61" fillId="0" borderId="4315" xfId="0" applyNumberFormat="1" applyFont="1" applyBorder="1" applyAlignment="1">
      <alignment horizontal="center" vertical="center" wrapText="1"/>
    </xf>
    <xf numFmtId="0" fontId="61" fillId="0" borderId="4353" xfId="0" applyNumberFormat="1" applyFont="1" applyBorder="1" applyAlignment="1">
      <alignment horizontal="center" vertical="center" wrapText="1"/>
    </xf>
    <xf numFmtId="0" fontId="61" fillId="0" borderId="4349" xfId="0" applyNumberFormat="1" applyFont="1" applyBorder="1" applyAlignment="1">
      <alignment horizontal="center" vertical="center" wrapText="1"/>
    </xf>
    <xf numFmtId="0" fontId="61" fillId="0" borderId="4335" xfId="0" applyNumberFormat="1" applyFont="1" applyBorder="1" applyAlignment="1">
      <alignment horizontal="center" vertical="center" wrapText="1"/>
    </xf>
    <xf numFmtId="0" fontId="61" fillId="0" borderId="4343" xfId="0" applyNumberFormat="1" applyFont="1" applyBorder="1" applyAlignment="1">
      <alignment horizontal="center" vertical="center" wrapText="1"/>
    </xf>
    <xf numFmtId="0" fontId="61" fillId="0" borderId="4361" xfId="0" applyNumberFormat="1" applyFont="1" applyBorder="1" applyAlignment="1">
      <alignment horizontal="center" vertical="center" wrapText="1"/>
    </xf>
    <xf numFmtId="0" fontId="61" fillId="0" borderId="4329" xfId="0" applyNumberFormat="1" applyFont="1" applyBorder="1" applyAlignment="1">
      <alignment horizontal="center" vertical="center" wrapText="1"/>
    </xf>
    <xf numFmtId="0" fontId="61" fillId="0" borderId="4319" xfId="0" applyNumberFormat="1" applyFont="1" applyBorder="1" applyAlignment="1">
      <alignment horizontal="center" vertical="center" wrapText="1"/>
    </xf>
    <xf numFmtId="0" fontId="61" fillId="0" borderId="4341" xfId="0" applyNumberFormat="1" applyFont="1" applyBorder="1" applyAlignment="1">
      <alignment horizontal="center" vertical="center" wrapText="1"/>
    </xf>
    <xf numFmtId="0" fontId="61" fillId="0" borderId="4321" xfId="0" applyNumberFormat="1" applyFont="1" applyBorder="1" applyAlignment="1">
      <alignment horizontal="center" vertical="center" wrapText="1"/>
    </xf>
    <xf numFmtId="0" fontId="119" fillId="0" borderId="4363" xfId="0" applyNumberFormat="1" applyFont="1" applyBorder="1" applyAlignment="1">
      <alignment horizontal="center" vertical="center"/>
    </xf>
    <xf numFmtId="0" fontId="119" fillId="0" borderId="4364" xfId="0" applyNumberFormat="1" applyFont="1" applyBorder="1" applyAlignment="1">
      <alignment horizontal="center" vertical="center"/>
    </xf>
    <xf numFmtId="0" fontId="119" fillId="0" borderId="4385" xfId="0" applyNumberFormat="1" applyFont="1" applyBorder="1" applyAlignment="1">
      <alignment horizontal="center" vertical="center"/>
    </xf>
    <xf numFmtId="0" fontId="119" fillId="0" borderId="4386" xfId="0" applyNumberFormat="1" applyFont="1" applyBorder="1" applyAlignment="1">
      <alignment horizontal="center" vertical="center"/>
    </xf>
    <xf numFmtId="0" fontId="119" fillId="0" borderId="4389" xfId="0" applyNumberFormat="1" applyFont="1" applyBorder="1" applyAlignment="1">
      <alignment horizontal="center" vertical="center"/>
    </xf>
    <xf numFmtId="0" fontId="119" fillId="0" borderId="4390" xfId="0" applyNumberFormat="1" applyFont="1" applyBorder="1" applyAlignment="1">
      <alignment horizontal="center" vertical="center"/>
    </xf>
    <xf numFmtId="0" fontId="119" fillId="0" borderId="4393" xfId="0" applyNumberFormat="1" applyFont="1" applyBorder="1" applyAlignment="1">
      <alignment horizontal="center" vertical="center"/>
    </xf>
    <xf numFmtId="0" fontId="119" fillId="0" borderId="4394" xfId="0" applyNumberFormat="1" applyFont="1" applyBorder="1" applyAlignment="1">
      <alignment horizontal="center" vertical="center"/>
    </xf>
    <xf numFmtId="0" fontId="119" fillId="0" borderId="4397" xfId="0" applyNumberFormat="1" applyFont="1" applyBorder="1" applyAlignment="1">
      <alignment horizontal="center" vertical="center"/>
    </xf>
    <xf numFmtId="0" fontId="119" fillId="0" borderId="4398" xfId="0" applyNumberFormat="1" applyFont="1" applyBorder="1" applyAlignment="1">
      <alignment horizontal="center" vertical="center"/>
    </xf>
    <xf numFmtId="0" fontId="119" fillId="0" borderId="4400" xfId="0" applyNumberFormat="1" applyFont="1" applyBorder="1" applyAlignment="1">
      <alignment horizontal="center" vertical="center"/>
    </xf>
    <xf numFmtId="0" fontId="119" fillId="0" borderId="4401" xfId="0" applyNumberFormat="1" applyFont="1" applyBorder="1" applyAlignment="1">
      <alignment horizontal="center" vertical="center"/>
    </xf>
    <xf numFmtId="0" fontId="119" fillId="0" borderId="4403" xfId="0" applyNumberFormat="1" applyFont="1" applyBorder="1" applyAlignment="1">
      <alignment horizontal="center" vertical="center"/>
    </xf>
    <xf numFmtId="0" fontId="119" fillId="0" borderId="4404" xfId="0" applyNumberFormat="1" applyFont="1" applyBorder="1" applyAlignment="1">
      <alignment horizontal="center" vertical="center"/>
    </xf>
    <xf numFmtId="0" fontId="119" fillId="0" borderId="4407" xfId="0" applyNumberFormat="1" applyFont="1" applyBorder="1" applyAlignment="1">
      <alignment horizontal="center" vertical="center"/>
    </xf>
    <xf numFmtId="0" fontId="119" fillId="0" borderId="4408" xfId="0" applyNumberFormat="1" applyFont="1" applyBorder="1" applyAlignment="1">
      <alignment horizontal="center" vertical="center"/>
    </xf>
    <xf numFmtId="0" fontId="119" fillId="0" borderId="4410" xfId="0" applyNumberFormat="1" applyFont="1" applyBorder="1" applyAlignment="1">
      <alignment horizontal="center" vertical="center"/>
    </xf>
    <xf numFmtId="0" fontId="119" fillId="0" borderId="4411" xfId="0" applyNumberFormat="1" applyFont="1" applyBorder="1" applyAlignment="1">
      <alignment horizontal="center" vertical="center"/>
    </xf>
    <xf numFmtId="0" fontId="119" fillId="0" borderId="4413" xfId="0" applyNumberFormat="1" applyFont="1" applyBorder="1" applyAlignment="1">
      <alignment horizontal="center" vertical="center"/>
    </xf>
    <xf numFmtId="0" fontId="119" fillId="0" borderId="4414" xfId="0" applyNumberFormat="1" applyFont="1" applyBorder="1" applyAlignment="1">
      <alignment horizontal="center" vertical="center"/>
    </xf>
    <xf numFmtId="0" fontId="119" fillId="0" borderId="4501" xfId="0" applyNumberFormat="1" applyFont="1" applyBorder="1" applyAlignment="1">
      <alignment horizontal="center" vertical="center"/>
    </xf>
    <xf numFmtId="0" fontId="119" fillId="0" borderId="4502" xfId="0" applyNumberFormat="1" applyFont="1" applyBorder="1" applyAlignment="1">
      <alignment horizontal="center" vertical="center"/>
    </xf>
    <xf numFmtId="0" fontId="119" fillId="0" borderId="4523" xfId="0" applyNumberFormat="1" applyFont="1" applyBorder="1" applyAlignment="1">
      <alignment horizontal="center" vertical="center"/>
    </xf>
    <xf numFmtId="0" fontId="119" fillId="0" borderId="4524" xfId="0" applyNumberFormat="1" applyFont="1" applyBorder="1" applyAlignment="1">
      <alignment horizontal="center" vertical="center"/>
    </xf>
    <xf numFmtId="0" fontId="119" fillId="0" borderId="4526" xfId="0" applyNumberFormat="1" applyFont="1" applyBorder="1" applyAlignment="1">
      <alignment horizontal="center" vertical="center"/>
    </xf>
    <xf numFmtId="0" fontId="119" fillId="0" borderId="4527" xfId="0" applyNumberFormat="1" applyFont="1" applyBorder="1" applyAlignment="1">
      <alignment horizontal="center" vertical="center"/>
    </xf>
    <xf numFmtId="0" fontId="119" fillId="0" borderId="4435" xfId="0" applyNumberFormat="1" applyFont="1" applyBorder="1" applyAlignment="1">
      <alignment horizontal="center" vertical="center"/>
    </xf>
    <xf numFmtId="0" fontId="119" fillId="0" borderId="4436" xfId="0" applyNumberFormat="1" applyFont="1" applyBorder="1" applyAlignment="1">
      <alignment horizontal="center" vertical="center"/>
    </xf>
    <xf numFmtId="0" fontId="119" fillId="0" borderId="4457" xfId="0" applyNumberFormat="1" applyFont="1" applyBorder="1" applyAlignment="1">
      <alignment horizontal="center" vertical="center"/>
    </xf>
    <xf numFmtId="0" fontId="119" fillId="0" borderId="4458" xfId="0" applyNumberFormat="1" applyFont="1" applyBorder="1" applyAlignment="1">
      <alignment horizontal="center" vertical="center"/>
    </xf>
    <xf numFmtId="0" fontId="119" fillId="0" borderId="4460" xfId="0" applyNumberFormat="1" applyFont="1" applyBorder="1" applyAlignment="1">
      <alignment horizontal="center" vertical="center"/>
    </xf>
    <xf numFmtId="0" fontId="119" fillId="0" borderId="4461" xfId="0" applyNumberFormat="1" applyFont="1" applyBorder="1" applyAlignment="1">
      <alignment horizontal="center" vertical="center"/>
    </xf>
    <xf numFmtId="0" fontId="119" fillId="0" borderId="4463" xfId="0" applyNumberFormat="1" applyFont="1" applyBorder="1" applyAlignment="1">
      <alignment horizontal="center" vertical="center"/>
    </xf>
    <xf numFmtId="0" fontId="119" fillId="0" borderId="4464" xfId="0" applyNumberFormat="1" applyFont="1" applyBorder="1" applyAlignment="1">
      <alignment horizontal="center" vertical="center"/>
    </xf>
    <xf numFmtId="0" fontId="119" fillId="0" borderId="4467" xfId="0" applyNumberFormat="1" applyFont="1" applyBorder="1" applyAlignment="1">
      <alignment horizontal="center" vertical="center"/>
    </xf>
    <xf numFmtId="0" fontId="119" fillId="0" borderId="4468" xfId="0" applyNumberFormat="1" applyFont="1" applyBorder="1" applyAlignment="1">
      <alignment horizontal="center" vertical="center"/>
    </xf>
    <xf numFmtId="0" fontId="119" fillId="0" borderId="4470" xfId="0" applyNumberFormat="1" applyFont="1" applyBorder="1" applyAlignment="1">
      <alignment horizontal="center" vertical="center"/>
    </xf>
    <xf numFmtId="0" fontId="119" fillId="0" borderId="4471" xfId="0" applyNumberFormat="1" applyFont="1" applyBorder="1" applyAlignment="1">
      <alignment horizontal="center" vertical="center"/>
    </xf>
    <xf numFmtId="0" fontId="119" fillId="0" borderId="4473" xfId="0" applyNumberFormat="1" applyFont="1" applyBorder="1" applyAlignment="1">
      <alignment horizontal="center" vertical="center"/>
    </xf>
    <xf numFmtId="0" fontId="119" fillId="0" borderId="4474" xfId="0" applyNumberFormat="1" applyFont="1" applyBorder="1" applyAlignment="1">
      <alignment horizontal="center" vertical="center"/>
    </xf>
    <xf numFmtId="0" fontId="119" fillId="0" borderId="4476" xfId="0" applyNumberFormat="1" applyFont="1" applyBorder="1" applyAlignment="1">
      <alignment horizontal="center" vertical="center"/>
    </xf>
    <xf numFmtId="0" fontId="119" fillId="0" borderId="4477" xfId="0" applyNumberFormat="1" applyFont="1" applyBorder="1" applyAlignment="1">
      <alignment horizontal="center" vertical="center"/>
    </xf>
    <xf numFmtId="0" fontId="119" fillId="0" borderId="4479" xfId="0" applyNumberFormat="1" applyFont="1" applyBorder="1" applyAlignment="1">
      <alignment horizontal="center" vertical="center"/>
    </xf>
    <xf numFmtId="0" fontId="119" fillId="0" borderId="4480" xfId="0" applyNumberFormat="1" applyFont="1" applyBorder="1" applyAlignment="1">
      <alignment horizontal="center" vertical="center"/>
    </xf>
    <xf numFmtId="0" fontId="122" fillId="0" borderId="0" xfId="0" applyNumberFormat="1" applyFont="1" applyAlignment="1">
      <alignment horizontal="left"/>
    </xf>
    <xf numFmtId="0" fontId="61" fillId="0" borderId="4362" xfId="0" applyNumberFormat="1" applyFont="1" applyBorder="1" applyAlignment="1">
      <alignment horizontal="center" vertical="center" wrapText="1"/>
    </xf>
    <xf numFmtId="0" fontId="61" fillId="0" borderId="4338" xfId="0" applyNumberFormat="1" applyFont="1" applyBorder="1" applyAlignment="1">
      <alignment horizontal="center" vertical="center" wrapText="1"/>
    </xf>
    <xf numFmtId="0" fontId="61" fillId="0" borderId="4322" xfId="0" applyNumberFormat="1" applyFont="1" applyBorder="1" applyAlignment="1">
      <alignment horizontal="center" vertical="center" wrapText="1"/>
    </xf>
    <xf numFmtId="0" fontId="61" fillId="0" borderId="4328" xfId="0" applyNumberFormat="1" applyFont="1" applyBorder="1" applyAlignment="1">
      <alignment horizontal="center" vertical="center" wrapText="1"/>
    </xf>
    <xf numFmtId="0" fontId="61" fillId="0" borderId="4334" xfId="0" applyNumberFormat="1" applyFont="1" applyBorder="1" applyAlignment="1">
      <alignment horizontal="center" vertical="center" wrapText="1"/>
    </xf>
    <xf numFmtId="0" fontId="61" fillId="0" borderId="4342" xfId="0" applyNumberFormat="1" applyFont="1" applyBorder="1" applyAlignment="1">
      <alignment horizontal="center" vertical="center" wrapText="1"/>
    </xf>
    <xf numFmtId="0" fontId="61" fillId="0" borderId="4348" xfId="0" applyNumberFormat="1" applyFont="1" applyBorder="1" applyAlignment="1">
      <alignment horizontal="center" vertical="center" wrapText="1"/>
    </xf>
    <xf numFmtId="0" fontId="61" fillId="0" borderId="4352" xfId="0" applyNumberFormat="1" applyFont="1" applyBorder="1" applyAlignment="1">
      <alignment horizontal="center" vertical="center" wrapText="1"/>
    </xf>
    <xf numFmtId="0" fontId="61" fillId="0" borderId="4316" xfId="0" applyNumberFormat="1" applyFont="1" applyBorder="1" applyAlignment="1">
      <alignment horizontal="center" vertical="center" wrapText="1"/>
    </xf>
    <xf numFmtId="0" fontId="61" fillId="0" borderId="4332" xfId="0" applyNumberFormat="1" applyFont="1" applyBorder="1" applyAlignment="1">
      <alignment horizontal="center" vertical="center" wrapText="1"/>
    </xf>
    <xf numFmtId="0" fontId="61" fillId="0" borderId="4340" xfId="0" applyNumberFormat="1" applyFont="1" applyBorder="1" applyAlignment="1">
      <alignment horizontal="center" vertical="center" wrapText="1"/>
    </xf>
    <xf numFmtId="0" fontId="61" fillId="0" borderId="4346" xfId="0" applyNumberFormat="1" applyFont="1" applyBorder="1" applyAlignment="1">
      <alignment horizontal="center" vertical="center" wrapText="1"/>
    </xf>
    <xf numFmtId="0" fontId="61" fillId="0" borderId="4354" xfId="0" applyNumberFormat="1" applyFont="1" applyBorder="1" applyAlignment="1">
      <alignment horizontal="center" vertical="center" wrapText="1"/>
    </xf>
    <xf numFmtId="0" fontId="125" fillId="0" borderId="1082" xfId="0" applyNumberFormat="1" applyFont="1" applyBorder="1" applyAlignment="1">
      <alignment horizontal="center" vertical="center" wrapText="1"/>
    </xf>
    <xf numFmtId="0" fontId="125" fillId="0" borderId="4356" xfId="0" applyNumberFormat="1" applyFont="1" applyBorder="1" applyAlignment="1">
      <alignment horizontal="center" vertical="center" wrapText="1"/>
    </xf>
    <xf numFmtId="0" fontId="125" fillId="0" borderId="4360" xfId="0" applyNumberFormat="1" applyFont="1" applyBorder="1" applyAlignment="1">
      <alignment horizontal="center" vertical="center" wrapText="1"/>
    </xf>
    <xf numFmtId="0" fontId="61" fillId="0" borderId="4292" xfId="0" applyNumberFormat="1" applyFont="1" applyBorder="1" applyAlignment="1">
      <alignment horizontal="center" vertical="center" wrapText="1"/>
    </xf>
    <xf numFmtId="0" fontId="61" fillId="0" borderId="4308" xfId="0" applyNumberFormat="1" applyFont="1" applyBorder="1" applyAlignment="1">
      <alignment horizontal="center" vertical="center" wrapText="1"/>
    </xf>
    <xf numFmtId="0" fontId="61" fillId="0" borderId="4339" xfId="0" applyNumberFormat="1" applyFont="1" applyBorder="1" applyAlignment="1">
      <alignment horizontal="center" vertical="center" wrapText="1"/>
    </xf>
    <xf numFmtId="0" fontId="61" fillId="0" borderId="4359" xfId="0" applyNumberFormat="1" applyFont="1" applyBorder="1" applyAlignment="1">
      <alignment horizontal="center" vertical="center" wrapText="1"/>
    </xf>
    <xf numFmtId="0" fontId="61" fillId="0" borderId="4337" xfId="0" applyNumberFormat="1" applyFont="1" applyBorder="1" applyAlignment="1">
      <alignment horizontal="center" vertical="center" wrapText="1"/>
    </xf>
    <xf numFmtId="0" fontId="61" fillId="0" borderId="4347" xfId="0" applyNumberFormat="1" applyFont="1" applyBorder="1" applyAlignment="1">
      <alignment horizontal="center" vertical="center" wrapText="1"/>
    </xf>
    <xf numFmtId="0" fontId="61" fillId="0" borderId="4313" xfId="0" applyNumberFormat="1" applyFont="1" applyBorder="1" applyAlignment="1">
      <alignment horizontal="center" vertical="center" wrapText="1"/>
    </xf>
    <xf numFmtId="0" fontId="61" fillId="0" borderId="4331" xfId="0" applyNumberFormat="1" applyFont="1" applyBorder="1" applyAlignment="1">
      <alignment horizontal="center" vertical="center" wrapText="1"/>
    </xf>
    <xf numFmtId="0" fontId="61" fillId="0" borderId="4325" xfId="0" applyNumberFormat="1" applyFont="1" applyBorder="1" applyAlignment="1">
      <alignment horizontal="center" vertical="center" wrapText="1"/>
    </xf>
    <xf numFmtId="0" fontId="61" fillId="0" borderId="4318" xfId="0" applyNumberFormat="1" applyFont="1" applyBorder="1" applyAlignment="1">
      <alignment horizontal="center" vertical="center" wrapText="1"/>
    </xf>
    <xf numFmtId="0" fontId="61" fillId="0" borderId="4324" xfId="0" applyNumberFormat="1" applyFont="1" applyBorder="1" applyAlignment="1">
      <alignment horizontal="center" vertical="center" wrapText="1"/>
    </xf>
    <xf numFmtId="0" fontId="61" fillId="0" borderId="4326" xfId="0" applyNumberFormat="1" applyFont="1" applyBorder="1" applyAlignment="1">
      <alignment horizontal="center" vertical="center" wrapText="1"/>
    </xf>
    <xf numFmtId="0" fontId="61" fillId="0" borderId="4330" xfId="0" applyNumberFormat="1" applyFont="1" applyBorder="1" applyAlignment="1">
      <alignment horizontal="center" vertical="center" wrapText="1"/>
    </xf>
    <xf numFmtId="0" fontId="61" fillId="0" borderId="4336" xfId="0" applyNumberFormat="1" applyFont="1" applyBorder="1" applyAlignment="1">
      <alignment horizontal="center" vertical="center" wrapText="1"/>
    </xf>
    <xf numFmtId="0" fontId="61" fillId="0" borderId="4344" xfId="0" applyNumberFormat="1" applyFont="1" applyBorder="1" applyAlignment="1">
      <alignment horizontal="center" vertical="center" wrapText="1"/>
    </xf>
    <xf numFmtId="0" fontId="61" fillId="0" borderId="4350" xfId="0" applyNumberFormat="1" applyFont="1" applyBorder="1" applyAlignment="1">
      <alignment horizontal="center" vertical="center" wrapText="1"/>
    </xf>
    <xf numFmtId="0" fontId="125" fillId="0" borderId="4358" xfId="0" applyNumberFormat="1" applyFont="1" applyBorder="1" applyAlignment="1">
      <alignment horizontal="center" vertical="center" wrapText="1"/>
    </xf>
    <xf numFmtId="49" fontId="114" fillId="0" borderId="4365" xfId="0" applyNumberFormat="1" applyFont="1" applyBorder="1" applyAlignment="1" applyProtection="1">
      <alignment vertical="center" wrapText="1"/>
      <protection locked="0"/>
    </xf>
    <xf numFmtId="49" fontId="114" fillId="0" borderId="4366" xfId="0" applyNumberFormat="1" applyFont="1" applyBorder="1" applyAlignment="1" applyProtection="1">
      <alignment vertical="center" wrapText="1"/>
      <protection locked="0"/>
    </xf>
    <xf numFmtId="49" fontId="114" fillId="0" borderId="4367" xfId="0" applyNumberFormat="1" applyFont="1" applyBorder="1" applyAlignment="1" applyProtection="1">
      <alignment vertical="center" wrapText="1"/>
      <protection locked="0"/>
    </xf>
    <xf numFmtId="49" fontId="114" fillId="0" borderId="4368" xfId="0" applyNumberFormat="1" applyFont="1" applyBorder="1" applyAlignment="1" applyProtection="1">
      <alignment vertical="center" wrapText="1"/>
      <protection locked="0"/>
    </xf>
    <xf numFmtId="49" fontId="114" fillId="0" borderId="4369" xfId="0" applyNumberFormat="1" applyFont="1" applyBorder="1" applyAlignment="1" applyProtection="1">
      <alignment vertical="center" wrapText="1"/>
      <protection locked="0"/>
    </xf>
    <xf numFmtId="49" fontId="114" fillId="0" borderId="4370" xfId="0" applyNumberFormat="1" applyFont="1" applyBorder="1" applyAlignment="1" applyProtection="1">
      <alignment vertical="center" wrapText="1"/>
      <protection locked="0"/>
    </xf>
    <xf numFmtId="49" fontId="114" fillId="0" borderId="4371" xfId="0" applyNumberFormat="1" applyFont="1" applyBorder="1" applyAlignment="1" applyProtection="1">
      <alignment vertical="center" wrapText="1"/>
      <protection locked="0"/>
    </xf>
    <xf numFmtId="49" fontId="114" fillId="0" borderId="4372" xfId="0" applyNumberFormat="1" applyFont="1" applyBorder="1" applyAlignment="1" applyProtection="1">
      <alignment vertical="center" wrapText="1"/>
      <protection locked="0"/>
    </xf>
    <xf numFmtId="49" fontId="114" fillId="0" borderId="4373" xfId="0" applyNumberFormat="1" applyFont="1" applyBorder="1" applyAlignment="1" applyProtection="1">
      <alignment vertical="center" wrapText="1"/>
      <protection locked="0"/>
    </xf>
    <xf numFmtId="49" fontId="114" fillId="0" borderId="4374" xfId="0" applyNumberFormat="1" applyFont="1" applyBorder="1" applyAlignment="1" applyProtection="1">
      <alignment vertical="center" wrapText="1"/>
      <protection locked="0"/>
    </xf>
    <xf numFmtId="49" fontId="114" fillId="0" borderId="4375" xfId="0" applyNumberFormat="1" applyFont="1" applyBorder="1" applyAlignment="1" applyProtection="1">
      <alignment vertical="center" wrapText="1"/>
      <protection locked="0"/>
    </xf>
    <xf numFmtId="49" fontId="114" fillId="0" borderId="4376" xfId="0" applyNumberFormat="1" applyFont="1" applyBorder="1" applyAlignment="1" applyProtection="1">
      <alignment vertical="center" wrapText="1"/>
      <protection locked="0"/>
    </xf>
    <xf numFmtId="49" fontId="114" fillId="0" borderId="4377" xfId="0" applyNumberFormat="1" applyFont="1" applyBorder="1" applyAlignment="1" applyProtection="1">
      <alignment vertical="center" wrapText="1"/>
      <protection locked="0"/>
    </xf>
    <xf numFmtId="49" fontId="114" fillId="0" borderId="4378" xfId="0" applyNumberFormat="1" applyFont="1" applyBorder="1" applyAlignment="1" applyProtection="1">
      <alignment vertical="center" wrapText="1"/>
      <protection locked="0"/>
    </xf>
    <xf numFmtId="49" fontId="114" fillId="0" borderId="4379" xfId="0" applyNumberFormat="1" applyFont="1" applyBorder="1" applyAlignment="1" applyProtection="1">
      <alignment vertical="center" wrapText="1"/>
      <protection locked="0"/>
    </xf>
    <xf numFmtId="49" fontId="114" fillId="0" borderId="4380" xfId="0" applyNumberFormat="1" applyFont="1" applyBorder="1" applyAlignment="1" applyProtection="1">
      <alignment vertical="center" wrapText="1"/>
      <protection locked="0"/>
    </xf>
    <xf numFmtId="49" fontId="114" fillId="0" borderId="4381" xfId="0" applyNumberFormat="1" applyFont="1" applyBorder="1" applyAlignment="1" applyProtection="1">
      <alignment vertical="center" wrapText="1"/>
      <protection locked="0"/>
    </xf>
    <xf numFmtId="49" fontId="114" fillId="0" borderId="4382" xfId="0" applyNumberFormat="1" applyFont="1" applyBorder="1" applyAlignment="1" applyProtection="1">
      <alignment vertical="center" wrapText="1"/>
      <protection locked="0"/>
    </xf>
    <xf numFmtId="49" fontId="114" fillId="0" borderId="4383" xfId="0" applyNumberFormat="1" applyFont="1" applyBorder="1" applyAlignment="1" applyProtection="1">
      <alignment vertical="center" wrapText="1"/>
      <protection locked="0"/>
    </xf>
    <xf numFmtId="49" fontId="114" fillId="0" borderId="4384" xfId="0" applyNumberFormat="1" applyFont="1" applyBorder="1" applyAlignment="1" applyProtection="1">
      <alignment vertical="center" wrapText="1"/>
      <protection locked="0"/>
    </xf>
    <xf numFmtId="49" fontId="114" fillId="0" borderId="4387" xfId="0" applyNumberFormat="1" applyFont="1" applyBorder="1" applyAlignment="1" applyProtection="1">
      <alignment horizontal="left" vertical="center" wrapText="1"/>
      <protection locked="0"/>
    </xf>
    <xf numFmtId="49" fontId="114" fillId="0" borderId="0" xfId="0" applyNumberFormat="1" applyFont="1" applyAlignment="1" applyProtection="1">
      <alignment horizontal="left" vertical="center" wrapText="1"/>
      <protection locked="0"/>
    </xf>
    <xf numFmtId="49" fontId="114" fillId="0" borderId="4388" xfId="0" applyNumberFormat="1" applyFont="1" applyBorder="1" applyAlignment="1" applyProtection="1">
      <alignment horizontal="left" vertical="center" wrapText="1"/>
      <protection locked="0"/>
    </xf>
    <xf numFmtId="0" fontId="126" fillId="0" borderId="4391" xfId="0" applyNumberFormat="1" applyFont="1" applyBorder="1" applyAlignment="1">
      <alignment horizontal="left" vertical="top" wrapText="1"/>
    </xf>
    <xf numFmtId="0" fontId="126" fillId="0" borderId="0" xfId="0" applyNumberFormat="1" applyFont="1" applyAlignment="1">
      <alignment horizontal="left" vertical="top" wrapText="1"/>
    </xf>
    <xf numFmtId="0" fontId="126" fillId="0" borderId="4392" xfId="0" applyNumberFormat="1" applyFont="1" applyBorder="1" applyAlignment="1">
      <alignment horizontal="left" vertical="top" wrapText="1"/>
    </xf>
    <xf numFmtId="0" fontId="126" fillId="0" borderId="4395" xfId="0" applyNumberFormat="1" applyFont="1" applyBorder="1" applyAlignment="1">
      <alignment horizontal="left" vertical="center" wrapText="1"/>
    </xf>
    <xf numFmtId="0" fontId="126" fillId="0" borderId="0" xfId="0" applyNumberFormat="1" applyFont="1" applyAlignment="1">
      <alignment horizontal="left" vertical="center" wrapText="1"/>
    </xf>
    <xf numFmtId="0" fontId="126" fillId="0" borderId="4396" xfId="0" applyNumberFormat="1" applyFont="1" applyBorder="1" applyAlignment="1">
      <alignment horizontal="left" vertical="center" wrapText="1"/>
    </xf>
    <xf numFmtId="0" fontId="126" fillId="0" borderId="4399" xfId="0" applyNumberFormat="1" applyFont="1" applyBorder="1" applyAlignment="1">
      <alignment horizontal="left" vertical="top" wrapText="1"/>
    </xf>
    <xf numFmtId="0" fontId="126" fillId="0" borderId="4402" xfId="0" applyNumberFormat="1" applyFont="1" applyBorder="1" applyAlignment="1">
      <alignment horizontal="left" vertical="top" wrapText="1"/>
    </xf>
    <xf numFmtId="0" fontId="114" fillId="0" borderId="4405" xfId="0" applyNumberFormat="1" applyFont="1" applyBorder="1" applyAlignment="1">
      <alignment vertical="center" wrapText="1"/>
    </xf>
    <xf numFmtId="0" fontId="114" fillId="0" borderId="0" xfId="0" applyNumberFormat="1" applyFont="1" applyAlignment="1">
      <alignment vertical="center" wrapText="1"/>
    </xf>
    <xf numFmtId="0" fontId="114" fillId="0" borderId="4406" xfId="0" applyNumberFormat="1" applyFont="1" applyBorder="1" applyAlignment="1">
      <alignment vertical="center" wrapText="1"/>
    </xf>
    <xf numFmtId="0" fontId="126" fillId="0" borderId="4409" xfId="0" applyNumberFormat="1" applyFont="1" applyBorder="1" applyAlignment="1">
      <alignment horizontal="left" vertical="top" wrapText="1"/>
    </xf>
    <xf numFmtId="0" fontId="126" fillId="0" borderId="4412" xfId="0" applyNumberFormat="1" applyFont="1" applyBorder="1" applyAlignment="1">
      <alignment horizontal="left" vertical="top" wrapText="1"/>
    </xf>
    <xf numFmtId="0" fontId="126" fillId="0" borderId="4415" xfId="0" applyNumberFormat="1" applyFont="1" applyBorder="1" applyAlignment="1">
      <alignment horizontal="left" vertical="top" wrapText="1"/>
    </xf>
    <xf numFmtId="0" fontId="126" fillId="0" borderId="4416" xfId="0" applyNumberFormat="1" applyFont="1" applyBorder="1" applyAlignment="1">
      <alignment horizontal="left" vertical="top" wrapText="1"/>
    </xf>
    <xf numFmtId="0" fontId="126" fillId="0" borderId="4417" xfId="0" applyNumberFormat="1" applyFont="1" applyBorder="1" applyAlignment="1">
      <alignment horizontal="left" vertical="top" wrapText="1"/>
    </xf>
    <xf numFmtId="0" fontId="126" fillId="0" borderId="4418" xfId="0" applyNumberFormat="1" applyFont="1" applyBorder="1" applyAlignment="1">
      <alignment horizontal="left" vertical="top" wrapText="1"/>
    </xf>
    <xf numFmtId="0" fontId="126" fillId="0" borderId="4419" xfId="0" applyNumberFormat="1" applyFont="1" applyBorder="1" applyAlignment="1">
      <alignment horizontal="left" vertical="top" wrapText="1"/>
    </xf>
    <xf numFmtId="0" fontId="126" fillId="0" borderId="4420" xfId="0" applyNumberFormat="1" applyFont="1" applyBorder="1" applyAlignment="1">
      <alignment horizontal="left" vertical="top" wrapText="1"/>
    </xf>
    <xf numFmtId="0" fontId="126" fillId="0" borderId="4421" xfId="0" applyNumberFormat="1" applyFont="1" applyBorder="1" applyAlignment="1">
      <alignment horizontal="left" vertical="top" wrapText="1"/>
    </xf>
    <xf numFmtId="0" fontId="126" fillId="0" borderId="4422" xfId="0" applyNumberFormat="1" applyFont="1" applyBorder="1" applyAlignment="1">
      <alignment horizontal="left" vertical="top" wrapText="1"/>
    </xf>
    <xf numFmtId="0" fontId="126" fillId="0" borderId="4423" xfId="0" applyNumberFormat="1" applyFont="1" applyBorder="1" applyAlignment="1">
      <alignment horizontal="left" vertical="top" wrapText="1"/>
    </xf>
    <xf numFmtId="0" fontId="126" fillId="0" borderId="4424" xfId="0" applyNumberFormat="1" applyFont="1" applyBorder="1" applyAlignment="1">
      <alignment horizontal="left" vertical="top" wrapText="1"/>
    </xf>
    <xf numFmtId="0" fontId="126" fillId="0" borderId="4425" xfId="0" applyNumberFormat="1" applyFont="1" applyBorder="1" applyAlignment="1">
      <alignment horizontal="left" vertical="top" wrapText="1"/>
    </xf>
    <xf numFmtId="0" fontId="126" fillId="0" borderId="4426" xfId="0" applyNumberFormat="1" applyFont="1" applyBorder="1" applyAlignment="1">
      <alignment horizontal="left" vertical="top" wrapText="1"/>
    </xf>
    <xf numFmtId="0" fontId="126" fillId="0" borderId="4427" xfId="0" applyNumberFormat="1" applyFont="1" applyBorder="1" applyAlignment="1">
      <alignment horizontal="left" vertical="top" wrapText="1"/>
    </xf>
    <xf numFmtId="0" fontId="126" fillId="0" borderId="4428" xfId="0" applyNumberFormat="1" applyFont="1" applyBorder="1" applyAlignment="1">
      <alignment horizontal="left" vertical="top" wrapText="1"/>
    </xf>
    <xf numFmtId="0" fontId="126" fillId="0" borderId="4429" xfId="0" applyNumberFormat="1" applyFont="1" applyBorder="1" applyAlignment="1">
      <alignment horizontal="left" vertical="top" wrapText="1"/>
    </xf>
    <xf numFmtId="0" fontId="126" fillId="0" borderId="4430" xfId="0" applyNumberFormat="1" applyFont="1" applyBorder="1" applyAlignment="1">
      <alignment horizontal="left" vertical="top" wrapText="1"/>
    </xf>
    <xf numFmtId="0" fontId="126" fillId="0" borderId="4431" xfId="0" applyNumberFormat="1" applyFont="1" applyBorder="1" applyAlignment="1">
      <alignment horizontal="left" vertical="top" wrapText="1"/>
    </xf>
    <xf numFmtId="0" fontId="126" fillId="0" borderId="4432" xfId="0" applyNumberFormat="1" applyFont="1" applyBorder="1" applyAlignment="1">
      <alignment horizontal="left" vertical="top" wrapText="1"/>
    </xf>
    <xf numFmtId="0" fontId="126" fillId="0" borderId="4433" xfId="0" applyNumberFormat="1" applyFont="1" applyBorder="1" applyAlignment="1">
      <alignment horizontal="left" vertical="top" wrapText="1"/>
    </xf>
    <xf numFmtId="0" fontId="126" fillId="0" borderId="4434" xfId="0" applyNumberFormat="1" applyFont="1" applyBorder="1" applyAlignment="1">
      <alignment horizontal="left" vertical="top" wrapText="1"/>
    </xf>
    <xf numFmtId="0" fontId="126" fillId="0" borderId="4437" xfId="0" applyNumberFormat="1" applyFont="1" applyBorder="1" applyAlignment="1">
      <alignment horizontal="left" vertical="top" wrapText="1"/>
    </xf>
    <xf numFmtId="0" fontId="126" fillId="0" borderId="4438" xfId="0" applyNumberFormat="1" applyFont="1" applyBorder="1" applyAlignment="1">
      <alignment horizontal="left" vertical="top" wrapText="1"/>
    </xf>
    <xf numFmtId="0" fontId="126" fillId="0" borderId="4439" xfId="0" applyNumberFormat="1" applyFont="1" applyBorder="1" applyAlignment="1">
      <alignment horizontal="left" vertical="top" wrapText="1"/>
    </xf>
    <xf numFmtId="0" fontId="126" fillId="0" borderId="4440" xfId="0" applyNumberFormat="1" applyFont="1" applyBorder="1" applyAlignment="1">
      <alignment horizontal="left" vertical="top" wrapText="1"/>
    </xf>
    <xf numFmtId="0" fontId="126" fillId="0" borderId="4441" xfId="0" applyNumberFormat="1" applyFont="1" applyBorder="1" applyAlignment="1">
      <alignment horizontal="left" vertical="top" wrapText="1"/>
    </xf>
    <xf numFmtId="0" fontId="126" fillId="0" borderId="4442" xfId="0" applyNumberFormat="1" applyFont="1" applyBorder="1" applyAlignment="1">
      <alignment horizontal="left" vertical="top" wrapText="1"/>
    </xf>
    <xf numFmtId="0" fontId="126" fillId="0" borderId="4443" xfId="0" applyNumberFormat="1" applyFont="1" applyBorder="1" applyAlignment="1">
      <alignment horizontal="left" vertical="top" wrapText="1"/>
    </xf>
    <xf numFmtId="0" fontId="126" fillId="0" borderId="4444" xfId="0" applyNumberFormat="1" applyFont="1" applyBorder="1" applyAlignment="1">
      <alignment horizontal="left" vertical="top" wrapText="1"/>
    </xf>
    <xf numFmtId="0" fontId="126" fillId="0" borderId="4445" xfId="0" applyNumberFormat="1" applyFont="1" applyBorder="1" applyAlignment="1">
      <alignment horizontal="left" vertical="top" wrapText="1"/>
    </xf>
    <xf numFmtId="0" fontId="126" fillId="0" borderId="4446" xfId="0" applyNumberFormat="1" applyFont="1" applyBorder="1" applyAlignment="1">
      <alignment horizontal="left" vertical="top" wrapText="1"/>
    </xf>
    <xf numFmtId="0" fontId="126" fillId="0" borderId="4447" xfId="0" applyNumberFormat="1" applyFont="1" applyBorder="1" applyAlignment="1">
      <alignment horizontal="left" vertical="top" wrapText="1"/>
    </xf>
    <xf numFmtId="0" fontId="126" fillId="0" borderId="4448" xfId="0" applyNumberFormat="1" applyFont="1" applyBorder="1" applyAlignment="1">
      <alignment horizontal="left" vertical="top" wrapText="1"/>
    </xf>
    <xf numFmtId="0" fontId="126" fillId="0" borderId="4449" xfId="0" applyNumberFormat="1" applyFont="1" applyBorder="1" applyAlignment="1">
      <alignment horizontal="left" vertical="top" wrapText="1"/>
    </xf>
    <xf numFmtId="0" fontId="126" fillId="0" borderId="4450" xfId="0" applyNumberFormat="1" applyFont="1" applyBorder="1" applyAlignment="1">
      <alignment horizontal="left" vertical="top" wrapText="1"/>
    </xf>
    <xf numFmtId="0" fontId="126" fillId="0" borderId="4451" xfId="0" applyNumberFormat="1" applyFont="1" applyBorder="1" applyAlignment="1">
      <alignment horizontal="left" vertical="top" wrapText="1"/>
    </xf>
    <xf numFmtId="0" fontId="126" fillId="0" borderId="4452" xfId="0" applyNumberFormat="1" applyFont="1" applyBorder="1" applyAlignment="1">
      <alignment horizontal="left" vertical="top" wrapText="1"/>
    </xf>
    <xf numFmtId="0" fontId="126" fillId="0" borderId="4453" xfId="0" applyNumberFormat="1" applyFont="1" applyBorder="1" applyAlignment="1">
      <alignment horizontal="left" vertical="top" wrapText="1"/>
    </xf>
    <xf numFmtId="0" fontId="126" fillId="0" borderId="4454" xfId="0" applyNumberFormat="1" applyFont="1" applyBorder="1" applyAlignment="1">
      <alignment horizontal="left" vertical="top" wrapText="1"/>
    </xf>
    <xf numFmtId="0" fontId="126" fillId="0" borderId="4455" xfId="0" applyNumberFormat="1" applyFont="1" applyBorder="1" applyAlignment="1">
      <alignment horizontal="left" vertical="top" wrapText="1"/>
    </xf>
    <xf numFmtId="0" fontId="126" fillId="0" borderId="4456" xfId="0" applyNumberFormat="1" applyFont="1" applyBorder="1" applyAlignment="1">
      <alignment horizontal="left" vertical="top" wrapText="1"/>
    </xf>
    <xf numFmtId="0" fontId="126" fillId="0" borderId="4459" xfId="0" applyNumberFormat="1" applyFont="1" applyBorder="1" applyAlignment="1">
      <alignment horizontal="left" vertical="center" wrapText="1"/>
    </xf>
    <xf numFmtId="49" fontId="114" fillId="0" borderId="4462" xfId="0" applyNumberFormat="1" applyFont="1" applyBorder="1" applyAlignment="1" applyProtection="1">
      <alignment horizontal="left" vertical="center" wrapText="1"/>
      <protection locked="0"/>
    </xf>
    <xf numFmtId="0" fontId="126" fillId="0" borderId="4465" xfId="0" applyNumberFormat="1" applyFont="1" applyBorder="1" applyAlignment="1">
      <alignment vertical="center" wrapText="1"/>
    </xf>
    <xf numFmtId="0" fontId="126" fillId="0" borderId="0" xfId="0" applyNumberFormat="1" applyFont="1" applyAlignment="1">
      <alignment vertical="center" wrapText="1"/>
    </xf>
    <xf numFmtId="0" fontId="126" fillId="0" borderId="4466" xfId="0" applyNumberFormat="1" applyFont="1" applyBorder="1" applyAlignment="1">
      <alignment vertical="center" wrapText="1"/>
    </xf>
    <xf numFmtId="0" fontId="126" fillId="0" borderId="4469" xfId="0" applyNumberFormat="1" applyFont="1" applyBorder="1" applyAlignment="1">
      <alignment vertical="center" wrapText="1"/>
    </xf>
    <xf numFmtId="0" fontId="126" fillId="0" borderId="4472" xfId="0" applyNumberFormat="1" applyFont="1" applyBorder="1" applyAlignment="1">
      <alignment horizontal="left" vertical="center" wrapText="1"/>
    </xf>
    <xf numFmtId="0" fontId="126" fillId="0" borderId="4475" xfId="0" applyNumberFormat="1" applyFont="1" applyBorder="1" applyAlignment="1">
      <alignment vertical="center" wrapText="1"/>
    </xf>
    <xf numFmtId="0" fontId="126" fillId="0" borderId="4478" xfId="0" applyNumberFormat="1" applyFont="1" applyBorder="1" applyAlignment="1">
      <alignment horizontal="left" vertical="center" wrapText="1"/>
    </xf>
    <xf numFmtId="0" fontId="126" fillId="0" borderId="4481" xfId="0" applyNumberFormat="1" applyFont="1" applyBorder="1" applyAlignment="1">
      <alignment horizontal="left" vertical="center" wrapText="1"/>
    </xf>
    <xf numFmtId="0" fontId="126" fillId="0" borderId="4482" xfId="0" applyNumberFormat="1" applyFont="1" applyBorder="1" applyAlignment="1">
      <alignment horizontal="left" vertical="center" wrapText="1"/>
    </xf>
    <xf numFmtId="0" fontId="126" fillId="0" borderId="4483" xfId="0" applyNumberFormat="1" applyFont="1" applyBorder="1" applyAlignment="1">
      <alignment horizontal="left" vertical="center" wrapText="1"/>
    </xf>
    <xf numFmtId="0" fontId="126" fillId="0" borderId="4484" xfId="0" applyNumberFormat="1" applyFont="1" applyBorder="1" applyAlignment="1">
      <alignment horizontal="left" vertical="center" wrapText="1"/>
    </xf>
    <xf numFmtId="0" fontId="126" fillId="0" borderId="4485" xfId="0" applyNumberFormat="1" applyFont="1" applyBorder="1" applyAlignment="1">
      <alignment horizontal="left" vertical="center" wrapText="1"/>
    </xf>
    <xf numFmtId="0" fontId="126" fillId="0" borderId="4486" xfId="0" applyNumberFormat="1" applyFont="1" applyBorder="1" applyAlignment="1">
      <alignment horizontal="left" vertical="center" wrapText="1"/>
    </xf>
    <xf numFmtId="0" fontId="126" fillId="0" borderId="4487" xfId="0" applyNumberFormat="1" applyFont="1" applyBorder="1" applyAlignment="1">
      <alignment horizontal="left" vertical="center" wrapText="1"/>
    </xf>
    <xf numFmtId="0" fontId="126" fillId="0" borderId="4488" xfId="0" applyNumberFormat="1" applyFont="1" applyBorder="1" applyAlignment="1">
      <alignment horizontal="left" vertical="center" wrapText="1"/>
    </xf>
    <xf numFmtId="0" fontId="126" fillId="0" borderId="4489" xfId="0" applyNumberFormat="1" applyFont="1" applyBorder="1" applyAlignment="1">
      <alignment horizontal="left" vertical="center" wrapText="1"/>
    </xf>
    <xf numFmtId="0" fontId="126" fillId="0" borderId="4490" xfId="0" applyNumberFormat="1" applyFont="1" applyBorder="1" applyAlignment="1">
      <alignment horizontal="left" vertical="center" wrapText="1"/>
    </xf>
    <xf numFmtId="0" fontId="126" fillId="0" borderId="4491" xfId="0" applyNumberFormat="1" applyFont="1" applyBorder="1" applyAlignment="1">
      <alignment horizontal="left" vertical="center" wrapText="1"/>
    </xf>
    <xf numFmtId="0" fontId="126" fillId="0" borderId="4492" xfId="0" applyNumberFormat="1" applyFont="1" applyBorder="1" applyAlignment="1">
      <alignment horizontal="left" vertical="center" wrapText="1"/>
    </xf>
    <xf numFmtId="0" fontId="126" fillId="0" borderId="4493" xfId="0" applyNumberFormat="1" applyFont="1" applyBorder="1" applyAlignment="1">
      <alignment horizontal="left" vertical="center" wrapText="1"/>
    </xf>
    <xf numFmtId="0" fontId="126" fillId="0" borderId="4494" xfId="0" applyNumberFormat="1" applyFont="1" applyBorder="1" applyAlignment="1">
      <alignment horizontal="left" vertical="center" wrapText="1"/>
    </xf>
    <xf numFmtId="0" fontId="126" fillId="0" borderId="4495" xfId="0" applyNumberFormat="1" applyFont="1" applyBorder="1" applyAlignment="1">
      <alignment horizontal="left" vertical="center" wrapText="1"/>
    </xf>
    <xf numFmtId="0" fontId="126" fillId="0" borderId="4496" xfId="0" applyNumberFormat="1" applyFont="1" applyBorder="1" applyAlignment="1">
      <alignment horizontal="left" vertical="center" wrapText="1"/>
    </xf>
    <xf numFmtId="0" fontId="126" fillId="0" borderId="4497" xfId="0" applyNumberFormat="1" applyFont="1" applyBorder="1" applyAlignment="1">
      <alignment horizontal="left" vertical="center" wrapText="1"/>
    </xf>
    <xf numFmtId="0" fontId="126" fillId="0" borderId="4498" xfId="0" applyNumberFormat="1" applyFont="1" applyBorder="1" applyAlignment="1">
      <alignment horizontal="left" vertical="center" wrapText="1"/>
    </xf>
    <xf numFmtId="0" fontId="126" fillId="0" borderId="4499" xfId="0" applyNumberFormat="1" applyFont="1" applyBorder="1" applyAlignment="1">
      <alignment horizontal="left" vertical="center" wrapText="1"/>
    </xf>
    <xf numFmtId="0" fontId="126" fillId="0" borderId="4500" xfId="0" applyNumberFormat="1" applyFont="1" applyBorder="1" applyAlignment="1">
      <alignment horizontal="left" vertical="center" wrapText="1"/>
    </xf>
    <xf numFmtId="0" fontId="126" fillId="0" borderId="4503" xfId="0" applyNumberFormat="1" applyFont="1" applyBorder="1" applyAlignment="1">
      <alignment horizontal="left" vertical="center" wrapText="1"/>
    </xf>
    <xf numFmtId="0" fontId="126" fillId="0" borderId="4504" xfId="0" applyNumberFormat="1" applyFont="1" applyBorder="1" applyAlignment="1">
      <alignment horizontal="left" vertical="center" wrapText="1"/>
    </xf>
    <xf numFmtId="0" fontId="126" fillId="0" borderId="4505" xfId="0" applyNumberFormat="1" applyFont="1" applyBorder="1" applyAlignment="1">
      <alignment horizontal="left" vertical="center" wrapText="1"/>
    </xf>
    <xf numFmtId="0" fontId="126" fillId="0" borderId="4506" xfId="0" applyNumberFormat="1" applyFont="1" applyBorder="1" applyAlignment="1">
      <alignment horizontal="left" vertical="center" wrapText="1"/>
    </xf>
    <xf numFmtId="0" fontId="126" fillId="0" borderId="4507" xfId="0" applyNumberFormat="1" applyFont="1" applyBorder="1" applyAlignment="1">
      <alignment horizontal="left" vertical="center" wrapText="1"/>
    </xf>
    <xf numFmtId="0" fontId="126" fillId="0" borderId="4508" xfId="0" applyNumberFormat="1" applyFont="1" applyBorder="1" applyAlignment="1">
      <alignment horizontal="left" vertical="center" wrapText="1"/>
    </xf>
    <xf numFmtId="0" fontId="126" fillId="0" borderId="4509" xfId="0" applyNumberFormat="1" applyFont="1" applyBorder="1" applyAlignment="1">
      <alignment horizontal="left" vertical="center" wrapText="1"/>
    </xf>
    <xf numFmtId="0" fontId="126" fillId="0" borderId="4510" xfId="0" applyNumberFormat="1" applyFont="1" applyBorder="1" applyAlignment="1">
      <alignment horizontal="left" vertical="center" wrapText="1"/>
    </xf>
    <xf numFmtId="0" fontId="126" fillId="0" borderId="4511" xfId="0" applyNumberFormat="1" applyFont="1" applyBorder="1" applyAlignment="1">
      <alignment horizontal="left" vertical="center" wrapText="1"/>
    </xf>
    <xf numFmtId="0" fontId="126" fillId="0" borderId="4512" xfId="0" applyNumberFormat="1" applyFont="1" applyBorder="1" applyAlignment="1">
      <alignment horizontal="left" vertical="center" wrapText="1"/>
    </xf>
    <xf numFmtId="0" fontId="126" fillId="0" borderId="4513" xfId="0" applyNumberFormat="1" applyFont="1" applyBorder="1" applyAlignment="1">
      <alignment horizontal="left" vertical="center" wrapText="1"/>
    </xf>
    <xf numFmtId="0" fontId="126" fillId="0" borderId="4514" xfId="0" applyNumberFormat="1" applyFont="1" applyBorder="1" applyAlignment="1">
      <alignment horizontal="left" vertical="center" wrapText="1"/>
    </xf>
    <xf numFmtId="0" fontId="126" fillId="0" borderId="4515" xfId="0" applyNumberFormat="1" applyFont="1" applyBorder="1" applyAlignment="1">
      <alignment horizontal="left" vertical="center" wrapText="1"/>
    </xf>
    <xf numFmtId="0" fontId="126" fillId="0" borderId="4516" xfId="0" applyNumberFormat="1" applyFont="1" applyBorder="1" applyAlignment="1">
      <alignment horizontal="left" vertical="center" wrapText="1"/>
    </xf>
    <xf numFmtId="0" fontId="126" fillId="0" borderId="4517" xfId="0" applyNumberFormat="1" applyFont="1" applyBorder="1" applyAlignment="1">
      <alignment horizontal="left" vertical="center" wrapText="1"/>
    </xf>
    <xf numFmtId="0" fontId="126" fillId="0" borderId="4518" xfId="0" applyNumberFormat="1" applyFont="1" applyBorder="1" applyAlignment="1">
      <alignment horizontal="left" vertical="center" wrapText="1"/>
    </xf>
    <xf numFmtId="0" fontId="126" fillId="0" borderId="4519" xfId="0" applyNumberFormat="1" applyFont="1" applyBorder="1" applyAlignment="1">
      <alignment horizontal="left" vertical="center" wrapText="1"/>
    </xf>
    <xf numFmtId="0" fontId="126" fillId="0" borderId="4520" xfId="0" applyNumberFormat="1" applyFont="1" applyBorder="1" applyAlignment="1">
      <alignment horizontal="left" vertical="center" wrapText="1"/>
    </xf>
    <xf numFmtId="0" fontId="126" fillId="0" borderId="4521" xfId="0" applyNumberFormat="1" applyFont="1" applyBorder="1" applyAlignment="1">
      <alignment horizontal="left" vertical="center" wrapText="1"/>
    </xf>
    <xf numFmtId="0" fontId="126" fillId="0" borderId="4522" xfId="0" applyNumberFormat="1" applyFont="1" applyBorder="1" applyAlignment="1">
      <alignment horizontal="left" vertical="center" wrapText="1"/>
    </xf>
    <xf numFmtId="0" fontId="126" fillId="0" borderId="4525" xfId="0" applyNumberFormat="1" applyFont="1" applyBorder="1" applyAlignment="1">
      <alignment horizontal="left" vertical="center" wrapText="1"/>
    </xf>
    <xf numFmtId="0" fontId="126" fillId="0" borderId="4528" xfId="0" applyNumberFormat="1" applyFont="1" applyBorder="1" applyAlignment="1">
      <alignment horizontal="left" vertical="center" wrapText="1"/>
    </xf>
    <xf numFmtId="0" fontId="126" fillId="0" borderId="4529" xfId="0" applyNumberFormat="1" applyFont="1" applyBorder="1" applyAlignment="1">
      <alignment horizontal="left" vertical="center" wrapText="1"/>
    </xf>
    <xf numFmtId="0" fontId="126" fillId="0" borderId="4530" xfId="0" applyNumberFormat="1" applyFont="1" applyBorder="1" applyAlignment="1">
      <alignment horizontal="left" vertical="center" wrapText="1"/>
    </xf>
    <xf numFmtId="0" fontId="126" fillId="0" borderId="4531" xfId="0" applyNumberFormat="1" applyFont="1" applyBorder="1" applyAlignment="1">
      <alignment horizontal="left" vertical="center" wrapText="1"/>
    </xf>
    <xf numFmtId="0" fontId="126" fillId="0" borderId="4532" xfId="0" applyNumberFormat="1" applyFont="1" applyBorder="1" applyAlignment="1">
      <alignment horizontal="left" vertical="center" wrapText="1"/>
    </xf>
    <xf numFmtId="0" fontId="126" fillId="0" borderId="4533" xfId="0" applyNumberFormat="1" applyFont="1" applyBorder="1" applyAlignment="1">
      <alignment horizontal="left" vertical="center" wrapText="1"/>
    </xf>
    <xf numFmtId="0" fontId="126" fillId="0" borderId="4534" xfId="0" applyNumberFormat="1" applyFont="1" applyBorder="1" applyAlignment="1">
      <alignment horizontal="left" vertical="center" wrapText="1"/>
    </xf>
    <xf numFmtId="0" fontId="126" fillId="0" borderId="4535" xfId="0" applyNumberFormat="1" applyFont="1" applyBorder="1" applyAlignment="1">
      <alignment horizontal="left" vertical="center" wrapText="1"/>
    </xf>
    <xf numFmtId="0" fontId="126" fillId="0" borderId="4536" xfId="0" applyNumberFormat="1" applyFont="1" applyBorder="1" applyAlignment="1">
      <alignment horizontal="left" vertical="center" wrapText="1"/>
    </xf>
    <xf numFmtId="0" fontId="126" fillId="0" borderId="4537" xfId="0" applyNumberFormat="1" applyFont="1" applyBorder="1" applyAlignment="1">
      <alignment horizontal="left" vertical="center" wrapText="1"/>
    </xf>
    <xf numFmtId="0" fontId="126" fillId="0" borderId="4538" xfId="0" applyNumberFormat="1" applyFont="1" applyBorder="1" applyAlignment="1">
      <alignment horizontal="left" vertical="center" wrapText="1"/>
    </xf>
    <xf numFmtId="0" fontId="126" fillId="0" borderId="4539" xfId="0" applyNumberFormat="1" applyFont="1" applyBorder="1" applyAlignment="1">
      <alignment horizontal="left" vertical="center" wrapText="1"/>
    </xf>
    <xf numFmtId="0" fontId="126" fillId="0" borderId="4540" xfId="0" applyNumberFormat="1" applyFont="1" applyBorder="1" applyAlignment="1">
      <alignment horizontal="left" vertical="center" wrapText="1"/>
    </xf>
    <xf numFmtId="0" fontId="126" fillId="0" borderId="4541" xfId="0" applyNumberFormat="1" applyFont="1" applyBorder="1" applyAlignment="1">
      <alignment horizontal="left" vertical="center" wrapText="1"/>
    </xf>
    <xf numFmtId="0" fontId="126" fillId="0" borderId="4542" xfId="0" applyNumberFormat="1" applyFont="1" applyBorder="1" applyAlignment="1">
      <alignment horizontal="left" vertical="center" wrapText="1"/>
    </xf>
    <xf numFmtId="0" fontId="126" fillId="0" borderId="4543" xfId="0" applyNumberFormat="1" applyFont="1" applyBorder="1" applyAlignment="1">
      <alignment horizontal="left" vertical="center" wrapText="1"/>
    </xf>
    <xf numFmtId="0" fontId="126" fillId="0" borderId="4544" xfId="0" applyNumberFormat="1" applyFont="1" applyBorder="1" applyAlignment="1">
      <alignment horizontal="left" vertical="center" wrapText="1"/>
    </xf>
    <xf numFmtId="0" fontId="126" fillId="0" borderId="4545" xfId="0" applyNumberFormat="1" applyFont="1" applyBorder="1" applyAlignment="1">
      <alignment horizontal="left" vertical="center" wrapText="1"/>
    </xf>
    <xf numFmtId="0" fontId="126" fillId="0" borderId="4546" xfId="0" applyNumberFormat="1" applyFont="1" applyBorder="1" applyAlignment="1">
      <alignment horizontal="left" vertical="center" wrapText="1"/>
    </xf>
    <xf numFmtId="0" fontId="126" fillId="0" borderId="4547" xfId="0" applyNumberFormat="1" applyFont="1" applyBorder="1" applyAlignment="1">
      <alignment horizontal="left" vertical="center" wrapText="1"/>
    </xf>
    <xf numFmtId="49" fontId="121" fillId="0" borderId="0" xfId="0" applyNumberFormat="1" applyFont="1" applyAlignment="1">
      <alignment horizontal="left" vertical="center" wrapText="1"/>
    </xf>
    <xf numFmtId="0" fontId="127" fillId="0" borderId="0" xfId="0" applyNumberFormat="1" applyFont="1" applyAlignment="1">
      <alignment horizontal="left" vertical="center" wrapText="1"/>
    </xf>
    <xf numFmtId="0" fontId="122" fillId="0" borderId="4576" xfId="0" applyNumberFormat="1" applyFont="1" applyBorder="1" applyAlignment="1">
      <alignment horizontal="center" vertical="center" wrapText="1"/>
    </xf>
    <xf numFmtId="0" fontId="122" fillId="0" borderId="4575" xfId="0" applyNumberFormat="1" applyFont="1" applyBorder="1" applyAlignment="1">
      <alignment horizontal="center" vertical="center" wrapText="1"/>
    </xf>
    <xf numFmtId="0" fontId="122" fillId="0" borderId="4574" xfId="0" applyNumberFormat="1" applyFont="1" applyBorder="1" applyAlignment="1">
      <alignment horizontal="center" vertical="center" wrapText="1"/>
    </xf>
    <xf numFmtId="0" fontId="122" fillId="0" borderId="4573" xfId="0" applyNumberFormat="1" applyFont="1" applyBorder="1" applyAlignment="1">
      <alignment horizontal="center" vertical="center" wrapText="1"/>
    </xf>
    <xf numFmtId="0" fontId="122" fillId="0" borderId="4572" xfId="0" applyNumberFormat="1" applyFont="1" applyBorder="1" applyAlignment="1">
      <alignment horizontal="center" vertical="center" wrapText="1"/>
    </xf>
    <xf numFmtId="0" fontId="122" fillId="0" borderId="4571" xfId="0" applyNumberFormat="1" applyFont="1" applyBorder="1" applyAlignment="1">
      <alignment horizontal="center" vertical="center" wrapText="1"/>
    </xf>
    <xf numFmtId="0" fontId="122" fillId="0" borderId="4550" xfId="0" applyNumberFormat="1" applyFont="1" applyBorder="1" applyAlignment="1">
      <alignment horizontal="center" vertical="center" wrapText="1"/>
    </xf>
    <xf numFmtId="0" fontId="122" fillId="0" borderId="4569" xfId="0" applyNumberFormat="1" applyFont="1" applyBorder="1" applyAlignment="1">
      <alignment horizontal="center" vertical="center" wrapText="1"/>
    </xf>
    <xf numFmtId="0" fontId="122" fillId="0" borderId="4570" xfId="0" applyNumberFormat="1" applyFont="1" applyBorder="1" applyAlignment="1">
      <alignment horizontal="center" vertical="center" wrapText="1"/>
    </xf>
    <xf numFmtId="0" fontId="122" fillId="0" borderId="4549" xfId="0" applyNumberFormat="1" applyFont="1" applyBorder="1" applyAlignment="1">
      <alignment horizontal="center" vertical="center" wrapText="1"/>
    </xf>
    <xf numFmtId="0" fontId="122" fillId="0" borderId="4567" xfId="0" applyNumberFormat="1" applyFont="1" applyBorder="1" applyAlignment="1">
      <alignment horizontal="center" vertical="center" wrapText="1"/>
    </xf>
    <xf numFmtId="0" fontId="122" fillId="0" borderId="4568" xfId="0" applyNumberFormat="1" applyFont="1" applyBorder="1" applyAlignment="1">
      <alignment horizontal="center" vertical="center" wrapText="1"/>
    </xf>
    <xf numFmtId="0" fontId="122" fillId="0" borderId="4548" xfId="0" applyNumberFormat="1" applyFont="1" applyBorder="1" applyAlignment="1">
      <alignment horizontal="center" vertical="center" wrapText="1"/>
    </xf>
    <xf numFmtId="0" fontId="122" fillId="0" borderId="4565" xfId="0" applyNumberFormat="1" applyFont="1" applyBorder="1" applyAlignment="1">
      <alignment horizontal="center" vertical="center" wrapText="1"/>
    </xf>
    <xf numFmtId="0" fontId="122" fillId="0" borderId="4566" xfId="0" applyNumberFormat="1" applyFont="1" applyBorder="1" applyAlignment="1">
      <alignment horizontal="center" vertical="center" wrapText="1"/>
    </xf>
    <xf numFmtId="0" fontId="122" fillId="0" borderId="4564" xfId="0" applyNumberFormat="1" applyFont="1" applyBorder="1" applyAlignment="1">
      <alignment horizontal="center" vertical="center" wrapText="1"/>
    </xf>
    <xf numFmtId="0" fontId="122" fillId="0" borderId="4580" xfId="0" applyNumberFormat="1" applyFont="1" applyBorder="1" applyAlignment="1">
      <alignment horizontal="center" vertical="center" wrapText="1"/>
    </xf>
    <xf numFmtId="0" fontId="122" fillId="0" borderId="4563" xfId="0" applyNumberFormat="1" applyFont="1" applyBorder="1" applyAlignment="1">
      <alignment horizontal="center" vertical="center" wrapText="1"/>
    </xf>
    <xf numFmtId="0" fontId="122" fillId="0" borderId="4579" xfId="0" applyNumberFormat="1" applyFont="1" applyBorder="1" applyAlignment="1">
      <alignment horizontal="center" vertical="center" wrapText="1"/>
    </xf>
    <xf numFmtId="0" fontId="122" fillId="0" borderId="4562" xfId="0" applyNumberFormat="1" applyFont="1" applyBorder="1" applyAlignment="1">
      <alignment horizontal="center" vertical="center" wrapText="1"/>
    </xf>
    <xf numFmtId="0" fontId="122" fillId="0" borderId="4578" xfId="0" applyNumberFormat="1" applyFont="1" applyBorder="1" applyAlignment="1">
      <alignment horizontal="center" vertical="center" wrapText="1"/>
    </xf>
    <xf numFmtId="0" fontId="122" fillId="0" borderId="4551" xfId="0" applyNumberFormat="1" applyFont="1" applyBorder="1" applyAlignment="1">
      <alignment horizontal="center" vertical="center" wrapText="1"/>
    </xf>
    <xf numFmtId="0" fontId="122" fillId="0" borderId="4552" xfId="0" applyNumberFormat="1" applyFont="1" applyBorder="1" applyAlignment="1">
      <alignment horizontal="center" vertical="center" wrapText="1"/>
    </xf>
    <xf numFmtId="0" fontId="122" fillId="0" borderId="4553" xfId="0" applyNumberFormat="1" applyFont="1" applyBorder="1" applyAlignment="1">
      <alignment horizontal="center" vertical="center" wrapText="1"/>
    </xf>
    <xf numFmtId="0" fontId="122" fillId="0" borderId="4554" xfId="0" applyNumberFormat="1" applyFont="1" applyBorder="1" applyAlignment="1">
      <alignment horizontal="center" vertical="center" wrapText="1"/>
    </xf>
    <xf numFmtId="0" fontId="122" fillId="0" borderId="4555" xfId="0" applyNumberFormat="1" applyFont="1" applyBorder="1" applyAlignment="1">
      <alignment horizontal="center" vertical="center" wrapText="1"/>
    </xf>
    <xf numFmtId="0" fontId="122" fillId="0" borderId="4556" xfId="0" applyNumberFormat="1" applyFont="1" applyBorder="1" applyAlignment="1">
      <alignment horizontal="center" vertical="center"/>
    </xf>
    <xf numFmtId="0" fontId="122" fillId="0" borderId="4557" xfId="0" applyNumberFormat="1" applyFont="1" applyBorder="1" applyAlignment="1">
      <alignment horizontal="center" vertical="center"/>
    </xf>
    <xf numFmtId="0" fontId="122" fillId="0" borderId="4558" xfId="0" applyNumberFormat="1" applyFont="1" applyBorder="1" applyAlignment="1">
      <alignment horizontal="center" vertical="center"/>
    </xf>
    <xf numFmtId="0" fontId="122" fillId="0" borderId="4559" xfId="0" applyNumberFormat="1" applyFont="1" applyBorder="1" applyAlignment="1">
      <alignment horizontal="center" vertical="center"/>
    </xf>
    <xf numFmtId="0" fontId="122" fillId="0" borderId="4560" xfId="0" applyNumberFormat="1" applyFont="1" applyBorder="1" applyAlignment="1">
      <alignment horizontal="center" vertical="center"/>
    </xf>
    <xf numFmtId="0" fontId="61" fillId="0" borderId="4561" xfId="0" applyNumberFormat="1" applyFont="1" applyBorder="1" applyAlignment="1">
      <alignment horizontal="center" vertical="center" wrapText="1"/>
    </xf>
    <xf numFmtId="0" fontId="61" fillId="0" borderId="4577" xfId="0" applyNumberFormat="1" applyFont="1" applyBorder="1" applyAlignment="1">
      <alignment horizontal="center" vertical="center" wrapText="1"/>
    </xf>
    <xf numFmtId="0" fontId="61" fillId="0" borderId="4581" xfId="0" applyNumberFormat="1" applyFont="1" applyBorder="1" applyAlignment="1">
      <alignment horizontal="center" vertical="center" wrapText="1"/>
    </xf>
    <xf numFmtId="0" fontId="61" fillId="0" borderId="4583" xfId="0" applyNumberFormat="1" applyFont="1" applyBorder="1" applyAlignment="1">
      <alignment horizontal="center" vertical="center" wrapText="1"/>
    </xf>
    <xf numFmtId="0" fontId="61" fillId="0" borderId="4586" xfId="0" applyNumberFormat="1" applyFont="1" applyBorder="1" applyAlignment="1">
      <alignment horizontal="center" vertical="center" wrapText="1"/>
    </xf>
    <xf numFmtId="0" fontId="61" fillId="0" borderId="4602" xfId="0" applyNumberFormat="1" applyFont="1" applyBorder="1" applyAlignment="1">
      <alignment horizontal="center" vertical="center" wrapText="1"/>
    </xf>
    <xf numFmtId="0" fontId="61" fillId="0" borderId="4600" xfId="0" applyNumberFormat="1" applyFont="1" applyBorder="1" applyAlignment="1">
      <alignment horizontal="center" vertical="center" wrapText="1"/>
    </xf>
    <xf numFmtId="0" fontId="61" fillId="0" borderId="4596" xfId="0" applyNumberFormat="1" applyFont="1" applyBorder="1" applyAlignment="1">
      <alignment horizontal="center" vertical="center" wrapText="1"/>
    </xf>
    <xf numFmtId="0" fontId="61" fillId="0" borderId="4594" xfId="0" applyNumberFormat="1" applyFont="1" applyBorder="1" applyAlignment="1">
      <alignment horizontal="center" vertical="center" wrapText="1"/>
    </xf>
    <xf numFmtId="0" fontId="61" fillId="0" borderId="4590" xfId="0" applyNumberFormat="1" applyFont="1" applyBorder="1" applyAlignment="1">
      <alignment horizontal="center" vertical="center" wrapText="1"/>
    </xf>
    <xf numFmtId="0" fontId="61" fillId="0" borderId="4592" xfId="0" applyNumberFormat="1" applyFont="1" applyBorder="1" applyAlignment="1">
      <alignment horizontal="center" vertical="center" wrapText="1"/>
    </xf>
    <xf numFmtId="0" fontId="61" fillId="0" borderId="4604" xfId="0" applyNumberFormat="1" applyFont="1" applyBorder="1" applyAlignment="1">
      <alignment horizontal="center" vertical="center" wrapText="1"/>
    </xf>
    <xf numFmtId="0" fontId="61" fillId="0" borderId="4588" xfId="0" applyNumberFormat="1" applyFont="1" applyBorder="1" applyAlignment="1">
      <alignment horizontal="center" vertical="center" wrapText="1"/>
    </xf>
    <xf numFmtId="0" fontId="61" fillId="0" borderId="4598" xfId="0" applyNumberFormat="1" applyFont="1" applyBorder="1" applyAlignment="1">
      <alignment horizontal="center" vertical="center" wrapText="1"/>
    </xf>
    <xf numFmtId="0" fontId="61" fillId="0" borderId="4608" xfId="0" applyNumberFormat="1" applyFont="1" applyBorder="1" applyAlignment="1">
      <alignment horizontal="center" vertical="center" wrapText="1"/>
    </xf>
    <xf numFmtId="0" fontId="61" fillId="0" borderId="4610" xfId="0" applyNumberFormat="1" applyFont="1" applyBorder="1" applyAlignment="1">
      <alignment horizontal="center" vertical="center" wrapText="1"/>
    </xf>
    <xf numFmtId="0" fontId="61" fillId="0" borderId="4612" xfId="0" applyNumberFormat="1" applyFont="1" applyBorder="1" applyAlignment="1">
      <alignment horizontal="center" vertical="center" wrapText="1"/>
    </xf>
    <xf numFmtId="0" fontId="61" fillId="0" borderId="4614" xfId="0" applyNumberFormat="1" applyFont="1" applyBorder="1" applyAlignment="1">
      <alignment horizontal="center" vertical="center" wrapText="1"/>
    </xf>
    <xf numFmtId="0" fontId="61" fillId="0" borderId="4616" xfId="0" applyNumberFormat="1" applyFont="1" applyBorder="1" applyAlignment="1">
      <alignment horizontal="center" vertical="center" wrapText="1"/>
    </xf>
    <xf numFmtId="0" fontId="61" fillId="0" borderId="4618" xfId="0" applyNumberFormat="1" applyFont="1" applyBorder="1" applyAlignment="1">
      <alignment horizontal="center" vertical="center" wrapText="1"/>
    </xf>
    <xf numFmtId="0" fontId="61" fillId="0" borderId="4620" xfId="0" applyNumberFormat="1" applyFont="1" applyBorder="1" applyAlignment="1">
      <alignment horizontal="center" vertical="center" wrapText="1"/>
    </xf>
    <xf numFmtId="0" fontId="61" fillId="0" borderId="4622" xfId="0" applyNumberFormat="1" applyFont="1" applyBorder="1" applyAlignment="1">
      <alignment horizontal="center" vertical="center" wrapText="1"/>
    </xf>
    <xf numFmtId="0" fontId="61" fillId="0" borderId="4624" xfId="0" applyNumberFormat="1" applyFont="1" applyBorder="1" applyAlignment="1">
      <alignment horizontal="center" vertical="center" wrapText="1"/>
    </xf>
    <xf numFmtId="0" fontId="61" fillId="0" borderId="4626" xfId="0" applyNumberFormat="1" applyFont="1" applyBorder="1" applyAlignment="1">
      <alignment horizontal="center" vertical="center" wrapText="1"/>
    </xf>
    <xf numFmtId="0" fontId="1" fillId="0" borderId="4630" xfId="0" applyNumberFormat="1" applyFont="1" applyBorder="1" applyAlignment="1">
      <alignment horizontal="center" vertical="center"/>
    </xf>
    <xf numFmtId="0" fontId="1" fillId="0" borderId="4631" xfId="0" applyNumberFormat="1" applyFont="1" applyBorder="1" applyAlignment="1">
      <alignment horizontal="center" vertical="center"/>
    </xf>
    <xf numFmtId="0" fontId="1" fillId="0" borderId="4651" xfId="0" applyNumberFormat="1" applyFont="1" applyBorder="1" applyAlignment="1">
      <alignment horizontal="center" vertical="center"/>
    </xf>
    <xf numFmtId="0" fontId="1" fillId="0" borderId="4652" xfId="0" applyNumberFormat="1" applyFont="1" applyBorder="1" applyAlignment="1">
      <alignment horizontal="center" vertical="center"/>
    </xf>
    <xf numFmtId="0" fontId="1" fillId="0" borderId="4654" xfId="0" applyNumberFormat="1" applyFont="1" applyBorder="1" applyAlignment="1">
      <alignment horizontal="center" vertical="center"/>
    </xf>
    <xf numFmtId="0" fontId="1" fillId="0" borderId="4655" xfId="0" applyNumberFormat="1" applyFont="1" applyBorder="1" applyAlignment="1">
      <alignment horizontal="center" vertical="center"/>
    </xf>
    <xf numFmtId="0" fontId="1" fillId="0" borderId="4657" xfId="0" applyNumberFormat="1" applyFont="1" applyBorder="1" applyAlignment="1">
      <alignment horizontal="center" vertical="center"/>
    </xf>
    <xf numFmtId="0" fontId="1" fillId="0" borderId="4658" xfId="0" applyNumberFormat="1" applyFont="1" applyBorder="1" applyAlignment="1">
      <alignment horizontal="center" vertical="center"/>
    </xf>
    <xf numFmtId="0" fontId="1" fillId="0" borderId="4660" xfId="0" applyNumberFormat="1" applyFont="1" applyBorder="1" applyAlignment="1">
      <alignment horizontal="center" vertical="center"/>
    </xf>
    <xf numFmtId="0" fontId="1" fillId="0" borderId="4661" xfId="0" applyNumberFormat="1" applyFont="1" applyBorder="1" applyAlignment="1">
      <alignment horizontal="center" vertical="center"/>
    </xf>
    <xf numFmtId="0" fontId="1" fillId="0" borderId="4663" xfId="0" applyNumberFormat="1" applyFont="1" applyBorder="1" applyAlignment="1">
      <alignment horizontal="center" vertical="center"/>
    </xf>
    <xf numFmtId="0" fontId="1" fillId="0" borderId="4664" xfId="0" applyNumberFormat="1" applyFont="1" applyBorder="1" applyAlignment="1">
      <alignment horizontal="center" vertical="center"/>
    </xf>
    <xf numFmtId="0" fontId="1" fillId="0" borderId="4666" xfId="0" applyNumberFormat="1" applyFont="1" applyBorder="1" applyAlignment="1">
      <alignment horizontal="center" vertical="center"/>
    </xf>
    <xf numFmtId="0" fontId="1" fillId="0" borderId="4667" xfId="0" applyNumberFormat="1" applyFont="1" applyBorder="1" applyAlignment="1">
      <alignment horizontal="center" vertical="center"/>
    </xf>
    <xf numFmtId="0" fontId="1" fillId="0" borderId="4669" xfId="0" applyNumberFormat="1" applyFont="1" applyBorder="1" applyAlignment="1">
      <alignment horizontal="center" vertical="center"/>
    </xf>
    <xf numFmtId="0" fontId="1" fillId="0" borderId="4670" xfId="0" applyNumberFormat="1" applyFont="1" applyBorder="1" applyAlignment="1">
      <alignment horizontal="center" vertical="center"/>
    </xf>
    <xf numFmtId="0" fontId="1" fillId="0" borderId="4672" xfId="0" applyNumberFormat="1" applyFont="1" applyBorder="1" applyAlignment="1">
      <alignment horizontal="center" vertical="center"/>
    </xf>
    <xf numFmtId="0" fontId="1" fillId="0" borderId="4673" xfId="0" applyNumberFormat="1" applyFont="1" applyBorder="1" applyAlignment="1">
      <alignment horizontal="center" vertical="center"/>
    </xf>
    <xf numFmtId="0" fontId="1" fillId="0" borderId="4675" xfId="0" applyNumberFormat="1" applyFont="1" applyBorder="1" applyAlignment="1">
      <alignment horizontal="center" vertical="center"/>
    </xf>
    <xf numFmtId="0" fontId="1" fillId="0" borderId="4676" xfId="0" applyNumberFormat="1" applyFont="1" applyBorder="1" applyAlignment="1">
      <alignment horizontal="center" vertical="center"/>
    </xf>
    <xf numFmtId="0" fontId="1" fillId="0" borderId="4696" xfId="0" applyNumberFormat="1" applyFont="1" applyBorder="1" applyAlignment="1">
      <alignment horizontal="center" vertical="center"/>
    </xf>
    <xf numFmtId="0" fontId="1" fillId="0" borderId="4697" xfId="0" applyNumberFormat="1" applyFont="1" applyBorder="1" applyAlignment="1">
      <alignment horizontal="center" vertical="center"/>
    </xf>
    <xf numFmtId="0" fontId="1" fillId="0" borderId="4717" xfId="0" applyNumberFormat="1" applyFont="1" applyBorder="1" applyAlignment="1">
      <alignment horizontal="center" vertical="center"/>
    </xf>
    <xf numFmtId="0" fontId="1" fillId="0" borderId="4718" xfId="0" applyNumberFormat="1" applyFont="1" applyBorder="1" applyAlignment="1">
      <alignment horizontal="center" vertical="center"/>
    </xf>
    <xf numFmtId="0" fontId="1" fillId="0" borderId="4720" xfId="0" applyNumberFormat="1" applyFont="1" applyBorder="1" applyAlignment="1">
      <alignment horizontal="center" vertical="center"/>
    </xf>
    <xf numFmtId="0" fontId="1" fillId="0" borderId="4721" xfId="0" applyNumberFormat="1" applyFont="1" applyBorder="1" applyAlignment="1">
      <alignment horizontal="center" vertical="center"/>
    </xf>
    <xf numFmtId="0" fontId="1" fillId="0" borderId="4723" xfId="0" applyNumberFormat="1" applyFont="1" applyBorder="1" applyAlignment="1">
      <alignment horizontal="center" vertical="center"/>
    </xf>
    <xf numFmtId="0" fontId="1" fillId="0" borderId="4724" xfId="0" applyNumberFormat="1" applyFont="1" applyBorder="1" applyAlignment="1">
      <alignment horizontal="center" vertical="center"/>
    </xf>
    <xf numFmtId="0" fontId="1" fillId="0" borderId="4726" xfId="0" applyNumberFormat="1" applyFont="1" applyBorder="1" applyAlignment="1">
      <alignment horizontal="center" vertical="center"/>
    </xf>
    <xf numFmtId="0" fontId="1" fillId="0" borderId="4727" xfId="0" applyNumberFormat="1" applyFont="1" applyBorder="1" applyAlignment="1">
      <alignment horizontal="center" vertical="center"/>
    </xf>
    <xf numFmtId="0" fontId="1" fillId="0" borderId="4729" xfId="0" applyNumberFormat="1" applyFont="1" applyBorder="1" applyAlignment="1">
      <alignment horizontal="center" vertical="center"/>
    </xf>
    <xf numFmtId="0" fontId="1" fillId="0" borderId="4730" xfId="0" applyNumberFormat="1" applyFont="1" applyBorder="1" applyAlignment="1">
      <alignment horizontal="center" vertical="center"/>
    </xf>
    <xf numFmtId="0" fontId="1" fillId="0" borderId="4732" xfId="0" applyNumberFormat="1" applyFont="1" applyBorder="1" applyAlignment="1">
      <alignment horizontal="center" vertical="center"/>
    </xf>
    <xf numFmtId="0" fontId="1" fillId="0" borderId="4733" xfId="0" applyNumberFormat="1" applyFont="1" applyBorder="1" applyAlignment="1">
      <alignment horizontal="center" vertical="center"/>
    </xf>
    <xf numFmtId="0" fontId="1" fillId="0" borderId="4735" xfId="0" applyNumberFormat="1" applyFont="1" applyBorder="1" applyAlignment="1">
      <alignment horizontal="center" vertical="center"/>
    </xf>
    <xf numFmtId="0" fontId="1" fillId="0" borderId="4736" xfId="0" applyNumberFormat="1" applyFont="1" applyBorder="1" applyAlignment="1">
      <alignment horizontal="center" vertical="center"/>
    </xf>
    <xf numFmtId="0" fontId="1" fillId="0" borderId="4738" xfId="0" applyNumberFormat="1" applyFont="1" applyBorder="1" applyAlignment="1">
      <alignment horizontal="center" vertical="center"/>
    </xf>
    <xf numFmtId="0" fontId="1" fillId="0" borderId="4739" xfId="0" applyNumberFormat="1" applyFont="1" applyBorder="1" applyAlignment="1">
      <alignment horizontal="center" vertical="center"/>
    </xf>
    <xf numFmtId="0" fontId="61" fillId="0" borderId="4628" xfId="0" applyNumberFormat="1" applyFont="1" applyBorder="1" applyAlignment="1">
      <alignment horizontal="center" vertical="center" wrapText="1"/>
    </xf>
    <xf numFmtId="0" fontId="61" fillId="0" borderId="4606" xfId="0" applyNumberFormat="1" applyFont="1" applyBorder="1" applyAlignment="1">
      <alignment horizontal="center" vertical="center" wrapText="1"/>
    </xf>
    <xf numFmtId="0" fontId="61" fillId="0" borderId="4603" xfId="0" applyNumberFormat="1" applyFont="1" applyBorder="1" applyAlignment="1">
      <alignment horizontal="center" vertical="center" wrapText="1"/>
    </xf>
    <xf numFmtId="0" fontId="61" fillId="0" borderId="4582" xfId="0" applyNumberFormat="1" applyFont="1" applyBorder="1" applyAlignment="1">
      <alignment horizontal="center" vertical="center" wrapText="1"/>
    </xf>
    <xf numFmtId="0" fontId="61" fillId="0" borderId="4621" xfId="0" applyNumberFormat="1" applyFont="1" applyBorder="1" applyAlignment="1">
      <alignment horizontal="center" vertical="center" wrapText="1"/>
    </xf>
    <xf numFmtId="0" fontId="125" fillId="0" borderId="4627" xfId="0" applyNumberFormat="1" applyFont="1" applyBorder="1" applyAlignment="1">
      <alignment horizontal="center" vertical="center" wrapText="1"/>
    </xf>
    <xf numFmtId="0" fontId="61" fillId="0" borderId="4617" xfId="0" applyNumberFormat="1" applyFont="1" applyBorder="1" applyAlignment="1">
      <alignment horizontal="center" vertical="center" wrapText="1"/>
    </xf>
    <xf numFmtId="0" fontId="61" fillId="0" borderId="4619" xfId="0" applyNumberFormat="1" applyFont="1" applyBorder="1" applyAlignment="1">
      <alignment horizontal="center" vertical="center" wrapText="1"/>
    </xf>
    <xf numFmtId="0" fontId="61" fillId="0" borderId="4611" xfId="0" applyNumberFormat="1" applyFont="1" applyBorder="1" applyAlignment="1">
      <alignment horizontal="center" vertical="center" wrapText="1"/>
    </xf>
    <xf numFmtId="0" fontId="61" fillId="0" borderId="4607" xfId="0" applyNumberFormat="1" applyFont="1" applyBorder="1" applyAlignment="1">
      <alignment horizontal="center" vertical="center" wrapText="1"/>
    </xf>
    <xf numFmtId="0" fontId="61" fillId="0" borderId="4584" xfId="0" applyNumberFormat="1" applyFont="1" applyBorder="1" applyAlignment="1">
      <alignment horizontal="center" vertical="center" wrapText="1"/>
    </xf>
    <xf numFmtId="0" fontId="61" fillId="0" borderId="4605" xfId="0" applyNumberFormat="1" applyFont="1" applyBorder="1" applyAlignment="1">
      <alignment horizontal="center" vertical="center" wrapText="1"/>
    </xf>
    <xf numFmtId="0" fontId="61" fillId="0" borderId="4623" xfId="0" applyNumberFormat="1" applyFont="1" applyBorder="1" applyAlignment="1">
      <alignment horizontal="center" vertical="center" wrapText="1"/>
    </xf>
    <xf numFmtId="0" fontId="125" fillId="0" borderId="4629" xfId="0" applyNumberFormat="1" applyFont="1" applyBorder="1" applyAlignment="1">
      <alignment horizontal="center" vertical="center" wrapText="1"/>
    </xf>
    <xf numFmtId="0" fontId="125" fillId="0" borderId="4625" xfId="0" applyNumberFormat="1" applyFont="1" applyBorder="1" applyAlignment="1">
      <alignment horizontal="center" vertical="center" wrapText="1"/>
    </xf>
    <xf numFmtId="0" fontId="61" fillId="0" borderId="4615" xfId="0" applyNumberFormat="1" applyFont="1" applyBorder="1" applyAlignment="1">
      <alignment horizontal="center" vertical="center" wrapText="1"/>
    </xf>
    <xf numFmtId="0" fontId="61" fillId="0" borderId="4613" xfId="0" applyNumberFormat="1" applyFont="1" applyBorder="1" applyAlignment="1">
      <alignment horizontal="center" vertical="center" wrapText="1"/>
    </xf>
    <xf numFmtId="0" fontId="61" fillId="0" borderId="4609" xfId="0" applyNumberFormat="1" applyFont="1" applyBorder="1" applyAlignment="1">
      <alignment horizontal="center" vertical="center" wrapText="1"/>
    </xf>
    <xf numFmtId="0" fontId="61" fillId="0" borderId="4587" xfId="0" applyNumberFormat="1" applyFont="1" applyBorder="1" applyAlignment="1">
      <alignment horizontal="center" vertical="center" wrapText="1"/>
    </xf>
    <xf numFmtId="0" fontId="126" fillId="0" borderId="4725" xfId="0" applyNumberFormat="1" applyFont="1" applyBorder="1" applyAlignment="1">
      <alignment vertical="center" wrapText="1"/>
    </xf>
    <xf numFmtId="0" fontId="126" fillId="0" borderId="4728" xfId="0" applyNumberFormat="1" applyFont="1" applyBorder="1" applyAlignment="1">
      <alignment vertical="center" wrapText="1"/>
    </xf>
    <xf numFmtId="0" fontId="126" fillId="0" borderId="4731" xfId="0" applyNumberFormat="1" applyFont="1" applyBorder="1" applyAlignment="1">
      <alignment horizontal="left" vertical="center" wrapText="1"/>
    </xf>
    <xf numFmtId="0" fontId="126" fillId="0" borderId="4734" xfId="0" applyNumberFormat="1" applyFont="1" applyBorder="1" applyAlignment="1">
      <alignment vertical="center" wrapText="1"/>
    </xf>
    <xf numFmtId="0" fontId="126" fillId="0" borderId="4737" xfId="0" applyNumberFormat="1" applyFont="1" applyBorder="1" applyAlignment="1">
      <alignment horizontal="left" vertical="center" wrapText="1"/>
    </xf>
    <xf numFmtId="0" fontId="126" fillId="0" borderId="4740" xfId="0" applyNumberFormat="1" applyFont="1" applyBorder="1" applyAlignment="1">
      <alignment horizontal="left" vertical="center" wrapText="1"/>
    </xf>
    <xf numFmtId="0" fontId="126" fillId="0" borderId="4741" xfId="0" applyNumberFormat="1" applyFont="1" applyBorder="1" applyAlignment="1">
      <alignment horizontal="left" vertical="center" wrapText="1"/>
    </xf>
    <xf numFmtId="0" fontId="126" fillId="0" borderId="4742" xfId="0" applyNumberFormat="1" applyFont="1" applyBorder="1" applyAlignment="1">
      <alignment horizontal="left" vertical="center" wrapText="1"/>
    </xf>
    <xf numFmtId="0" fontId="126" fillId="0" borderId="4743" xfId="0" applyNumberFormat="1" applyFont="1" applyBorder="1" applyAlignment="1">
      <alignment horizontal="left" vertical="center" wrapText="1"/>
    </xf>
    <xf numFmtId="0" fontId="126" fillId="0" borderId="4744" xfId="0" applyNumberFormat="1" applyFont="1" applyBorder="1" applyAlignment="1">
      <alignment horizontal="left" vertical="center" wrapText="1"/>
    </xf>
    <xf numFmtId="0" fontId="126" fillId="0" borderId="4745" xfId="0" applyNumberFormat="1" applyFont="1" applyBorder="1" applyAlignment="1">
      <alignment horizontal="left" vertical="center" wrapText="1"/>
    </xf>
    <xf numFmtId="0" fontId="126" fillId="0" borderId="4746" xfId="0" applyNumberFormat="1" applyFont="1" applyBorder="1" applyAlignment="1">
      <alignment horizontal="left" vertical="center" wrapText="1"/>
    </xf>
    <xf numFmtId="0" fontId="126" fillId="0" borderId="4747" xfId="0" applyNumberFormat="1" applyFont="1" applyBorder="1" applyAlignment="1">
      <alignment horizontal="left" vertical="center" wrapText="1"/>
    </xf>
    <xf numFmtId="0" fontId="126" fillId="0" borderId="4748" xfId="0" applyNumberFormat="1" applyFont="1" applyBorder="1" applyAlignment="1">
      <alignment horizontal="left" vertical="center" wrapText="1"/>
    </xf>
    <xf numFmtId="0" fontId="126" fillId="0" borderId="4749" xfId="0" applyNumberFormat="1" applyFont="1" applyBorder="1" applyAlignment="1">
      <alignment horizontal="left" vertical="center" wrapText="1"/>
    </xf>
    <xf numFmtId="0" fontId="126" fillId="0" borderId="4750" xfId="0" applyNumberFormat="1" applyFont="1" applyBorder="1" applyAlignment="1">
      <alignment horizontal="left" vertical="center" wrapText="1"/>
    </xf>
    <xf numFmtId="0" fontId="126" fillId="0" borderId="4751" xfId="0" applyNumberFormat="1" applyFont="1" applyBorder="1" applyAlignment="1">
      <alignment horizontal="left" vertical="center" wrapText="1"/>
    </xf>
    <xf numFmtId="0" fontId="126" fillId="0" borderId="4752" xfId="0" applyNumberFormat="1" applyFont="1" applyBorder="1" applyAlignment="1">
      <alignment horizontal="left" vertical="center" wrapText="1"/>
    </xf>
    <xf numFmtId="0" fontId="126" fillId="0" borderId="4753" xfId="0" applyNumberFormat="1" applyFont="1" applyBorder="1" applyAlignment="1">
      <alignment horizontal="left" vertical="center" wrapText="1"/>
    </xf>
    <xf numFmtId="0" fontId="126" fillId="0" borderId="4754" xfId="0" applyNumberFormat="1" applyFont="1" applyBorder="1" applyAlignment="1">
      <alignment horizontal="left" vertical="center" wrapText="1"/>
    </xf>
    <xf numFmtId="0" fontId="126" fillId="0" borderId="4755" xfId="0" applyNumberFormat="1" applyFont="1" applyBorder="1" applyAlignment="1">
      <alignment horizontal="left" vertical="center" wrapText="1"/>
    </xf>
    <xf numFmtId="0" fontId="126" fillId="0" borderId="4756" xfId="0" applyNumberFormat="1" applyFont="1" applyBorder="1" applyAlignment="1">
      <alignment horizontal="left" vertical="center" wrapText="1"/>
    </xf>
    <xf numFmtId="0" fontId="126" fillId="0" borderId="4757" xfId="0" applyNumberFormat="1" applyFont="1" applyBorder="1" applyAlignment="1">
      <alignment horizontal="left" vertical="center" wrapText="1"/>
    </xf>
    <xf numFmtId="0" fontId="126" fillId="0" borderId="4758" xfId="0" applyNumberFormat="1" applyFont="1" applyBorder="1" applyAlignment="1">
      <alignment horizontal="left" vertical="center" wrapText="1"/>
    </xf>
    <xf numFmtId="0" fontId="126" fillId="0" borderId="4761" xfId="0" applyNumberFormat="1" applyFont="1" applyBorder="1" applyAlignment="1">
      <alignment horizontal="left" vertical="center" wrapText="1"/>
    </xf>
    <xf numFmtId="0" fontId="126" fillId="0" borderId="4762" xfId="0" applyNumberFormat="1" applyFont="1" applyBorder="1" applyAlignment="1">
      <alignment horizontal="left" vertical="center" wrapText="1"/>
    </xf>
    <xf numFmtId="0" fontId="126" fillId="0" borderId="4763" xfId="0" applyNumberFormat="1" applyFont="1" applyBorder="1" applyAlignment="1">
      <alignment horizontal="left" vertical="center" wrapText="1"/>
    </xf>
    <xf numFmtId="0" fontId="126" fillId="0" borderId="4764" xfId="0" applyNumberFormat="1" applyFont="1" applyBorder="1" applyAlignment="1">
      <alignment horizontal="left" vertical="center" wrapText="1"/>
    </xf>
    <xf numFmtId="0" fontId="126" fillId="0" borderId="4765" xfId="0" applyNumberFormat="1" applyFont="1" applyBorder="1" applyAlignment="1">
      <alignment horizontal="left" vertical="center" wrapText="1"/>
    </xf>
    <xf numFmtId="0" fontId="126" fillId="0" borderId="4766" xfId="0" applyNumberFormat="1" applyFont="1" applyBorder="1" applyAlignment="1">
      <alignment horizontal="left" vertical="center" wrapText="1"/>
    </xf>
    <xf numFmtId="0" fontId="126" fillId="0" borderId="4767" xfId="0" applyNumberFormat="1" applyFont="1" applyBorder="1" applyAlignment="1">
      <alignment horizontal="left" vertical="center" wrapText="1"/>
    </xf>
    <xf numFmtId="0" fontId="126" fillId="0" borderId="4768" xfId="0" applyNumberFormat="1" applyFont="1" applyBorder="1" applyAlignment="1">
      <alignment horizontal="left" vertical="center" wrapText="1"/>
    </xf>
    <xf numFmtId="0" fontId="126" fillId="0" borderId="4769" xfId="0" applyNumberFormat="1" applyFont="1" applyBorder="1" applyAlignment="1">
      <alignment horizontal="left" vertical="center" wrapText="1"/>
    </xf>
    <xf numFmtId="0" fontId="126" fillId="0" borderId="4770" xfId="0" applyNumberFormat="1" applyFont="1" applyBorder="1" applyAlignment="1">
      <alignment horizontal="left" vertical="center" wrapText="1"/>
    </xf>
    <xf numFmtId="0" fontId="126" fillId="0" borderId="4771" xfId="0" applyNumberFormat="1" applyFont="1" applyBorder="1" applyAlignment="1">
      <alignment horizontal="left" vertical="center" wrapText="1"/>
    </xf>
    <xf numFmtId="0" fontId="126" fillId="0" borderId="4772" xfId="0" applyNumberFormat="1" applyFont="1" applyBorder="1" applyAlignment="1">
      <alignment horizontal="left" vertical="center" wrapText="1"/>
    </xf>
    <xf numFmtId="0" fontId="126" fillId="0" borderId="4773" xfId="0" applyNumberFormat="1" applyFont="1" applyBorder="1" applyAlignment="1">
      <alignment horizontal="left" vertical="center" wrapText="1"/>
    </xf>
    <xf numFmtId="0" fontId="126" fillId="0" borderId="4774" xfId="0" applyNumberFormat="1" applyFont="1" applyBorder="1" applyAlignment="1">
      <alignment horizontal="left" vertical="center" wrapText="1"/>
    </xf>
    <xf numFmtId="0" fontId="126" fillId="0" borderId="4775" xfId="0" applyNumberFormat="1" applyFont="1" applyBorder="1" applyAlignment="1">
      <alignment horizontal="left" vertical="center" wrapText="1"/>
    </xf>
    <xf numFmtId="0" fontId="126" fillId="0" borderId="4776" xfId="0" applyNumberFormat="1" applyFont="1" applyBorder="1" applyAlignment="1">
      <alignment horizontal="left" vertical="center" wrapText="1"/>
    </xf>
    <xf numFmtId="0" fontId="126" fillId="0" borderId="4777" xfId="0" applyNumberFormat="1" applyFont="1" applyBorder="1" applyAlignment="1">
      <alignment horizontal="left" vertical="center" wrapText="1"/>
    </xf>
    <xf numFmtId="0" fontId="126" fillId="0" borderId="4778" xfId="0" applyNumberFormat="1" applyFont="1" applyBorder="1" applyAlignment="1">
      <alignment horizontal="left" vertical="center" wrapText="1"/>
    </xf>
    <xf numFmtId="0" fontId="126" fillId="0" borderId="4779" xfId="0" applyNumberFormat="1" applyFont="1" applyBorder="1" applyAlignment="1">
      <alignment horizontal="left" vertical="center" wrapText="1"/>
    </xf>
    <xf numFmtId="0" fontId="126" fillId="0" borderId="4782" xfId="0" applyNumberFormat="1" applyFont="1" applyBorder="1" applyAlignment="1">
      <alignment horizontal="left" vertical="center" wrapText="1"/>
    </xf>
    <xf numFmtId="0" fontId="1" fillId="0" borderId="4759" xfId="0" applyNumberFormat="1" applyFont="1" applyBorder="1" applyAlignment="1">
      <alignment horizontal="center" vertical="center"/>
    </xf>
    <xf numFmtId="0" fontId="1" fillId="0" borderId="4760" xfId="0" applyNumberFormat="1" applyFont="1" applyBorder="1" applyAlignment="1">
      <alignment horizontal="center" vertical="center"/>
    </xf>
    <xf numFmtId="0" fontId="1" fillId="0" borderId="4780" xfId="0" applyNumberFormat="1" applyFont="1" applyBorder="1" applyAlignment="1">
      <alignment horizontal="center" vertical="center"/>
    </xf>
    <xf numFmtId="0" fontId="1" fillId="0" borderId="4781" xfId="0" applyNumberFormat="1" applyFont="1" applyBorder="1" applyAlignment="1">
      <alignment horizontal="center" vertical="center"/>
    </xf>
    <xf numFmtId="0" fontId="1" fillId="0" borderId="4783" xfId="0" applyNumberFormat="1" applyFont="1" applyBorder="1" applyAlignment="1">
      <alignment horizontal="center" vertical="center"/>
    </xf>
    <xf numFmtId="0" fontId="1" fillId="0" borderId="4784" xfId="0" applyNumberFormat="1" applyFont="1" applyBorder="1" applyAlignment="1">
      <alignment horizontal="center" vertical="center"/>
    </xf>
    <xf numFmtId="0" fontId="126" fillId="0" borderId="4785" xfId="0" applyNumberFormat="1" applyFont="1" applyBorder="1" applyAlignment="1">
      <alignment horizontal="left" vertical="center" wrapText="1"/>
    </xf>
    <xf numFmtId="0" fontId="126" fillId="0" borderId="4786" xfId="0" applyNumberFormat="1" applyFont="1" applyBorder="1" applyAlignment="1">
      <alignment horizontal="left" vertical="center" wrapText="1"/>
    </xf>
    <xf numFmtId="0" fontId="126" fillId="0" borderId="4787" xfId="0" applyNumberFormat="1" applyFont="1" applyBorder="1" applyAlignment="1">
      <alignment horizontal="left" vertical="center" wrapText="1"/>
    </xf>
    <xf numFmtId="0" fontId="126" fillId="0" borderId="4788" xfId="0" applyNumberFormat="1" applyFont="1" applyBorder="1" applyAlignment="1">
      <alignment horizontal="left" vertical="center" wrapText="1"/>
    </xf>
    <xf numFmtId="0" fontId="126" fillId="0" borderId="4789" xfId="0" applyNumberFormat="1" applyFont="1" applyBorder="1" applyAlignment="1">
      <alignment horizontal="left" vertical="center" wrapText="1"/>
    </xf>
    <xf numFmtId="0" fontId="126" fillId="0" borderId="4790" xfId="0" applyNumberFormat="1" applyFont="1" applyBorder="1" applyAlignment="1">
      <alignment horizontal="left" vertical="center" wrapText="1"/>
    </xf>
    <xf numFmtId="0" fontId="126" fillId="0" borderId="4791" xfId="0" applyNumberFormat="1" applyFont="1" applyBorder="1" applyAlignment="1">
      <alignment horizontal="left" vertical="center" wrapText="1"/>
    </xf>
    <xf numFmtId="0" fontId="126" fillId="0" borderId="4792" xfId="0" applyNumberFormat="1" applyFont="1" applyBorder="1" applyAlignment="1">
      <alignment horizontal="left" vertical="center" wrapText="1"/>
    </xf>
    <xf numFmtId="0" fontId="126" fillId="0" borderId="4793" xfId="0" applyNumberFormat="1" applyFont="1" applyBorder="1" applyAlignment="1">
      <alignment horizontal="left" vertical="center" wrapText="1"/>
    </xf>
    <xf numFmtId="0" fontId="126" fillId="0" borderId="4794" xfId="0" applyNumberFormat="1" applyFont="1" applyBorder="1" applyAlignment="1">
      <alignment horizontal="left" vertical="center" wrapText="1"/>
    </xf>
    <xf numFmtId="0" fontId="126" fillId="0" borderId="4795" xfId="0" applyNumberFormat="1" applyFont="1" applyBorder="1" applyAlignment="1">
      <alignment horizontal="left" vertical="center" wrapText="1"/>
    </xf>
    <xf numFmtId="0" fontId="126" fillId="0" borderId="4796" xfId="0" applyNumberFormat="1" applyFont="1" applyBorder="1" applyAlignment="1">
      <alignment horizontal="left" vertical="center" wrapText="1"/>
    </xf>
    <xf numFmtId="0" fontId="126" fillId="0" borderId="4797" xfId="0" applyNumberFormat="1" applyFont="1" applyBorder="1" applyAlignment="1">
      <alignment horizontal="left" vertical="center" wrapText="1"/>
    </xf>
    <xf numFmtId="0" fontId="126" fillId="0" borderId="4798" xfId="0" applyNumberFormat="1" applyFont="1" applyBorder="1" applyAlignment="1">
      <alignment horizontal="left" vertical="center" wrapText="1"/>
    </xf>
    <xf numFmtId="0" fontId="126" fillId="0" borderId="4799" xfId="0" applyNumberFormat="1" applyFont="1" applyBorder="1" applyAlignment="1">
      <alignment horizontal="left" vertical="center" wrapText="1"/>
    </xf>
    <xf numFmtId="0" fontId="126" fillId="0" borderId="4800" xfId="0" applyNumberFormat="1" applyFont="1" applyBorder="1" applyAlignment="1">
      <alignment horizontal="left" vertical="center" wrapText="1"/>
    </xf>
    <xf numFmtId="0" fontId="126" fillId="0" borderId="4801" xfId="0" applyNumberFormat="1" applyFont="1" applyBorder="1" applyAlignment="1">
      <alignment horizontal="left" vertical="center" wrapText="1"/>
    </xf>
    <xf numFmtId="0" fontId="126" fillId="0" borderId="4802" xfId="0" applyNumberFormat="1" applyFont="1" applyBorder="1" applyAlignment="1">
      <alignment horizontal="left" vertical="center" wrapText="1"/>
    </xf>
    <xf numFmtId="0" fontId="126" fillId="0" borderId="4803" xfId="0" applyNumberFormat="1" applyFont="1" applyBorder="1" applyAlignment="1">
      <alignment horizontal="left" vertical="center" wrapText="1"/>
    </xf>
    <xf numFmtId="0" fontId="61" fillId="0" borderId="4601" xfId="0" applyNumberFormat="1" applyFont="1" applyBorder="1" applyAlignment="1">
      <alignment horizontal="center" vertical="center" wrapText="1"/>
    </xf>
    <xf numFmtId="0" fontId="61" fillId="0" borderId="4599" xfId="0" applyNumberFormat="1" applyFont="1" applyBorder="1" applyAlignment="1">
      <alignment horizontal="center" vertical="center" wrapText="1"/>
    </xf>
    <xf numFmtId="0" fontId="61" fillId="0" borderId="4597" xfId="0" applyNumberFormat="1" applyFont="1" applyBorder="1" applyAlignment="1">
      <alignment horizontal="center" vertical="center" wrapText="1"/>
    </xf>
    <xf numFmtId="0" fontId="61" fillId="0" borderId="4595" xfId="0" applyNumberFormat="1" applyFont="1" applyBorder="1" applyAlignment="1">
      <alignment horizontal="center" vertical="center" wrapText="1"/>
    </xf>
    <xf numFmtId="0" fontId="61" fillId="0" borderId="4593" xfId="0" applyNumberFormat="1" applyFont="1" applyBorder="1" applyAlignment="1">
      <alignment horizontal="center" vertical="center" wrapText="1"/>
    </xf>
    <xf numFmtId="0" fontId="61" fillId="0" borderId="4591" xfId="0" applyNumberFormat="1" applyFont="1" applyBorder="1" applyAlignment="1">
      <alignment horizontal="center" vertical="center" wrapText="1"/>
    </xf>
    <xf numFmtId="0" fontId="61" fillId="0" borderId="4589" xfId="0" applyNumberFormat="1" applyFont="1" applyBorder="1" applyAlignment="1">
      <alignment horizontal="center" vertical="center" wrapText="1"/>
    </xf>
    <xf numFmtId="49" fontId="114" fillId="0" borderId="4632" xfId="0" applyNumberFormat="1" applyFont="1" applyBorder="1" applyAlignment="1" applyProtection="1">
      <alignment vertical="center" wrapText="1"/>
      <protection locked="0"/>
    </xf>
    <xf numFmtId="49" fontId="114" fillId="0" borderId="4633" xfId="0" applyNumberFormat="1" applyFont="1" applyBorder="1" applyAlignment="1" applyProtection="1">
      <alignment vertical="center" wrapText="1"/>
      <protection locked="0"/>
    </xf>
    <xf numFmtId="49" fontId="114" fillId="0" borderId="4634" xfId="0" applyNumberFormat="1" applyFont="1" applyBorder="1" applyAlignment="1" applyProtection="1">
      <alignment vertical="center" wrapText="1"/>
      <protection locked="0"/>
    </xf>
    <xf numFmtId="49" fontId="114" fillId="0" borderId="4635" xfId="0" applyNumberFormat="1" applyFont="1" applyBorder="1" applyAlignment="1" applyProtection="1">
      <alignment vertical="center" wrapText="1"/>
      <protection locked="0"/>
    </xf>
    <xf numFmtId="49" fontId="114" fillId="0" borderId="4636" xfId="0" applyNumberFormat="1" applyFont="1" applyBorder="1" applyAlignment="1" applyProtection="1">
      <alignment vertical="center" wrapText="1"/>
      <protection locked="0"/>
    </xf>
    <xf numFmtId="49" fontId="114" fillId="0" borderId="4637" xfId="0" applyNumberFormat="1" applyFont="1" applyBorder="1" applyAlignment="1" applyProtection="1">
      <alignment vertical="center" wrapText="1"/>
      <protection locked="0"/>
    </xf>
    <xf numFmtId="49" fontId="114" fillId="0" borderId="4638" xfId="0" applyNumberFormat="1" applyFont="1" applyBorder="1" applyAlignment="1" applyProtection="1">
      <alignment vertical="center" wrapText="1"/>
      <protection locked="0"/>
    </xf>
    <xf numFmtId="49" fontId="114" fillId="0" borderId="4639" xfId="0" applyNumberFormat="1" applyFont="1" applyBorder="1" applyAlignment="1" applyProtection="1">
      <alignment vertical="center" wrapText="1"/>
      <protection locked="0"/>
    </xf>
    <xf numFmtId="49" fontId="114" fillId="0" borderId="4640" xfId="0" applyNumberFormat="1" applyFont="1" applyBorder="1" applyAlignment="1" applyProtection="1">
      <alignment vertical="center" wrapText="1"/>
      <protection locked="0"/>
    </xf>
    <xf numFmtId="49" fontId="114" fillId="0" borderId="4641" xfId="0" applyNumberFormat="1" applyFont="1" applyBorder="1" applyAlignment="1" applyProtection="1">
      <alignment vertical="center" wrapText="1"/>
      <protection locked="0"/>
    </xf>
    <xf numFmtId="49" fontId="114" fillId="0" borderId="4642" xfId="0" applyNumberFormat="1" applyFont="1" applyBorder="1" applyAlignment="1" applyProtection="1">
      <alignment vertical="center" wrapText="1"/>
      <protection locked="0"/>
    </xf>
    <xf numFmtId="49" fontId="114" fillId="0" borderId="4643" xfId="0" applyNumberFormat="1" applyFont="1" applyBorder="1" applyAlignment="1" applyProtection="1">
      <alignment vertical="center" wrapText="1"/>
      <protection locked="0"/>
    </xf>
    <xf numFmtId="49" fontId="114" fillId="0" borderId="4644" xfId="0" applyNumberFormat="1" applyFont="1" applyBorder="1" applyAlignment="1" applyProtection="1">
      <alignment vertical="center" wrapText="1"/>
      <protection locked="0"/>
    </xf>
    <xf numFmtId="49" fontId="114" fillId="0" borderId="4645" xfId="0" applyNumberFormat="1" applyFont="1" applyBorder="1" applyAlignment="1" applyProtection="1">
      <alignment vertical="center" wrapText="1"/>
      <protection locked="0"/>
    </xf>
    <xf numFmtId="49" fontId="114" fillId="0" borderId="4646" xfId="0" applyNumberFormat="1" applyFont="1" applyBorder="1" applyAlignment="1" applyProtection="1">
      <alignment vertical="center" wrapText="1"/>
      <protection locked="0"/>
    </xf>
    <xf numFmtId="49" fontId="114" fillId="0" borderId="4647" xfId="0" applyNumberFormat="1" applyFont="1" applyBorder="1" applyAlignment="1" applyProtection="1">
      <alignment vertical="center" wrapText="1"/>
      <protection locked="0"/>
    </xf>
    <xf numFmtId="49" fontId="114" fillId="0" borderId="4648" xfId="0" applyNumberFormat="1" applyFont="1" applyBorder="1" applyAlignment="1" applyProtection="1">
      <alignment vertical="center" wrapText="1"/>
      <protection locked="0"/>
    </xf>
    <xf numFmtId="49" fontId="114" fillId="0" borderId="4649" xfId="0" applyNumberFormat="1" applyFont="1" applyBorder="1" applyAlignment="1" applyProtection="1">
      <alignment vertical="center" wrapText="1"/>
      <protection locked="0"/>
    </xf>
    <xf numFmtId="49" fontId="114" fillId="0" borderId="4650" xfId="0" applyNumberFormat="1" applyFont="1" applyBorder="1" applyAlignment="1" applyProtection="1">
      <alignment vertical="center" wrapText="1"/>
      <protection locked="0"/>
    </xf>
    <xf numFmtId="49" fontId="114" fillId="0" borderId="4653" xfId="0" applyNumberFormat="1" applyFont="1" applyBorder="1" applyAlignment="1" applyProtection="1">
      <alignment horizontal="left" vertical="center" wrapText="1"/>
      <protection locked="0"/>
    </xf>
    <xf numFmtId="0" fontId="126" fillId="0" borderId="4656" xfId="0" applyNumberFormat="1" applyFont="1" applyBorder="1" applyAlignment="1">
      <alignment horizontal="left" vertical="top" wrapText="1"/>
    </xf>
    <xf numFmtId="0" fontId="126" fillId="0" borderId="4659" xfId="0" applyNumberFormat="1" applyFont="1" applyBorder="1" applyAlignment="1">
      <alignment horizontal="left" vertical="center" wrapText="1"/>
    </xf>
    <xf numFmtId="0" fontId="126" fillId="0" borderId="4662" xfId="0" applyNumberFormat="1" applyFont="1" applyBorder="1" applyAlignment="1">
      <alignment horizontal="left" vertical="top" wrapText="1"/>
    </xf>
    <xf numFmtId="0" fontId="126" fillId="0" borderId="4665" xfId="0" applyNumberFormat="1" applyFont="1" applyBorder="1" applyAlignment="1">
      <alignment horizontal="left" vertical="top" wrapText="1"/>
    </xf>
    <xf numFmtId="0" fontId="114" fillId="0" borderId="4668" xfId="0" applyNumberFormat="1" applyFont="1" applyBorder="1" applyAlignment="1">
      <alignment vertical="center" wrapText="1"/>
    </xf>
    <xf numFmtId="0" fontId="126" fillId="0" borderId="4671" xfId="0" applyNumberFormat="1" applyFont="1" applyBorder="1" applyAlignment="1">
      <alignment horizontal="left" vertical="top" wrapText="1"/>
    </xf>
    <xf numFmtId="0" fontId="126" fillId="0" borderId="4674" xfId="0" applyNumberFormat="1" applyFont="1" applyBorder="1" applyAlignment="1">
      <alignment horizontal="left" vertical="top" wrapText="1"/>
    </xf>
    <xf numFmtId="0" fontId="126" fillId="0" borderId="4677" xfId="0" applyNumberFormat="1" applyFont="1" applyBorder="1" applyAlignment="1">
      <alignment horizontal="left" vertical="top" wrapText="1"/>
    </xf>
    <xf numFmtId="0" fontId="126" fillId="0" borderId="4678" xfId="0" applyNumberFormat="1" applyFont="1" applyBorder="1" applyAlignment="1">
      <alignment horizontal="left" vertical="top" wrapText="1"/>
    </xf>
    <xf numFmtId="0" fontId="126" fillId="0" borderId="4679" xfId="0" applyNumberFormat="1" applyFont="1" applyBorder="1" applyAlignment="1">
      <alignment horizontal="left" vertical="top" wrapText="1"/>
    </xf>
    <xf numFmtId="0" fontId="126" fillId="0" borderId="4680" xfId="0" applyNumberFormat="1" applyFont="1" applyBorder="1" applyAlignment="1">
      <alignment horizontal="left" vertical="top" wrapText="1"/>
    </xf>
    <xf numFmtId="0" fontId="126" fillId="0" borderId="4681" xfId="0" applyNumberFormat="1" applyFont="1" applyBorder="1" applyAlignment="1">
      <alignment horizontal="left" vertical="top" wrapText="1"/>
    </xf>
    <xf numFmtId="0" fontId="126" fillId="0" borderId="4682" xfId="0" applyNumberFormat="1" applyFont="1" applyBorder="1" applyAlignment="1">
      <alignment horizontal="left" vertical="top" wrapText="1"/>
    </xf>
    <xf numFmtId="0" fontId="126" fillId="0" borderId="4683" xfId="0" applyNumberFormat="1" applyFont="1" applyBorder="1" applyAlignment="1">
      <alignment horizontal="left" vertical="top" wrapText="1"/>
    </xf>
    <xf numFmtId="0" fontId="126" fillId="0" borderId="4684" xfId="0" applyNumberFormat="1" applyFont="1" applyBorder="1" applyAlignment="1">
      <alignment horizontal="left" vertical="top" wrapText="1"/>
    </xf>
    <xf numFmtId="0" fontId="126" fillId="0" borderId="4685" xfId="0" applyNumberFormat="1" applyFont="1" applyBorder="1" applyAlignment="1">
      <alignment horizontal="left" vertical="top" wrapText="1"/>
    </xf>
    <xf numFmtId="0" fontId="126" fillId="0" borderId="4686" xfId="0" applyNumberFormat="1" applyFont="1" applyBorder="1" applyAlignment="1">
      <alignment horizontal="left" vertical="top" wrapText="1"/>
    </xf>
    <xf numFmtId="0" fontId="126" fillId="0" borderId="4687" xfId="0" applyNumberFormat="1" applyFont="1" applyBorder="1" applyAlignment="1">
      <alignment horizontal="left" vertical="top" wrapText="1"/>
    </xf>
    <xf numFmtId="0" fontId="126" fillId="0" borderId="4688" xfId="0" applyNumberFormat="1" applyFont="1" applyBorder="1" applyAlignment="1">
      <alignment horizontal="left" vertical="top" wrapText="1"/>
    </xf>
    <xf numFmtId="0" fontId="126" fillId="0" borderId="4689" xfId="0" applyNumberFormat="1" applyFont="1" applyBorder="1" applyAlignment="1">
      <alignment horizontal="left" vertical="top" wrapText="1"/>
    </xf>
    <xf numFmtId="0" fontId="126" fillId="0" borderId="4690" xfId="0" applyNumberFormat="1" applyFont="1" applyBorder="1" applyAlignment="1">
      <alignment horizontal="left" vertical="top" wrapText="1"/>
    </xf>
    <xf numFmtId="0" fontId="126" fillId="0" borderId="4691" xfId="0" applyNumberFormat="1" applyFont="1" applyBorder="1" applyAlignment="1">
      <alignment horizontal="left" vertical="top" wrapText="1"/>
    </xf>
    <xf numFmtId="0" fontId="126" fillId="0" borderId="4692" xfId="0" applyNumberFormat="1" applyFont="1" applyBorder="1" applyAlignment="1">
      <alignment horizontal="left" vertical="top" wrapText="1"/>
    </xf>
    <xf numFmtId="0" fontId="126" fillId="0" borderId="4693" xfId="0" applyNumberFormat="1" applyFont="1" applyBorder="1" applyAlignment="1">
      <alignment horizontal="left" vertical="top" wrapText="1"/>
    </xf>
    <xf numFmtId="0" fontId="126" fillId="0" borderId="4694" xfId="0" applyNumberFormat="1" applyFont="1" applyBorder="1" applyAlignment="1">
      <alignment horizontal="left" vertical="top" wrapText="1"/>
    </xf>
    <xf numFmtId="0" fontId="126" fillId="0" borderId="4695" xfId="0" applyNumberFormat="1" applyFont="1" applyBorder="1" applyAlignment="1">
      <alignment horizontal="left" vertical="top" wrapText="1"/>
    </xf>
    <xf numFmtId="0" fontId="126" fillId="0" borderId="4698" xfId="0" applyNumberFormat="1" applyFont="1" applyBorder="1" applyAlignment="1">
      <alignment horizontal="left" vertical="top" wrapText="1"/>
    </xf>
    <xf numFmtId="0" fontId="126" fillId="0" borderId="4699" xfId="0" applyNumberFormat="1" applyFont="1" applyBorder="1" applyAlignment="1">
      <alignment horizontal="left" vertical="top" wrapText="1"/>
    </xf>
    <xf numFmtId="0" fontId="126" fillId="0" borderId="4700" xfId="0" applyNumberFormat="1" applyFont="1" applyBorder="1" applyAlignment="1">
      <alignment horizontal="left" vertical="top" wrapText="1"/>
    </xf>
    <xf numFmtId="0" fontId="126" fillId="0" borderId="4701" xfId="0" applyNumberFormat="1" applyFont="1" applyBorder="1" applyAlignment="1">
      <alignment horizontal="left" vertical="top" wrapText="1"/>
    </xf>
    <xf numFmtId="0" fontId="126" fillId="0" borderId="4702" xfId="0" applyNumberFormat="1" applyFont="1" applyBorder="1" applyAlignment="1">
      <alignment horizontal="left" vertical="top" wrapText="1"/>
    </xf>
    <xf numFmtId="0" fontId="126" fillId="0" borderId="4703" xfId="0" applyNumberFormat="1" applyFont="1" applyBorder="1" applyAlignment="1">
      <alignment horizontal="left" vertical="top" wrapText="1"/>
    </xf>
    <xf numFmtId="0" fontId="126" fillId="0" borderId="4704" xfId="0" applyNumberFormat="1" applyFont="1" applyBorder="1" applyAlignment="1">
      <alignment horizontal="left" vertical="top" wrapText="1"/>
    </xf>
    <xf numFmtId="0" fontId="126" fillId="0" borderId="4705" xfId="0" applyNumberFormat="1" applyFont="1" applyBorder="1" applyAlignment="1">
      <alignment horizontal="left" vertical="top" wrapText="1"/>
    </xf>
    <xf numFmtId="0" fontId="126" fillId="0" borderId="4706" xfId="0" applyNumberFormat="1" applyFont="1" applyBorder="1" applyAlignment="1">
      <alignment horizontal="left" vertical="top" wrapText="1"/>
    </xf>
    <xf numFmtId="0" fontId="126" fillId="0" borderId="4707" xfId="0" applyNumberFormat="1" applyFont="1" applyBorder="1" applyAlignment="1">
      <alignment horizontal="left" vertical="top" wrapText="1"/>
    </xf>
    <xf numFmtId="0" fontId="126" fillId="0" borderId="4708" xfId="0" applyNumberFormat="1" applyFont="1" applyBorder="1" applyAlignment="1">
      <alignment horizontal="left" vertical="top" wrapText="1"/>
    </xf>
    <xf numFmtId="0" fontId="126" fillId="0" borderId="4709" xfId="0" applyNumberFormat="1" applyFont="1" applyBorder="1" applyAlignment="1">
      <alignment horizontal="left" vertical="top" wrapText="1"/>
    </xf>
    <xf numFmtId="0" fontId="126" fillId="0" borderId="4710" xfId="0" applyNumberFormat="1" applyFont="1" applyBorder="1" applyAlignment="1">
      <alignment horizontal="left" vertical="top" wrapText="1"/>
    </xf>
    <xf numFmtId="0" fontId="126" fillId="0" borderId="4711" xfId="0" applyNumberFormat="1" applyFont="1" applyBorder="1" applyAlignment="1">
      <alignment horizontal="left" vertical="top" wrapText="1"/>
    </xf>
    <xf numFmtId="0" fontId="126" fillId="0" borderId="4712" xfId="0" applyNumberFormat="1" applyFont="1" applyBorder="1" applyAlignment="1">
      <alignment horizontal="left" vertical="top" wrapText="1"/>
    </xf>
    <xf numFmtId="0" fontId="126" fillId="0" borderId="4713" xfId="0" applyNumberFormat="1" applyFont="1" applyBorder="1" applyAlignment="1">
      <alignment horizontal="left" vertical="top" wrapText="1"/>
    </xf>
    <xf numFmtId="0" fontId="126" fillId="0" borderId="4714" xfId="0" applyNumberFormat="1" applyFont="1" applyBorder="1" applyAlignment="1">
      <alignment horizontal="left" vertical="top" wrapText="1"/>
    </xf>
    <xf numFmtId="0" fontId="126" fillId="0" borderId="4715" xfId="0" applyNumberFormat="1" applyFont="1" applyBorder="1" applyAlignment="1">
      <alignment horizontal="left" vertical="top" wrapText="1"/>
    </xf>
    <xf numFmtId="0" fontId="126" fillId="0" borderId="4716" xfId="0" applyNumberFormat="1" applyFont="1" applyBorder="1" applyAlignment="1">
      <alignment horizontal="left" vertical="top" wrapText="1"/>
    </xf>
    <xf numFmtId="0" fontId="126" fillId="0" borderId="4719" xfId="0" applyNumberFormat="1" applyFont="1" applyBorder="1" applyAlignment="1">
      <alignment horizontal="left" vertical="center" wrapText="1"/>
    </xf>
    <xf numFmtId="49" fontId="114" fillId="0" borderId="4722" xfId="0" applyNumberFormat="1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179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FFFF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/>
        <u/>
      </font>
    </dxf>
    <dxf>
      <font>
        <b/>
        <i/>
        <u/>
      </font>
    </dxf>
    <dxf>
      <font>
        <b/>
        <i/>
        <strike val="0"/>
        <u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://Documents%20and%20Settings/aaaaa/&#1052;&#1086;&#1080;%20&#1076;&#1086;&#1082;&#1091;&#1084;&#1077;&#1085;&#1090;&#1099;/_2016/2016/20160516-19_&#1055;&#1077;&#1088;&#1074;&#1077;&#1085;&#1089;&#1090;&#1074;&#1086;&#1056;&#1060;_&#1084;&#1072;&#1088;&#1072;&#1092;&#1086;&#1085;_&#1050;&#1088;&#1086;&#1087;&#1086;&#1090;&#1082;&#1080;&#1085;/20160516-19_&#1055;&#1056;_&#1084;&#1072;&#1088;&#1072;&#1092;&#1086;&#1085;_&#1050;&#1088;&#1086;&#1087;&#1086;&#1090;&#108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овый протокол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544"/>
  <sheetViews>
    <sheetView tabSelected="1" workbookViewId="0">
      <selection sqref="A1:K1"/>
    </sheetView>
  </sheetViews>
  <sheetFormatPr defaultColWidth="9.140625" defaultRowHeight="15" x14ac:dyDescent="0.25"/>
  <cols>
    <col min="1" max="1" width="3" customWidth="1"/>
    <col min="2" max="2" width="6.5703125" customWidth="1"/>
    <col min="3" max="3" width="16.7109375" customWidth="1"/>
    <col min="4" max="4" width="13" customWidth="1"/>
    <col min="5" max="5" width="10.140625" customWidth="1"/>
    <col min="6" max="6" width="14.7109375" customWidth="1"/>
    <col min="7" max="7" width="2.85546875" customWidth="1"/>
    <col min="8" max="8" width="11.140625" customWidth="1"/>
    <col min="9" max="9" width="9.85546875" customWidth="1"/>
    <col min="10" max="10" width="8.140625" customWidth="1"/>
    <col min="11" max="11" width="5.140625" customWidth="1"/>
    <col min="12" max="14" width="0.7109375" customWidth="1"/>
    <col min="16" max="16" width="12.5703125" customWidth="1"/>
    <col min="17" max="17" width="15.5703125" customWidth="1"/>
  </cols>
  <sheetData>
    <row r="1" spans="1:11" s="1" customFormat="1" x14ac:dyDescent="0.25">
      <c r="A1" s="1058"/>
      <c r="B1" s="1058"/>
      <c r="C1" s="1058"/>
      <c r="D1" s="1058"/>
      <c r="E1" s="1058"/>
      <c r="F1" s="1058"/>
      <c r="G1" s="1058"/>
      <c r="H1" s="1058"/>
      <c r="I1" s="1058"/>
      <c r="J1" s="1058"/>
      <c r="K1" s="1058"/>
    </row>
    <row r="2" spans="1:11" s="1" customFormat="1" x14ac:dyDescent="0.25">
      <c r="A2" s="1046" t="s">
        <v>0</v>
      </c>
      <c r="B2" s="1046"/>
      <c r="C2" s="1046"/>
      <c r="D2" s="1046"/>
      <c r="E2" s="1046"/>
      <c r="F2" s="1046"/>
      <c r="G2" s="1046"/>
      <c r="H2" s="1046"/>
      <c r="I2" s="1046"/>
      <c r="J2" s="1046"/>
      <c r="K2" s="1046"/>
    </row>
    <row r="3" spans="1:11" s="1" customFormat="1" x14ac:dyDescent="0.25">
      <c r="A3" s="1058"/>
      <c r="B3" s="1058"/>
      <c r="C3" s="1058"/>
      <c r="D3" s="1058"/>
      <c r="E3" s="1058"/>
      <c r="F3" s="1058"/>
      <c r="G3" s="1058"/>
      <c r="H3" s="1058"/>
      <c r="I3" s="1058"/>
      <c r="J3" s="1058"/>
      <c r="K3" s="1058"/>
    </row>
    <row r="4" spans="1:11" s="1" customFormat="1" ht="12.75" customHeight="1" x14ac:dyDescent="0.25">
      <c r="A4" s="2"/>
      <c r="B4" s="3"/>
      <c r="C4" s="3"/>
      <c r="D4" s="4"/>
      <c r="E4" s="4"/>
      <c r="F4" s="3"/>
      <c r="G4" s="3"/>
      <c r="H4" s="5"/>
      <c r="I4" s="5"/>
      <c r="J4" s="4"/>
      <c r="K4" s="6"/>
    </row>
    <row r="5" spans="1:11" s="1" customFormat="1" ht="12.75" customHeight="1" x14ac:dyDescent="0.25">
      <c r="A5" s="2"/>
      <c r="B5" s="3"/>
      <c r="C5" s="3"/>
      <c r="D5" s="4"/>
      <c r="E5" s="4"/>
      <c r="F5" s="3"/>
      <c r="G5" s="3"/>
      <c r="H5" s="5"/>
      <c r="I5" s="5"/>
      <c r="J5" s="4"/>
      <c r="K5" s="6"/>
    </row>
    <row r="6" spans="1:11" s="1" customFormat="1" ht="12.75" customHeight="1" x14ac:dyDescent="0.25">
      <c r="A6" s="2"/>
      <c r="B6" s="3"/>
      <c r="C6" s="3"/>
      <c r="D6" s="4"/>
      <c r="E6" s="4"/>
      <c r="F6" s="3"/>
      <c r="G6" s="3"/>
      <c r="H6" s="5"/>
      <c r="I6" s="5"/>
      <c r="J6" s="4"/>
      <c r="K6" s="6"/>
    </row>
    <row r="7" spans="1:11" s="1" customFormat="1" ht="12.75" customHeight="1" x14ac:dyDescent="0.25">
      <c r="A7" s="2"/>
      <c r="B7" s="3"/>
      <c r="C7" s="3"/>
      <c r="D7" s="4"/>
      <c r="E7" s="4"/>
      <c r="F7" s="3"/>
      <c r="G7" s="3"/>
      <c r="H7" s="5"/>
      <c r="I7" s="5"/>
      <c r="J7" s="4"/>
      <c r="K7" s="6"/>
    </row>
    <row r="8" spans="1:11" s="1" customFormat="1" ht="12.75" customHeight="1" x14ac:dyDescent="0.25">
      <c r="A8" s="2"/>
      <c r="B8" s="3"/>
      <c r="C8" s="3"/>
      <c r="D8" s="4"/>
      <c r="E8" s="4"/>
      <c r="F8" s="3"/>
      <c r="G8" s="3"/>
      <c r="H8" s="5"/>
      <c r="I8" s="5"/>
      <c r="J8" s="4"/>
      <c r="K8" s="6"/>
    </row>
    <row r="9" spans="1:11" s="1" customFormat="1" ht="12.75" customHeight="1" x14ac:dyDescent="0.25">
      <c r="A9" s="2"/>
      <c r="B9" s="3"/>
      <c r="C9" s="3"/>
      <c r="D9" s="4"/>
      <c r="E9" s="4"/>
      <c r="F9" s="3"/>
      <c r="G9" s="3"/>
      <c r="H9" s="5"/>
      <c r="I9" s="5"/>
      <c r="J9" s="4"/>
      <c r="K9" s="6"/>
    </row>
    <row r="10" spans="1:11" s="1" customFormat="1" ht="12.75" customHeight="1" x14ac:dyDescent="0.25">
      <c r="A10" s="2"/>
      <c r="B10" s="3"/>
      <c r="C10" s="3"/>
      <c r="D10" s="4"/>
      <c r="E10" s="4"/>
      <c r="F10" s="3"/>
      <c r="G10" s="3"/>
      <c r="H10" s="5"/>
      <c r="I10" s="5"/>
      <c r="J10" s="4"/>
      <c r="K10" s="6"/>
    </row>
    <row r="11" spans="1:11" s="1" customFormat="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s="1" customFormat="1" ht="12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s="1" customFormat="1" ht="12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s="1" customFormat="1" ht="12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s="1" customFormat="1" ht="12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s="1" customFormat="1" ht="12.75" customHeight="1" x14ac:dyDescent="0.25">
      <c r="A16" s="2"/>
      <c r="B16" s="3"/>
      <c r="C16" s="3"/>
      <c r="D16" s="4"/>
      <c r="E16" s="4"/>
      <c r="F16" s="3"/>
      <c r="G16" s="3"/>
      <c r="H16" s="5"/>
      <c r="I16" s="5"/>
      <c r="J16" s="4"/>
      <c r="K16" s="6"/>
    </row>
    <row r="17" spans="1:11" s="1" customFormat="1" ht="12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s="1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s="1" customFormat="1" ht="12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s="1" customFormat="1" ht="12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s="1" customFormat="1" ht="16.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s="1" customFormat="1" ht="36" customHeight="1" x14ac:dyDescent="0.25">
      <c r="A22" s="1070" t="s">
        <v>1</v>
      </c>
      <c r="B22" s="1070"/>
      <c r="C22" s="1070"/>
      <c r="D22" s="1070"/>
      <c r="E22" s="1070"/>
      <c r="F22" s="1070"/>
      <c r="G22" s="1070"/>
      <c r="H22" s="1070"/>
      <c r="I22" s="1070"/>
      <c r="J22" s="1070"/>
      <c r="K22" s="1070"/>
    </row>
    <row r="23" spans="1:11" s="1" customFormat="1" ht="22.7" customHeight="1" x14ac:dyDescent="0.25">
      <c r="A23" s="1071" t="s">
        <v>2</v>
      </c>
      <c r="B23" s="1071"/>
      <c r="C23" s="1071"/>
      <c r="D23" s="1071"/>
      <c r="E23" s="1071"/>
      <c r="F23" s="1071"/>
      <c r="G23" s="1071"/>
      <c r="H23" s="1071"/>
      <c r="I23" s="1071"/>
      <c r="J23" s="1071"/>
      <c r="K23" s="1071"/>
    </row>
    <row r="24" spans="1:11" s="1" customFormat="1" ht="12.7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s="1" customFormat="1" ht="12.75" customHeight="1" x14ac:dyDescent="0.25">
      <c r="A25" s="2"/>
      <c r="B25" s="3"/>
      <c r="C25" s="3"/>
      <c r="D25" s="4"/>
      <c r="E25" s="4"/>
      <c r="F25" s="3"/>
      <c r="G25" s="3"/>
      <c r="H25" s="5"/>
      <c r="I25" s="5"/>
      <c r="J25" s="4"/>
      <c r="K25" s="6"/>
    </row>
    <row r="26" spans="1:11" s="1" customFormat="1" ht="12.75" customHeight="1" x14ac:dyDescent="0.25">
      <c r="A26" s="2"/>
      <c r="B26" s="3"/>
      <c r="C26" s="3"/>
      <c r="D26" s="4"/>
      <c r="E26" s="4"/>
      <c r="F26" s="3"/>
      <c r="G26" s="3"/>
      <c r="H26" s="5"/>
      <c r="I26" s="5"/>
      <c r="J26" s="4"/>
      <c r="K26" s="6"/>
    </row>
    <row r="27" spans="1:11" s="1" customFormat="1" ht="12.75" customHeight="1" x14ac:dyDescent="0.25">
      <c r="A27" s="2"/>
      <c r="B27" s="3"/>
      <c r="C27" s="3"/>
      <c r="D27" s="4"/>
      <c r="E27" s="4"/>
      <c r="F27" s="3"/>
      <c r="G27" s="3"/>
      <c r="H27" s="5"/>
      <c r="I27" s="5"/>
      <c r="J27" s="4"/>
      <c r="K27" s="6"/>
    </row>
    <row r="28" spans="1:11" s="1" customFormat="1" ht="12.75" customHeight="1" x14ac:dyDescent="0.25">
      <c r="A28" s="2"/>
      <c r="B28" s="3"/>
      <c r="C28" s="3"/>
      <c r="D28" s="4"/>
      <c r="E28" s="4"/>
      <c r="F28" s="3"/>
      <c r="G28" s="3"/>
      <c r="H28" s="5"/>
      <c r="I28" s="5"/>
      <c r="J28" s="4"/>
      <c r="K28" s="6"/>
    </row>
    <row r="29" spans="1:11" s="1" customFormat="1" ht="12.75" customHeight="1" x14ac:dyDescent="0.25">
      <c r="A29" s="2"/>
      <c r="B29" s="3"/>
      <c r="C29" s="3"/>
      <c r="D29" s="4"/>
      <c r="E29" s="4"/>
      <c r="F29" s="3"/>
      <c r="G29" s="3"/>
      <c r="H29" s="5"/>
      <c r="I29" s="5"/>
      <c r="J29" s="4"/>
      <c r="K29" s="6"/>
    </row>
    <row r="30" spans="1:11" s="1" customFormat="1" ht="12.75" customHeight="1" x14ac:dyDescent="0.25">
      <c r="A30" s="2"/>
      <c r="B30" s="3"/>
      <c r="C30" s="3"/>
      <c r="D30" s="4"/>
      <c r="E30" s="4"/>
      <c r="F30" s="3"/>
      <c r="G30" s="3"/>
      <c r="H30" s="5"/>
      <c r="I30" s="5"/>
      <c r="J30" s="4"/>
      <c r="K30" s="6"/>
    </row>
    <row r="31" spans="1:11" s="1" customFormat="1" ht="16.5" customHeight="1" x14ac:dyDescent="0.25">
      <c r="A31" s="2"/>
      <c r="B31" s="3"/>
      <c r="C31" s="3"/>
      <c r="D31" s="4"/>
      <c r="E31" s="4"/>
      <c r="F31" s="3"/>
      <c r="G31" s="3"/>
      <c r="H31" s="5"/>
      <c r="I31" s="5"/>
      <c r="J31" s="4"/>
      <c r="K31" s="6"/>
    </row>
    <row r="32" spans="1:11" s="1" customFormat="1" ht="16.5" customHeight="1" x14ac:dyDescent="0.25">
      <c r="A32" s="2"/>
      <c r="B32" s="3"/>
      <c r="C32" s="3"/>
      <c r="D32" s="4"/>
      <c r="E32" s="4"/>
      <c r="F32" s="3"/>
      <c r="G32" s="3"/>
      <c r="H32" s="5"/>
      <c r="I32" s="5"/>
      <c r="J32" s="4"/>
      <c r="K32" s="6"/>
    </row>
    <row r="33" spans="1:11" s="1" customFormat="1" ht="16.5" customHeight="1" x14ac:dyDescent="0.25">
      <c r="A33" s="2"/>
      <c r="B33" s="3"/>
      <c r="C33" s="3"/>
      <c r="D33" s="4"/>
      <c r="E33" s="4"/>
      <c r="F33" s="3"/>
      <c r="G33" s="3"/>
      <c r="H33" s="5"/>
      <c r="I33" s="5"/>
      <c r="J33" s="4"/>
      <c r="K33" s="6"/>
    </row>
    <row r="34" spans="1:11" s="1" customFormat="1" ht="12.75" customHeight="1" x14ac:dyDescent="0.25">
      <c r="A34" s="2"/>
      <c r="B34" s="3"/>
      <c r="C34" s="3"/>
      <c r="D34" s="4"/>
      <c r="E34" s="4"/>
      <c r="F34" s="3"/>
      <c r="G34" s="3"/>
      <c r="H34" s="5"/>
      <c r="I34" s="5"/>
      <c r="J34" s="4"/>
      <c r="K34" s="6"/>
    </row>
    <row r="35" spans="1:11" s="1" customFormat="1" ht="12.75" customHeight="1" x14ac:dyDescent="0.25">
      <c r="A35" s="2"/>
      <c r="B35" s="3"/>
      <c r="C35" s="3"/>
      <c r="D35" s="4"/>
      <c r="E35" s="4"/>
      <c r="F35" s="3"/>
      <c r="G35" s="3"/>
      <c r="H35" s="5"/>
      <c r="I35" s="5"/>
      <c r="J35" s="4"/>
      <c r="K35" s="6"/>
    </row>
    <row r="36" spans="1:11" s="1" customFormat="1" ht="12.75" customHeight="1" x14ac:dyDescent="0.25">
      <c r="A36" s="2"/>
      <c r="B36" s="3"/>
      <c r="C36" s="3"/>
      <c r="D36" s="4"/>
      <c r="E36" s="4"/>
      <c r="F36" s="3"/>
      <c r="G36" s="3"/>
      <c r="H36" s="5"/>
      <c r="I36" s="5"/>
      <c r="J36" s="4"/>
      <c r="K36" s="6"/>
    </row>
    <row r="37" spans="1:11" s="1" customFormat="1" ht="12.75" customHeight="1" x14ac:dyDescent="0.25">
      <c r="A37" s="2"/>
      <c r="B37" s="3"/>
      <c r="C37" s="3"/>
      <c r="D37" s="4"/>
      <c r="E37" s="4"/>
      <c r="F37" s="3"/>
      <c r="G37" s="3"/>
      <c r="H37" s="5"/>
      <c r="I37" s="5"/>
      <c r="J37" s="4"/>
      <c r="K37" s="6"/>
    </row>
    <row r="38" spans="1:11" s="1" customFormat="1" ht="12.75" customHeight="1" x14ac:dyDescent="0.25">
      <c r="A38" s="2"/>
      <c r="B38" s="3"/>
      <c r="C38" s="3"/>
      <c r="D38" s="4"/>
      <c r="E38" s="4"/>
      <c r="F38" s="3"/>
      <c r="G38" s="3"/>
      <c r="H38" s="5"/>
      <c r="I38" s="5"/>
      <c r="J38" s="4"/>
      <c r="K38" s="6"/>
    </row>
    <row r="39" spans="1:11" s="1" customFormat="1" ht="12.75" customHeight="1" x14ac:dyDescent="0.25">
      <c r="A39" s="2"/>
      <c r="B39" s="3"/>
      <c r="C39" s="3"/>
      <c r="D39" s="4"/>
      <c r="E39" s="4"/>
      <c r="F39" s="3"/>
      <c r="G39" s="3"/>
      <c r="H39" s="5"/>
      <c r="I39" s="5"/>
      <c r="J39" s="4"/>
      <c r="K39" s="6"/>
    </row>
    <row r="40" spans="1:11" s="1" customFormat="1" ht="12.75" customHeight="1" x14ac:dyDescent="0.25">
      <c r="A40" s="2"/>
      <c r="B40" s="3"/>
      <c r="C40" s="3"/>
      <c r="D40" s="4"/>
      <c r="E40" s="4"/>
      <c r="F40" s="3"/>
      <c r="G40" s="3"/>
      <c r="H40" s="5"/>
      <c r="I40" s="5"/>
      <c r="J40" s="4"/>
      <c r="K40" s="6"/>
    </row>
    <row r="41" spans="1:11" s="1" customFormat="1" ht="12.75" customHeight="1" x14ac:dyDescent="0.25">
      <c r="A41" s="2"/>
      <c r="B41" s="3"/>
      <c r="C41" s="3"/>
      <c r="D41" s="4"/>
      <c r="E41" s="4"/>
      <c r="F41" s="3"/>
      <c r="G41" s="3"/>
      <c r="H41" s="5"/>
      <c r="I41" s="5"/>
      <c r="J41" s="4"/>
      <c r="K41" s="6"/>
    </row>
    <row r="42" spans="1:11" s="1" customFormat="1" ht="12.75" customHeight="1" x14ac:dyDescent="0.25">
      <c r="A42" s="2"/>
      <c r="B42" s="3"/>
      <c r="C42" s="3"/>
      <c r="D42" s="4"/>
      <c r="E42" s="4"/>
      <c r="F42" s="3"/>
      <c r="G42" s="3"/>
      <c r="H42" s="5"/>
      <c r="I42" s="5"/>
      <c r="J42" s="4"/>
      <c r="K42" s="6"/>
    </row>
    <row r="43" spans="1:11" s="1" customFormat="1" ht="12.75" customHeight="1" x14ac:dyDescent="0.25">
      <c r="A43" s="8"/>
      <c r="B43" s="9"/>
      <c r="C43" s="10"/>
      <c r="D43" s="10"/>
      <c r="E43" s="10"/>
      <c r="F43" s="10"/>
      <c r="G43" s="10"/>
      <c r="H43" s="9"/>
      <c r="I43" s="11"/>
      <c r="J43" s="9"/>
      <c r="K43" s="12"/>
    </row>
    <row r="44" spans="1:11" s="1" customFormat="1" ht="12.75" customHeight="1" x14ac:dyDescent="0.25">
      <c r="A44" s="8"/>
      <c r="B44" s="9"/>
      <c r="C44" s="10"/>
      <c r="D44" s="10"/>
      <c r="E44" s="10"/>
      <c r="F44" s="10"/>
      <c r="G44" s="10"/>
      <c r="H44" s="9"/>
      <c r="I44" s="11"/>
      <c r="J44" s="9"/>
      <c r="K44" s="12"/>
    </row>
    <row r="45" spans="1:11" s="1" customFormat="1" ht="12.75" customHeight="1" x14ac:dyDescent="0.25">
      <c r="A45" s="8"/>
      <c r="B45" s="9"/>
      <c r="C45" s="10"/>
      <c r="D45" s="10"/>
      <c r="E45" s="10"/>
      <c r="F45" s="10"/>
      <c r="G45" s="10"/>
      <c r="H45" s="9"/>
      <c r="I45" s="11"/>
      <c r="J45" s="9"/>
      <c r="K45" s="12"/>
    </row>
    <row r="46" spans="1:11" s="1" customFormat="1" ht="12.75" customHeight="1" x14ac:dyDescent="0.25">
      <c r="A46" s="2"/>
      <c r="B46" s="3"/>
      <c r="C46" s="3"/>
      <c r="D46" s="4"/>
      <c r="E46" s="4"/>
      <c r="F46" s="3"/>
      <c r="G46" s="3"/>
      <c r="H46" s="5"/>
      <c r="I46" s="5"/>
      <c r="J46" s="4"/>
      <c r="K46" s="6"/>
    </row>
    <row r="47" spans="1:11" s="1" customFormat="1" ht="12.75" customHeight="1" x14ac:dyDescent="0.25">
      <c r="A47" s="2"/>
      <c r="B47" s="3"/>
      <c r="C47" s="3"/>
      <c r="D47" s="4"/>
      <c r="E47" s="4"/>
      <c r="F47" s="3"/>
      <c r="G47" s="3"/>
      <c r="H47" s="5"/>
      <c r="I47" s="5"/>
      <c r="J47" s="4"/>
      <c r="K47" s="6"/>
    </row>
    <row r="48" spans="1:11" s="1" customFormat="1" ht="32.25" customHeight="1" x14ac:dyDescent="0.25">
      <c r="B48" s="13"/>
      <c r="C48" s="13"/>
      <c r="D48" s="1072" t="s">
        <v>3</v>
      </c>
      <c r="E48" s="1072"/>
      <c r="F48" s="1072"/>
      <c r="G48" s="1072"/>
      <c r="H48" s="1072"/>
      <c r="I48" s="13"/>
      <c r="J48" s="13"/>
      <c r="K48" s="13"/>
    </row>
    <row r="49" spans="1:11" s="1" customFormat="1" ht="15.75" customHeight="1" x14ac:dyDescent="0.25">
      <c r="A49" s="1073" t="s">
        <v>4</v>
      </c>
      <c r="B49" s="1073"/>
      <c r="C49" s="1073"/>
      <c r="D49" s="1073"/>
      <c r="E49" s="1073"/>
      <c r="F49" s="1073"/>
      <c r="G49" s="1073"/>
      <c r="H49" s="1073"/>
      <c r="I49" s="1073"/>
      <c r="J49" s="1073"/>
      <c r="K49" s="1073"/>
    </row>
    <row r="50" spans="1:11" s="1" customFormat="1" ht="15.75" customHeight="1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 s="1" customFormat="1" ht="15.75" customHeight="1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 ht="9" customHeight="1" x14ac:dyDescent="0.25">
      <c r="A52" s="15"/>
      <c r="B52" s="16"/>
      <c r="C52" s="1046"/>
      <c r="D52" s="1046"/>
      <c r="E52" s="1046"/>
      <c r="F52" s="1046"/>
      <c r="G52" s="1046"/>
      <c r="H52" s="1046"/>
      <c r="I52" s="1046"/>
      <c r="J52" s="1046"/>
      <c r="K52" s="1046"/>
    </row>
    <row r="53" spans="1:11" ht="18.600000000000001" customHeight="1" x14ac:dyDescent="0.25">
      <c r="A53" s="15"/>
      <c r="B53" s="16"/>
      <c r="C53" s="1046" t="str">
        <f>$A$2</f>
        <v>МАУДО "СШОР"Спутник"</v>
      </c>
      <c r="D53" s="1046"/>
      <c r="E53" s="1046"/>
      <c r="F53" s="1046"/>
      <c r="G53" s="1046"/>
      <c r="H53" s="1046"/>
      <c r="I53" s="1046"/>
      <c r="J53" s="1046"/>
      <c r="K53" s="1046"/>
    </row>
    <row r="54" spans="1:11" ht="12.75" customHeight="1" x14ac:dyDescent="0.25">
      <c r="A54" s="15"/>
      <c r="B54" s="16"/>
      <c r="C54" s="1046"/>
      <c r="D54" s="1046"/>
      <c r="E54" s="1046"/>
      <c r="F54" s="1046"/>
      <c r="G54" s="1046"/>
      <c r="H54" s="1046"/>
      <c r="I54" s="1046"/>
      <c r="J54" s="1046"/>
      <c r="K54" s="1046"/>
    </row>
    <row r="55" spans="1:11" ht="41.25" customHeight="1" x14ac:dyDescent="0.25">
      <c r="A55" s="1045" t="str">
        <f>$A$22</f>
        <v xml:space="preserve">Первенство МАУДО "СШОР "Спутник" </v>
      </c>
      <c r="B55" s="1045"/>
      <c r="C55" s="1045"/>
      <c r="D55" s="1045"/>
      <c r="E55" s="1045"/>
      <c r="F55" s="1045"/>
      <c r="G55" s="1045"/>
      <c r="H55" s="1045"/>
      <c r="I55" s="1045"/>
      <c r="J55" s="1045"/>
      <c r="K55" s="1045"/>
    </row>
    <row r="56" spans="1:11" ht="21" customHeight="1" x14ac:dyDescent="0.25">
      <c r="A56" s="1045" t="str">
        <f>$A$23</f>
        <v>по подводному спорту (плавание в ластах)</v>
      </c>
      <c r="B56" s="1045"/>
      <c r="C56" s="1045"/>
      <c r="D56" s="1045"/>
      <c r="E56" s="1045"/>
      <c r="F56" s="1045"/>
      <c r="G56" s="1045"/>
      <c r="H56" s="1045"/>
      <c r="I56" s="1045"/>
      <c r="J56" s="1045"/>
      <c r="K56" s="1045"/>
    </row>
    <row r="57" spans="1:11" ht="29.25" customHeight="1" x14ac:dyDescent="0.25">
      <c r="A57" s="17" t="str">
        <f>$A$49</f>
        <v xml:space="preserve">07 ноября 2025 г. </v>
      </c>
      <c r="B57" s="16"/>
      <c r="C57" s="16"/>
      <c r="D57" s="18"/>
      <c r="E57" s="18"/>
      <c r="F57" s="1044" t="str">
        <f>$D$48</f>
        <v>г. Красноярск, бассейн "Здоровый мир" 25 м.</v>
      </c>
      <c r="G57" s="1044"/>
      <c r="H57" s="1044"/>
      <c r="I57" s="1044"/>
      <c r="J57" s="1044"/>
      <c r="K57" s="1044"/>
    </row>
    <row r="58" spans="1:11" ht="20.25" customHeight="1" x14ac:dyDescent="0.25">
      <c r="A58" s="1059" t="s">
        <v>5</v>
      </c>
      <c r="B58" s="1060"/>
      <c r="C58" s="1061"/>
      <c r="D58" s="1062"/>
      <c r="E58" s="1063"/>
      <c r="F58" s="1064"/>
      <c r="G58" s="1065"/>
      <c r="H58" s="1066"/>
      <c r="I58" s="1067"/>
      <c r="J58" s="1068"/>
      <c r="K58" s="1069"/>
    </row>
    <row r="59" spans="1:11" ht="27" customHeight="1" x14ac:dyDescent="0.25">
      <c r="A59" s="19" t="s">
        <v>6</v>
      </c>
      <c r="B59" s="1055" t="s">
        <v>7</v>
      </c>
      <c r="C59" s="1056"/>
      <c r="D59" s="1057"/>
      <c r="E59" s="1052" t="s">
        <v>8</v>
      </c>
      <c r="F59" s="1053"/>
      <c r="G59" s="1054"/>
      <c r="H59" s="20" t="s">
        <v>9</v>
      </c>
      <c r="I59" s="1049" t="s">
        <v>10</v>
      </c>
      <c r="J59" s="1050"/>
      <c r="K59" s="1051"/>
    </row>
    <row r="60" spans="1:11" ht="9" customHeight="1" x14ac:dyDescent="0.25">
      <c r="A60" s="21"/>
      <c r="B60" s="21"/>
      <c r="C60" s="22"/>
      <c r="D60" s="22"/>
      <c r="E60" s="22"/>
      <c r="F60" s="21"/>
      <c r="G60" s="22"/>
      <c r="H60" s="22"/>
      <c r="I60" s="23"/>
      <c r="J60" s="22"/>
      <c r="K60" s="24"/>
    </row>
    <row r="61" spans="1:11" ht="15" customHeight="1" x14ac:dyDescent="0.25">
      <c r="A61" s="25">
        <v>1</v>
      </c>
      <c r="B61" s="26" t="s">
        <v>11</v>
      </c>
      <c r="C61" s="27"/>
      <c r="D61" s="27"/>
      <c r="E61" s="28" t="s">
        <v>12</v>
      </c>
      <c r="F61" s="29"/>
      <c r="G61" s="1"/>
      <c r="H61" s="30" t="s">
        <v>13</v>
      </c>
      <c r="I61" s="31" t="s">
        <v>14</v>
      </c>
      <c r="J61" s="3"/>
      <c r="K61" s="3"/>
    </row>
    <row r="62" spans="1:11" ht="15" customHeight="1" x14ac:dyDescent="0.25">
      <c r="A62" s="25">
        <v>2</v>
      </c>
      <c r="B62" s="26" t="s">
        <v>15</v>
      </c>
      <c r="C62" s="3"/>
      <c r="D62" s="4"/>
      <c r="E62" s="32" t="s">
        <v>16</v>
      </c>
      <c r="F62" s="32"/>
      <c r="G62" s="3"/>
      <c r="H62" s="30" t="s">
        <v>17</v>
      </c>
      <c r="I62" s="31" t="s">
        <v>14</v>
      </c>
      <c r="J62" s="4"/>
      <c r="K62" s="4"/>
    </row>
    <row r="63" spans="1:11" ht="14.45" customHeight="1" x14ac:dyDescent="0.25">
      <c r="A63" s="25">
        <v>3</v>
      </c>
      <c r="B63" s="1047" t="s">
        <v>18</v>
      </c>
      <c r="C63" s="1047"/>
      <c r="D63" s="1047"/>
      <c r="E63" s="32" t="s">
        <v>19</v>
      </c>
      <c r="F63" s="32"/>
      <c r="G63" s="3"/>
      <c r="H63" s="30"/>
      <c r="I63" s="31" t="s">
        <v>14</v>
      </c>
      <c r="J63" s="4"/>
      <c r="K63" s="4"/>
    </row>
    <row r="64" spans="1:11" ht="15" customHeight="1" x14ac:dyDescent="0.25">
      <c r="A64" s="25">
        <v>4</v>
      </c>
      <c r="B64" s="26" t="s">
        <v>20</v>
      </c>
      <c r="C64" s="3"/>
      <c r="D64" s="4"/>
      <c r="E64" s="32" t="s">
        <v>21</v>
      </c>
      <c r="F64" s="32"/>
      <c r="G64" s="3"/>
      <c r="H64" s="30" t="s">
        <v>22</v>
      </c>
      <c r="I64" s="31" t="s">
        <v>14</v>
      </c>
      <c r="J64" s="3"/>
      <c r="K64" s="3"/>
    </row>
    <row r="65" spans="1:11" ht="15" customHeight="1" x14ac:dyDescent="0.25">
      <c r="A65" s="25">
        <v>5</v>
      </c>
      <c r="B65" s="26" t="s">
        <v>23</v>
      </c>
      <c r="C65" s="3"/>
      <c r="D65" s="4"/>
      <c r="E65" s="32" t="s">
        <v>24</v>
      </c>
      <c r="F65" s="32"/>
      <c r="G65" s="3"/>
      <c r="H65" s="30" t="s">
        <v>25</v>
      </c>
      <c r="I65" s="31" t="s">
        <v>14</v>
      </c>
      <c r="J65" s="4"/>
      <c r="K65" s="3"/>
    </row>
    <row r="66" spans="1:11" ht="15" customHeight="1" x14ac:dyDescent="0.25">
      <c r="A66" s="25">
        <v>6</v>
      </c>
      <c r="B66" s="26" t="s">
        <v>26</v>
      </c>
      <c r="C66" s="3"/>
      <c r="D66" s="4"/>
      <c r="E66" s="32" t="s">
        <v>27</v>
      </c>
      <c r="F66" s="32"/>
      <c r="G66" s="3"/>
      <c r="H66" s="30" t="s">
        <v>13</v>
      </c>
      <c r="I66" s="31" t="s">
        <v>14</v>
      </c>
      <c r="J66" s="3"/>
      <c r="K66" s="4"/>
    </row>
    <row r="67" spans="1:11" ht="15" customHeight="1" x14ac:dyDescent="0.25">
      <c r="A67" s="25">
        <v>7</v>
      </c>
      <c r="B67" s="26" t="s">
        <v>28</v>
      </c>
      <c r="C67" s="3"/>
      <c r="D67" s="4"/>
      <c r="E67" s="32" t="s">
        <v>29</v>
      </c>
      <c r="F67" s="32"/>
      <c r="G67" s="3"/>
      <c r="H67" s="30" t="s">
        <v>25</v>
      </c>
      <c r="I67" s="31" t="s">
        <v>14</v>
      </c>
      <c r="J67" s="3"/>
      <c r="K67" s="3"/>
    </row>
    <row r="68" spans="1:11" ht="15" customHeight="1" x14ac:dyDescent="0.25">
      <c r="A68" s="25">
        <v>8</v>
      </c>
      <c r="B68" s="26" t="s">
        <v>30</v>
      </c>
      <c r="C68" s="3"/>
      <c r="D68" s="4"/>
      <c r="E68" s="32" t="s">
        <v>31</v>
      </c>
      <c r="F68" s="32"/>
      <c r="G68" s="3"/>
      <c r="H68" s="30" t="s">
        <v>22</v>
      </c>
      <c r="I68" s="31" t="s">
        <v>14</v>
      </c>
      <c r="J68" s="3"/>
      <c r="K68" s="3"/>
    </row>
    <row r="69" spans="1:11" ht="15" customHeight="1" x14ac:dyDescent="0.25">
      <c r="A69" s="25">
        <v>9</v>
      </c>
      <c r="B69" s="26" t="s">
        <v>30</v>
      </c>
      <c r="C69" s="3"/>
      <c r="D69" s="4"/>
      <c r="E69" s="32" t="s">
        <v>32</v>
      </c>
      <c r="F69" s="32"/>
      <c r="G69" s="3"/>
      <c r="H69" s="30" t="s">
        <v>22</v>
      </c>
      <c r="I69" s="31" t="s">
        <v>14</v>
      </c>
      <c r="J69" s="3"/>
      <c r="K69" s="3"/>
    </row>
    <row r="70" spans="1:11" ht="15" customHeight="1" x14ac:dyDescent="0.25">
      <c r="A70" s="25">
        <v>10</v>
      </c>
      <c r="B70" s="26" t="s">
        <v>33</v>
      </c>
      <c r="C70" s="3"/>
      <c r="D70" s="4"/>
      <c r="E70" s="32" t="s">
        <v>34</v>
      </c>
      <c r="F70" s="32"/>
      <c r="G70" s="3"/>
      <c r="H70" s="30" t="s">
        <v>22</v>
      </c>
      <c r="I70" s="31" t="s">
        <v>14</v>
      </c>
      <c r="J70" s="3"/>
      <c r="K70" s="3"/>
    </row>
    <row r="71" spans="1:11" ht="15" customHeight="1" x14ac:dyDescent="0.25">
      <c r="A71" s="25">
        <v>11</v>
      </c>
      <c r="B71" s="26" t="s">
        <v>35</v>
      </c>
      <c r="C71" s="3"/>
      <c r="D71" s="4"/>
      <c r="E71" s="32" t="s">
        <v>36</v>
      </c>
      <c r="F71" s="32"/>
      <c r="G71" s="3"/>
      <c r="H71" s="30" t="s">
        <v>22</v>
      </c>
      <c r="I71" s="31" t="s">
        <v>14</v>
      </c>
      <c r="J71" s="3"/>
      <c r="K71" s="3"/>
    </row>
    <row r="72" spans="1:11" ht="15" customHeight="1" x14ac:dyDescent="0.25">
      <c r="A72" s="25">
        <v>12</v>
      </c>
      <c r="B72" s="26" t="s">
        <v>37</v>
      </c>
      <c r="C72" s="3"/>
      <c r="D72" s="4"/>
      <c r="E72" s="32" t="s">
        <v>38</v>
      </c>
      <c r="F72" s="32"/>
      <c r="G72" s="3"/>
      <c r="H72" s="30" t="s">
        <v>22</v>
      </c>
      <c r="I72" s="31" t="s">
        <v>14</v>
      </c>
      <c r="J72" s="3"/>
      <c r="K72" s="3"/>
    </row>
    <row r="73" spans="1:11" ht="15" customHeight="1" x14ac:dyDescent="0.25">
      <c r="A73" s="25">
        <v>13</v>
      </c>
      <c r="B73" s="26" t="s">
        <v>37</v>
      </c>
      <c r="C73" s="3"/>
      <c r="D73" s="4"/>
      <c r="E73" s="32" t="s">
        <v>39</v>
      </c>
      <c r="F73" s="32"/>
      <c r="G73" s="3"/>
      <c r="H73" s="30" t="s">
        <v>22</v>
      </c>
      <c r="I73" s="31" t="s">
        <v>14</v>
      </c>
      <c r="J73" s="3"/>
      <c r="K73" s="3"/>
    </row>
    <row r="74" spans="1:11" ht="15" customHeight="1" x14ac:dyDescent="0.25">
      <c r="A74" s="25">
        <v>14</v>
      </c>
      <c r="B74" s="26" t="s">
        <v>40</v>
      </c>
      <c r="C74" s="3"/>
      <c r="D74" s="4"/>
      <c r="E74" s="32" t="s">
        <v>41</v>
      </c>
      <c r="F74" s="32"/>
      <c r="G74" s="3"/>
      <c r="H74" s="30" t="s">
        <v>25</v>
      </c>
      <c r="I74" s="31" t="s">
        <v>14</v>
      </c>
      <c r="J74" s="3"/>
      <c r="K74" s="3"/>
    </row>
    <row r="75" spans="1:11" ht="15" customHeight="1" x14ac:dyDescent="0.25">
      <c r="A75" s="25">
        <v>15</v>
      </c>
      <c r="B75" s="26" t="s">
        <v>42</v>
      </c>
      <c r="C75" s="3"/>
      <c r="D75" s="4"/>
      <c r="E75" s="32" t="s">
        <v>43</v>
      </c>
      <c r="F75" s="32"/>
      <c r="G75" s="3"/>
      <c r="H75" s="30" t="s">
        <v>22</v>
      </c>
      <c r="I75" s="31" t="s">
        <v>14</v>
      </c>
      <c r="J75" s="3"/>
      <c r="K75" s="3"/>
    </row>
    <row r="76" spans="1:11" ht="15" customHeight="1" x14ac:dyDescent="0.25">
      <c r="A76" s="25">
        <v>16</v>
      </c>
      <c r="B76" s="26" t="s">
        <v>42</v>
      </c>
      <c r="C76" s="3"/>
      <c r="D76" s="4"/>
      <c r="E76" s="28" t="s">
        <v>44</v>
      </c>
      <c r="F76" s="29"/>
      <c r="G76" s="3"/>
      <c r="H76" s="30" t="s">
        <v>22</v>
      </c>
      <c r="I76" s="31" t="s">
        <v>14</v>
      </c>
      <c r="J76" s="3"/>
      <c r="K76" s="3"/>
    </row>
    <row r="77" spans="1:11" ht="15" customHeight="1" x14ac:dyDescent="0.25">
      <c r="A77" s="25">
        <v>17</v>
      </c>
      <c r="B77" s="26" t="s">
        <v>45</v>
      </c>
      <c r="C77" s="3"/>
      <c r="D77" s="4"/>
      <c r="E77" s="32" t="s">
        <v>46</v>
      </c>
      <c r="F77" s="32"/>
      <c r="G77" s="3"/>
      <c r="H77" s="30" t="s">
        <v>22</v>
      </c>
      <c r="I77" s="31" t="s">
        <v>14</v>
      </c>
      <c r="J77" s="33"/>
      <c r="K77" s="3"/>
    </row>
    <row r="78" spans="1:11" ht="15" customHeight="1" x14ac:dyDescent="0.25">
      <c r="A78" s="25">
        <v>18</v>
      </c>
      <c r="B78" s="26" t="s">
        <v>47</v>
      </c>
      <c r="C78" s="3"/>
      <c r="D78" s="4"/>
      <c r="E78" s="32" t="s">
        <v>48</v>
      </c>
      <c r="F78" s="32"/>
      <c r="G78" s="3"/>
      <c r="H78" s="30" t="s">
        <v>22</v>
      </c>
      <c r="I78" s="31" t="s">
        <v>14</v>
      </c>
      <c r="J78" s="3"/>
      <c r="K78" s="3"/>
    </row>
    <row r="79" spans="1:11" ht="15" customHeight="1" x14ac:dyDescent="0.25">
      <c r="A79" s="25">
        <v>19</v>
      </c>
      <c r="B79" s="26" t="s">
        <v>47</v>
      </c>
      <c r="C79" s="3"/>
      <c r="D79" s="4"/>
      <c r="E79" s="32" t="s">
        <v>49</v>
      </c>
      <c r="F79" s="32"/>
      <c r="G79" s="3"/>
      <c r="H79" s="30" t="s">
        <v>22</v>
      </c>
      <c r="I79" s="31" t="s">
        <v>14</v>
      </c>
      <c r="J79" s="3"/>
      <c r="K79" s="3"/>
    </row>
    <row r="80" spans="1:11" ht="15" customHeight="1" x14ac:dyDescent="0.25">
      <c r="A80" s="25">
        <v>20</v>
      </c>
      <c r="B80" s="26" t="s">
        <v>50</v>
      </c>
      <c r="C80" s="34"/>
      <c r="D80" s="34"/>
      <c r="E80" s="32" t="s">
        <v>51</v>
      </c>
      <c r="F80" s="35"/>
      <c r="G80" s="3"/>
      <c r="H80" s="30" t="s">
        <v>22</v>
      </c>
      <c r="I80" s="31" t="s">
        <v>14</v>
      </c>
      <c r="J80" s="3"/>
      <c r="K80" s="3"/>
    </row>
    <row r="81" spans="1:11" ht="15" customHeight="1" x14ac:dyDescent="0.25">
      <c r="A81" s="25">
        <v>21</v>
      </c>
      <c r="B81" s="26" t="s">
        <v>52</v>
      </c>
      <c r="C81" s="3"/>
      <c r="D81" s="4"/>
      <c r="E81" s="32" t="s">
        <v>53</v>
      </c>
      <c r="F81" s="32"/>
      <c r="G81" s="3"/>
      <c r="H81" s="30" t="s">
        <v>22</v>
      </c>
      <c r="I81" s="31" t="s">
        <v>14</v>
      </c>
      <c r="J81" s="3"/>
      <c r="K81" s="3"/>
    </row>
    <row r="82" spans="1:11" ht="15" customHeight="1" x14ac:dyDescent="0.25">
      <c r="A82" s="25">
        <v>22</v>
      </c>
      <c r="B82" s="26" t="s">
        <v>54</v>
      </c>
      <c r="C82" s="3"/>
      <c r="D82" s="4"/>
      <c r="E82" s="32" t="s">
        <v>55</v>
      </c>
      <c r="F82" s="32"/>
      <c r="G82" s="3"/>
      <c r="H82" s="30" t="s">
        <v>25</v>
      </c>
      <c r="I82" s="31" t="s">
        <v>14</v>
      </c>
      <c r="J82" s="36"/>
      <c r="K82" s="3"/>
    </row>
    <row r="83" spans="1:11" ht="12.75" customHeight="1" x14ac:dyDescent="0.25">
      <c r="A83" s="25">
        <v>23</v>
      </c>
      <c r="B83" s="26" t="s">
        <v>54</v>
      </c>
      <c r="C83" s="3"/>
      <c r="D83" s="4"/>
      <c r="E83" s="32" t="s">
        <v>56</v>
      </c>
      <c r="F83" s="32"/>
      <c r="G83" s="3"/>
      <c r="H83" s="30" t="s">
        <v>22</v>
      </c>
      <c r="I83" s="31" t="s">
        <v>14</v>
      </c>
      <c r="J83" s="33"/>
      <c r="K83" s="37"/>
    </row>
    <row r="84" spans="1:11" ht="15" customHeight="1" x14ac:dyDescent="0.25">
      <c r="A84" s="25">
        <v>24</v>
      </c>
      <c r="B84" s="26" t="s">
        <v>54</v>
      </c>
      <c r="C84" s="3"/>
      <c r="D84" s="4"/>
      <c r="E84" s="32" t="s">
        <v>57</v>
      </c>
      <c r="F84" s="32"/>
      <c r="G84" s="3"/>
      <c r="H84" s="30" t="s">
        <v>25</v>
      </c>
      <c r="I84" s="31" t="s">
        <v>14</v>
      </c>
      <c r="J84" s="3"/>
      <c r="K84" s="3"/>
    </row>
    <row r="85" spans="1:11" ht="15" customHeight="1" x14ac:dyDescent="0.25">
      <c r="A85" s="25">
        <v>25</v>
      </c>
      <c r="B85" s="26" t="s">
        <v>54</v>
      </c>
      <c r="C85" s="3"/>
      <c r="D85" s="4"/>
      <c r="E85" s="32" t="s">
        <v>58</v>
      </c>
      <c r="F85" s="32"/>
      <c r="G85" s="3"/>
      <c r="H85" s="30" t="s">
        <v>22</v>
      </c>
      <c r="I85" s="31" t="s">
        <v>14</v>
      </c>
      <c r="J85" s="3"/>
      <c r="K85" s="3"/>
    </row>
    <row r="86" spans="1:11" ht="15" customHeight="1" x14ac:dyDescent="0.25">
      <c r="A86" s="25">
        <v>26</v>
      </c>
      <c r="B86" s="26" t="s">
        <v>54</v>
      </c>
      <c r="C86" s="3"/>
      <c r="D86" s="4"/>
      <c r="E86" s="32" t="s">
        <v>59</v>
      </c>
      <c r="F86" s="32"/>
      <c r="G86" s="3"/>
      <c r="H86" s="30" t="s">
        <v>22</v>
      </c>
      <c r="I86" s="31" t="s">
        <v>14</v>
      </c>
      <c r="J86" s="3"/>
      <c r="K86" s="3"/>
    </row>
    <row r="87" spans="1:11" ht="15" customHeight="1" x14ac:dyDescent="0.25">
      <c r="A87" s="25">
        <v>27</v>
      </c>
      <c r="B87" s="26" t="s">
        <v>54</v>
      </c>
      <c r="C87" s="3"/>
      <c r="D87" s="4"/>
      <c r="E87" s="1048" t="s">
        <v>60</v>
      </c>
      <c r="F87" s="1048"/>
      <c r="G87" s="3"/>
      <c r="H87" s="30" t="s">
        <v>22</v>
      </c>
      <c r="I87" s="31" t="s">
        <v>14</v>
      </c>
      <c r="J87" s="3"/>
      <c r="K87" s="3"/>
    </row>
    <row r="88" spans="1:11" ht="15" customHeight="1" x14ac:dyDescent="0.25">
      <c r="A88" s="25">
        <v>28</v>
      </c>
      <c r="B88" s="26" t="s">
        <v>54</v>
      </c>
      <c r="C88" s="3"/>
      <c r="D88" s="4"/>
      <c r="E88" s="1048" t="s">
        <v>61</v>
      </c>
      <c r="F88" s="1048"/>
      <c r="G88" s="3"/>
      <c r="H88" s="30" t="s">
        <v>22</v>
      </c>
      <c r="I88" s="31" t="s">
        <v>14</v>
      </c>
      <c r="J88" s="3"/>
      <c r="K88" s="3"/>
    </row>
    <row r="89" spans="1:11" ht="15" customHeight="1" x14ac:dyDescent="0.25">
      <c r="A89" s="25">
        <v>29</v>
      </c>
      <c r="B89" s="26" t="s">
        <v>30</v>
      </c>
      <c r="C89" s="3"/>
      <c r="D89" s="4"/>
      <c r="E89" s="1048" t="s">
        <v>62</v>
      </c>
      <c r="F89" s="1048"/>
      <c r="G89" s="38"/>
      <c r="H89" s="30" t="s">
        <v>22</v>
      </c>
      <c r="I89" s="31" t="s">
        <v>14</v>
      </c>
      <c r="J89" s="3"/>
      <c r="K89" s="3"/>
    </row>
    <row r="90" spans="1:11" ht="15" customHeight="1" x14ac:dyDescent="0.25">
      <c r="A90" s="25">
        <v>30</v>
      </c>
      <c r="B90" s="26" t="s">
        <v>42</v>
      </c>
      <c r="C90" s="3"/>
      <c r="D90" s="4"/>
      <c r="E90" s="31" t="s">
        <v>63</v>
      </c>
      <c r="F90" s="31"/>
      <c r="G90" s="3"/>
      <c r="H90" s="30" t="s">
        <v>22</v>
      </c>
      <c r="I90" s="31" t="s">
        <v>14</v>
      </c>
      <c r="J90" s="3"/>
      <c r="K90" s="3"/>
    </row>
    <row r="91" spans="1:11" ht="15" customHeight="1" x14ac:dyDescent="0.25">
      <c r="A91" s="3"/>
      <c r="B91" s="26"/>
      <c r="C91" s="3"/>
      <c r="D91" s="4"/>
      <c r="E91" s="39"/>
      <c r="F91" s="31"/>
      <c r="G91" s="3"/>
      <c r="H91" s="40"/>
      <c r="I91" s="39"/>
      <c r="J91" s="3"/>
      <c r="K91" s="3"/>
    </row>
    <row r="92" spans="1:11" ht="15" customHeight="1" x14ac:dyDescent="0.25">
      <c r="A92" s="16"/>
      <c r="B92" s="26"/>
      <c r="C92" s="3"/>
      <c r="D92" s="4"/>
      <c r="E92" s="39"/>
      <c r="F92" s="31"/>
      <c r="G92" s="3"/>
      <c r="H92" s="40"/>
      <c r="I92" s="39"/>
      <c r="J92" s="3"/>
      <c r="K92" s="3"/>
    </row>
    <row r="93" spans="1:11" ht="15" customHeight="1" x14ac:dyDescent="0.25">
      <c r="A93" s="3"/>
      <c r="B93" s="26"/>
      <c r="C93" s="3"/>
      <c r="D93" s="4"/>
      <c r="E93" s="39"/>
      <c r="F93" s="31"/>
      <c r="G93" s="3"/>
      <c r="H93" s="40"/>
      <c r="I93" s="39"/>
      <c r="J93" s="3"/>
      <c r="K93" s="3"/>
    </row>
    <row r="94" spans="1:11" ht="15" customHeight="1" x14ac:dyDescent="0.25">
      <c r="A94" s="16"/>
      <c r="B94" s="26"/>
      <c r="C94" s="3"/>
      <c r="D94" s="4"/>
      <c r="E94" s="39"/>
      <c r="F94" s="31"/>
      <c r="G94" s="3"/>
      <c r="H94" s="40"/>
      <c r="I94" s="39"/>
      <c r="J94" s="3"/>
      <c r="K94" s="3"/>
    </row>
    <row r="95" spans="1:11" ht="15" customHeight="1" x14ac:dyDescent="0.25">
      <c r="A95" s="3"/>
      <c r="B95" s="26"/>
      <c r="C95" s="3"/>
      <c r="D95" s="4"/>
      <c r="E95" s="39"/>
      <c r="F95" s="31"/>
      <c r="G95" s="3"/>
      <c r="H95" s="40"/>
      <c r="I95" s="39"/>
      <c r="J95" s="3"/>
      <c r="K95" s="3"/>
    </row>
    <row r="96" spans="1:11" x14ac:dyDescent="0.25">
      <c r="A96" s="16"/>
      <c r="B96" s="1047"/>
      <c r="C96" s="1047"/>
      <c r="D96" s="1047"/>
      <c r="E96" s="39"/>
      <c r="F96" s="41"/>
      <c r="G96" s="38"/>
      <c r="H96" s="40"/>
      <c r="I96" s="39"/>
      <c r="J96" s="4"/>
      <c r="K96" s="4"/>
    </row>
    <row r="97" spans="1:47" ht="11.25" customHeight="1" x14ac:dyDescent="0.25">
      <c r="A97" s="15"/>
      <c r="B97" s="16"/>
      <c r="C97" s="1046"/>
      <c r="D97" s="1046"/>
      <c r="E97" s="1046"/>
      <c r="F97" s="1046"/>
      <c r="G97" s="1046"/>
      <c r="H97" s="1046"/>
      <c r="I97" s="1046"/>
      <c r="J97" s="1046"/>
      <c r="K97" s="1046"/>
    </row>
    <row r="98" spans="1:47" ht="16.7" customHeight="1" x14ac:dyDescent="0.25">
      <c r="A98" s="15"/>
      <c r="B98" s="16"/>
      <c r="C98" s="1046" t="str">
        <f>$A$2</f>
        <v>МАУДО "СШОР"Спутник"</v>
      </c>
      <c r="D98" s="1046"/>
      <c r="E98" s="1046"/>
      <c r="F98" s="1046"/>
      <c r="G98" s="1046"/>
      <c r="H98" s="1046"/>
      <c r="I98" s="1046"/>
      <c r="J98" s="1046"/>
      <c r="K98" s="1046"/>
    </row>
    <row r="99" spans="1:47" ht="11.25" customHeight="1" x14ac:dyDescent="0.25">
      <c r="A99" s="15"/>
      <c r="B99" s="16"/>
      <c r="C99" s="1046"/>
      <c r="D99" s="1046"/>
      <c r="E99" s="1046"/>
      <c r="F99" s="1046"/>
      <c r="G99" s="1046"/>
      <c r="H99" s="1046"/>
      <c r="I99" s="1046"/>
      <c r="J99" s="1046"/>
      <c r="K99" s="1046"/>
    </row>
    <row r="100" spans="1:47" ht="25.15" customHeight="1" x14ac:dyDescent="0.25">
      <c r="A100" s="1045" t="str">
        <f>$A$22</f>
        <v xml:space="preserve">Первенство МАУДО "СШОР "Спутник" </v>
      </c>
      <c r="B100" s="1045"/>
      <c r="C100" s="1045"/>
      <c r="D100" s="1045"/>
      <c r="E100" s="1045"/>
      <c r="F100" s="1045"/>
      <c r="G100" s="1045"/>
      <c r="H100" s="1045"/>
      <c r="I100" s="1045"/>
      <c r="J100" s="1045"/>
      <c r="K100" s="1045"/>
    </row>
    <row r="101" spans="1:47" ht="21" customHeight="1" x14ac:dyDescent="0.25">
      <c r="A101" s="1045" t="str">
        <f>$A$23</f>
        <v>по подводному спорту (плавание в ластах)</v>
      </c>
      <c r="B101" s="1045"/>
      <c r="C101" s="1045"/>
      <c r="D101" s="1045"/>
      <c r="E101" s="1045"/>
      <c r="F101" s="1045"/>
      <c r="G101" s="1045"/>
      <c r="H101" s="1045"/>
      <c r="I101" s="1045"/>
      <c r="J101" s="1045"/>
      <c r="K101" s="1045"/>
    </row>
    <row r="102" spans="1:47" ht="25.5" customHeight="1" x14ac:dyDescent="0.25">
      <c r="A102" s="17" t="str">
        <f>$A$49</f>
        <v xml:space="preserve">07 ноября 2025 г. </v>
      </c>
      <c r="B102" s="16"/>
      <c r="C102" s="16"/>
      <c r="D102" s="18"/>
      <c r="E102" s="18"/>
      <c r="F102" s="16"/>
      <c r="G102" s="1044" t="str">
        <f>$D$48</f>
        <v>г. Красноярск, бассейн "Здоровый мир" 25 м.</v>
      </c>
      <c r="H102" s="1044"/>
      <c r="I102" s="1044"/>
      <c r="J102" s="1044"/>
      <c r="K102" s="1044"/>
    </row>
    <row r="103" spans="1:47" ht="20.45" customHeight="1" x14ac:dyDescent="0.25">
      <c r="A103" s="1043" t="s">
        <v>64</v>
      </c>
      <c r="B103" s="1043"/>
      <c r="C103" s="1043"/>
      <c r="D103" s="1043"/>
      <c r="E103" s="1043"/>
      <c r="F103" s="1043"/>
      <c r="G103" s="1043"/>
      <c r="H103" s="1043"/>
      <c r="I103" s="1043"/>
      <c r="J103" s="1043"/>
      <c r="K103" s="1043"/>
    </row>
    <row r="104" spans="1:47" ht="17.25" customHeight="1" x14ac:dyDescent="0.25">
      <c r="A104" s="1042" t="s">
        <v>65</v>
      </c>
      <c r="B104" s="1042"/>
      <c r="C104" s="1042"/>
      <c r="D104" s="1042"/>
      <c r="E104" s="1042"/>
      <c r="F104" s="1042"/>
      <c r="G104" s="1042"/>
      <c r="H104" s="1042"/>
      <c r="I104" s="1042"/>
      <c r="J104" s="1042"/>
      <c r="K104" s="1042"/>
    </row>
    <row r="105" spans="1:47" ht="21" customHeight="1" x14ac:dyDescent="0.25">
      <c r="A105" s="1028" t="s">
        <v>66</v>
      </c>
      <c r="B105" s="1034" t="s">
        <v>67</v>
      </c>
      <c r="C105" s="1030" t="s">
        <v>68</v>
      </c>
      <c r="D105" s="1037"/>
      <c r="E105" s="1034" t="s">
        <v>69</v>
      </c>
      <c r="F105" s="1030" t="s">
        <v>70</v>
      </c>
      <c r="G105" s="1031"/>
      <c r="H105" s="1040" t="s">
        <v>71</v>
      </c>
      <c r="I105" s="1041"/>
      <c r="J105" s="1026" t="s">
        <v>72</v>
      </c>
      <c r="K105" s="1025"/>
    </row>
    <row r="106" spans="1:47" ht="12" customHeight="1" x14ac:dyDescent="0.25">
      <c r="A106" s="1029"/>
      <c r="B106" s="1036"/>
      <c r="C106" s="1038"/>
      <c r="D106" s="1039"/>
      <c r="E106" s="1035"/>
      <c r="F106" s="1032"/>
      <c r="G106" s="1033"/>
      <c r="H106" s="43" t="s">
        <v>73</v>
      </c>
      <c r="I106" s="43" t="s">
        <v>74</v>
      </c>
      <c r="J106" s="1027"/>
      <c r="K106" s="1025"/>
    </row>
    <row r="107" spans="1:47" ht="12" customHeight="1" x14ac:dyDescent="0.25">
      <c r="A107" s="15"/>
      <c r="B107" s="16"/>
      <c r="C107" s="16"/>
      <c r="D107" s="18"/>
      <c r="E107" s="18"/>
      <c r="F107" s="16"/>
      <c r="G107" s="16"/>
      <c r="H107" s="44"/>
      <c r="I107" s="44"/>
      <c r="J107" s="18"/>
      <c r="K107" s="45"/>
    </row>
    <row r="108" spans="1:47" s="46" customFormat="1" ht="15" customHeight="1" x14ac:dyDescent="0.2">
      <c r="A108" s="47"/>
      <c r="B108" s="47"/>
      <c r="C108" s="48" t="s">
        <v>75</v>
      </c>
      <c r="D108" s="47"/>
      <c r="E108" s="47"/>
      <c r="F108" s="47"/>
      <c r="G108" s="47"/>
      <c r="H108" s="47"/>
      <c r="I108" s="47"/>
      <c r="J108" s="49"/>
      <c r="K108" s="50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2"/>
      <c r="AB108" s="52"/>
      <c r="AC108" s="52"/>
      <c r="AD108" s="52"/>
      <c r="AE108" s="51"/>
      <c r="AF108" s="51"/>
      <c r="AG108" s="51"/>
      <c r="AH108" s="51"/>
      <c r="AI108" s="52"/>
      <c r="AJ108" s="52"/>
      <c r="AK108" s="51"/>
      <c r="AL108" s="53"/>
      <c r="AM108" s="51"/>
      <c r="AN108" s="53"/>
      <c r="AO108" s="54"/>
      <c r="AP108" s="18"/>
      <c r="AQ108" s="55"/>
      <c r="AR108" s="18"/>
      <c r="AT108" s="16"/>
      <c r="AU108" s="56"/>
    </row>
    <row r="109" spans="1:47" s="46" customFormat="1" ht="15" customHeight="1" x14ac:dyDescent="0.25">
      <c r="A109" s="57"/>
      <c r="B109" s="57"/>
      <c r="C109" s="58"/>
      <c r="D109" s="59"/>
      <c r="E109" s="60"/>
      <c r="F109" s="58"/>
      <c r="G109"/>
      <c r="I109"/>
      <c r="J109" s="49"/>
      <c r="K109" s="50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2"/>
      <c r="AB109" s="52"/>
      <c r="AC109" s="52"/>
      <c r="AD109" s="52"/>
      <c r="AE109" s="51"/>
      <c r="AF109" s="51"/>
      <c r="AG109" s="51"/>
      <c r="AH109" s="51"/>
      <c r="AI109" s="52"/>
      <c r="AJ109" s="52"/>
      <c r="AK109" s="51"/>
      <c r="AL109" s="53"/>
      <c r="AM109" s="51"/>
      <c r="AN109" s="53"/>
      <c r="AO109" s="54"/>
      <c r="AP109" s="18"/>
      <c r="AQ109" s="55"/>
      <c r="AR109" s="18"/>
      <c r="AT109" s="16"/>
      <c r="AU109" s="56"/>
    </row>
    <row r="110" spans="1:47" ht="15" customHeight="1" x14ac:dyDescent="0.25">
      <c r="A110" s="61">
        <v>1</v>
      </c>
      <c r="B110" s="62" t="s">
        <v>76</v>
      </c>
      <c r="C110" s="63" t="s">
        <v>77</v>
      </c>
      <c r="E110" s="64">
        <v>40571</v>
      </c>
      <c r="F110" s="65" t="s">
        <v>78</v>
      </c>
      <c r="G110" s="65"/>
      <c r="H110" s="46"/>
      <c r="I110" s="66">
        <v>23.75</v>
      </c>
      <c r="J110" s="67" t="str">
        <f>IF(ISBLANK(I110), " ", IF(ISTEXT(I110), " ", IF(I110&lt;=Нормативы!$H$27, "КМС", IF(I110&lt;=Нормативы!$H$28, "КМС", IF(I110&lt;=Нормативы!$L$29, "КМС", IF(I110&lt;=Нормативы!$L$30, "I", IF(I110&lt;=Нормативы!$L$31, "II", IF(I110&lt;=Нормативы!$L$32, "III", IF(I110&lt;=Нормативы!$L$33, "I юн", IF(I110&lt;=Нормативы!$L$34, "II юн", IF(I110&lt;=Нормативы!$L$35, "III юн", "б/р")))))))))))</f>
        <v>КМС</v>
      </c>
      <c r="K110" s="68"/>
    </row>
    <row r="111" spans="1:47" ht="15" customHeight="1" x14ac:dyDescent="0.25">
      <c r="A111" s="61">
        <v>2</v>
      </c>
      <c r="B111" s="62" t="s">
        <v>79</v>
      </c>
      <c r="C111" s="63" t="s">
        <v>80</v>
      </c>
      <c r="E111" s="64">
        <v>40743</v>
      </c>
      <c r="F111" s="65" t="s">
        <v>81</v>
      </c>
      <c r="G111" s="65"/>
      <c r="I111" s="66">
        <v>25.13</v>
      </c>
      <c r="J111" s="67" t="str">
        <f>IF(ISBLANK(I111), " ", IF(ISTEXT(I111), " ", IF(I111&lt;=Нормативы!$H$27, "КМС", IF(I111&lt;=Нормативы!$H$28, "КМС", IF(I111&lt;=Нормативы!$L$29, "КМС", IF(I111&lt;=Нормативы!$L$30, "I", IF(I111&lt;=Нормативы!$L$31, "II", IF(I111&lt;=Нормативы!$L$32, "III", IF(I111&lt;=Нормативы!$L$33, "I юн", IF(I111&lt;=Нормативы!$L$34, "II юн", IF(I111&lt;=Нормативы!$L$35, "III юн", "б/р")))))))))))</f>
        <v>I</v>
      </c>
      <c r="K111" s="68"/>
    </row>
    <row r="112" spans="1:47" ht="15" customHeight="1" x14ac:dyDescent="0.25">
      <c r="A112" s="61">
        <v>3</v>
      </c>
      <c r="B112" s="65" t="s">
        <v>82</v>
      </c>
      <c r="C112" s="69" t="s">
        <v>83</v>
      </c>
      <c r="E112" s="64">
        <v>40567</v>
      </c>
      <c r="F112" s="65" t="s">
        <v>78</v>
      </c>
      <c r="I112" s="66">
        <v>25.52</v>
      </c>
      <c r="J112" s="67" t="str">
        <f>IF(ISBLANK(I112), " ", IF(ISTEXT(I112), " ", IF(I112&lt;=Нормативы!$H$27, "КМС", IF(I112&lt;=Нормативы!$H$28, "КМС", IF(I112&lt;=Нормативы!$L$29, "КМС", IF(I112&lt;=Нормативы!$L$30, "I", IF(I112&lt;=Нормативы!$L$31, "II", IF(I112&lt;=Нормативы!$L$32, "III", IF(I112&lt;=Нормативы!$L$33, "I юн", IF(I112&lt;=Нормативы!$L$34, "II юн", IF(I112&lt;=Нормативы!$L$35, "III юн", "б/р")))))))))))</f>
        <v>I</v>
      </c>
      <c r="K112" s="68"/>
    </row>
    <row r="113" spans="1:138" ht="15" customHeight="1" x14ac:dyDescent="0.25">
      <c r="A113" s="61">
        <v>4</v>
      </c>
      <c r="B113" s="62" t="s">
        <v>84</v>
      </c>
      <c r="C113" s="63" t="s">
        <v>85</v>
      </c>
      <c r="E113" s="64">
        <v>40691</v>
      </c>
      <c r="F113" s="65" t="s">
        <v>78</v>
      </c>
      <c r="G113" s="65"/>
      <c r="I113" s="66">
        <v>26.16</v>
      </c>
      <c r="J113" s="67" t="str">
        <f>IF(ISBLANK(I113), " ", IF(ISTEXT(I113), " ", IF(I113&lt;=Нормативы!$H$27, "КМС", IF(I113&lt;=Нормативы!$H$28, "КМС", IF(I113&lt;=Нормативы!$L$29, "КМС", IF(I113&lt;=Нормативы!$L$30, "I", IF(I113&lt;=Нормативы!$L$31, "II", IF(I113&lt;=Нормативы!$L$32, "III", IF(I113&lt;=Нормативы!$L$33, "I юн", IF(I113&lt;=Нормативы!$L$34, "II юн", IF(I113&lt;=Нормативы!$L$35, "III юн", "б/р")))))))))))</f>
        <v>II</v>
      </c>
      <c r="K113" s="68"/>
    </row>
    <row r="114" spans="1:138" ht="15" customHeight="1" x14ac:dyDescent="0.25">
      <c r="A114" s="61">
        <v>5</v>
      </c>
      <c r="B114" s="62" t="s">
        <v>84</v>
      </c>
      <c r="C114" s="63" t="s">
        <v>86</v>
      </c>
      <c r="E114" s="70">
        <v>40845</v>
      </c>
      <c r="F114" s="65" t="s">
        <v>87</v>
      </c>
      <c r="G114" s="65"/>
      <c r="I114" s="66">
        <v>26.75</v>
      </c>
      <c r="J114" s="67" t="str">
        <f>IF(ISBLANK(I114), " ", IF(ISTEXT(I114), " ", IF(I114&lt;=Нормативы!$H$27, "КМС", IF(I114&lt;=Нормативы!$H$28, "КМС", IF(I114&lt;=Нормативы!$L$29, "КМС", IF(I114&lt;=Нормативы!$L$30, "I", IF(I114&lt;=Нормативы!$L$31, "II", IF(I114&lt;=Нормативы!$L$32, "III", IF(I114&lt;=Нормативы!$L$33, "I юн", IF(I114&lt;=Нормативы!$L$34, "II юн", IF(I114&lt;=Нормативы!$L$35, "III юн", "б/р")))))))))))</f>
        <v>II</v>
      </c>
      <c r="K114" s="68"/>
    </row>
    <row r="115" spans="1:138" ht="15" customHeight="1" x14ac:dyDescent="0.25">
      <c r="A115" s="61">
        <v>6</v>
      </c>
      <c r="B115" s="62" t="s">
        <v>88</v>
      </c>
      <c r="C115" s="63" t="s">
        <v>89</v>
      </c>
      <c r="E115" s="64">
        <v>40654</v>
      </c>
      <c r="F115" s="65" t="s">
        <v>90</v>
      </c>
      <c r="G115" s="65"/>
      <c r="I115" s="66">
        <v>26.94</v>
      </c>
      <c r="J115" s="67" t="str">
        <f>IF(ISBLANK(I115), " ", IF(ISTEXT(I115), " ", IF(I115&lt;=Нормативы!$H$27, "КМС", IF(I115&lt;=Нормативы!$H$28, "КМС", IF(I115&lt;=Нормативы!$L$29, "КМС", IF(I115&lt;=Нормативы!$L$30, "I", IF(I115&lt;=Нормативы!$L$31, "II", IF(I115&lt;=Нормативы!$L$32, "III", IF(I115&lt;=Нормативы!$L$33, "I юн", IF(I115&lt;=Нормативы!$L$34, "II юн", IF(I115&lt;=Нормативы!$L$35, "III юн", "б/р")))))))))))</f>
        <v>II</v>
      </c>
      <c r="K115" s="68"/>
    </row>
    <row r="116" spans="1:138" ht="15" customHeight="1" x14ac:dyDescent="0.25">
      <c r="A116" s="61">
        <v>7</v>
      </c>
      <c r="B116" s="63" t="s">
        <v>84</v>
      </c>
      <c r="C116" s="65" t="s">
        <v>91</v>
      </c>
      <c r="E116" s="64">
        <v>40641</v>
      </c>
      <c r="F116" s="65" t="s">
        <v>92</v>
      </c>
      <c r="G116" s="71"/>
      <c r="I116" s="66">
        <v>27.32</v>
      </c>
      <c r="J116" s="67" t="str">
        <f>IF(ISBLANK(I116), " ", IF(ISTEXT(I116), " ", IF(I116&lt;=Нормативы!$H$27, "КМС", IF(I116&lt;=Нормативы!$H$28, "КМС", IF(I116&lt;=Нормативы!$L$29, "КМС", IF(I116&lt;=Нормативы!$L$30, "I", IF(I116&lt;=Нормативы!$L$31, "II", IF(I116&lt;=Нормативы!$L$32, "III", IF(I116&lt;=Нормативы!$L$33, "I юн", IF(I116&lt;=Нормативы!$L$34, "II юн", IF(I116&lt;=Нормативы!$L$35, "III юн", "б/р")))))))))))</f>
        <v>II</v>
      </c>
      <c r="K116" s="68"/>
    </row>
    <row r="117" spans="1:138" ht="15" customHeight="1" x14ac:dyDescent="0.25">
      <c r="A117" s="61">
        <v>8</v>
      </c>
      <c r="B117" s="65" t="s">
        <v>84</v>
      </c>
      <c r="C117" s="65" t="s">
        <v>93</v>
      </c>
      <c r="E117" s="64">
        <v>40868</v>
      </c>
      <c r="F117" s="65" t="s">
        <v>92</v>
      </c>
      <c r="G117" s="71"/>
      <c r="I117" s="66">
        <v>27.32</v>
      </c>
      <c r="J117" s="67" t="str">
        <f>IF(ISBLANK(I117), " ", IF(ISTEXT(I117), " ", IF(I117&lt;=Нормативы!$H$27, "КМС", IF(I117&lt;=Нормативы!$H$28, "КМС", IF(I117&lt;=Нормативы!$L$29, "КМС", IF(I117&lt;=Нормативы!$L$30, "I", IF(I117&lt;=Нормативы!$L$31, "II", IF(I117&lt;=Нормативы!$L$32, "III", IF(I117&lt;=Нормативы!$L$33, "I юн", IF(I117&lt;=Нормативы!$L$34, "II юн", IF(I117&lt;=Нормативы!$L$35, "III юн", "б/р")))))))))))</f>
        <v>II</v>
      </c>
      <c r="K117" s="68"/>
    </row>
    <row r="118" spans="1:138" ht="15" customHeight="1" x14ac:dyDescent="0.25">
      <c r="A118" s="61">
        <v>9</v>
      </c>
      <c r="B118" s="65" t="s">
        <v>94</v>
      </c>
      <c r="C118" s="65" t="s">
        <v>95</v>
      </c>
      <c r="E118" s="64">
        <v>40635</v>
      </c>
      <c r="F118" s="65" t="s">
        <v>78</v>
      </c>
      <c r="G118" s="65"/>
      <c r="I118" s="66">
        <v>27.77</v>
      </c>
      <c r="J118" s="67" t="str">
        <f>IF(ISBLANK(I118), " ", IF(ISTEXT(I118), " ", IF(I118&lt;=Нормативы!$H$27, "КМС", IF(I118&lt;=Нормативы!$H$28, "КМС", IF(I118&lt;=Нормативы!$L$29, "КМС", IF(I118&lt;=Нормативы!$L$30, "I", IF(I118&lt;=Нормативы!$L$31, "II", IF(I118&lt;=Нормативы!$L$32, "III", IF(I118&lt;=Нормативы!$L$33, "I юн", IF(I118&lt;=Нормативы!$L$34, "II юн", IF(I118&lt;=Нормативы!$L$35, "III юн", "б/р")))))))))))</f>
        <v>III</v>
      </c>
      <c r="K118" s="68"/>
    </row>
    <row r="119" spans="1:138" ht="15" customHeight="1" x14ac:dyDescent="0.25">
      <c r="A119" s="61">
        <v>10</v>
      </c>
      <c r="B119" s="63" t="s">
        <v>84</v>
      </c>
      <c r="C119" s="65" t="s">
        <v>96</v>
      </c>
      <c r="E119" s="64">
        <v>40858</v>
      </c>
      <c r="F119" s="65" t="s">
        <v>92</v>
      </c>
      <c r="G119" s="71"/>
      <c r="I119" s="66">
        <v>28.19</v>
      </c>
      <c r="J119" s="67" t="str">
        <f>IF(ISBLANK(I119), " ", IF(ISTEXT(I119), " ", IF(I119&lt;=Нормативы!$H$27, "КМС", IF(I119&lt;=Нормативы!$H$28, "КМС", IF(I119&lt;=Нормативы!$L$29, "КМС", IF(I119&lt;=Нормативы!$L$30, "I", IF(I119&lt;=Нормативы!$L$31, "II", IF(I119&lt;=Нормативы!$L$32, "III", IF(I119&lt;=Нормативы!$L$33, "I юн", IF(I119&lt;=Нормативы!$L$34, "II юн", IF(I119&lt;=Нормативы!$L$35, "III юн", "б/р")))))))))))</f>
        <v>III</v>
      </c>
      <c r="K119" s="68"/>
    </row>
    <row r="120" spans="1:138" ht="15" customHeight="1" x14ac:dyDescent="0.25">
      <c r="A120" s="61">
        <v>11</v>
      </c>
      <c r="B120" s="65" t="s">
        <v>94</v>
      </c>
      <c r="C120" s="65" t="s">
        <v>97</v>
      </c>
      <c r="E120" s="64">
        <v>40738</v>
      </c>
      <c r="F120" s="65" t="s">
        <v>98</v>
      </c>
      <c r="G120" s="65"/>
      <c r="I120" s="66">
        <v>28.66</v>
      </c>
      <c r="J120" s="67" t="str">
        <f>IF(ISBLANK(I120), " ", IF(ISTEXT(I120), " ", IF(I120&lt;=Нормативы!$H$27, "КМС", IF(I120&lt;=Нормативы!$H$28, "КМС", IF(I120&lt;=Нормативы!$L$29, "КМС", IF(I120&lt;=Нормативы!$L$30, "I", IF(I120&lt;=Нормативы!$L$31, "II", IF(I120&lt;=Нормативы!$L$32, "III", IF(I120&lt;=Нормативы!$L$33, "I юн", IF(I120&lt;=Нормативы!$L$34, "II юн", IF(I120&lt;=Нормативы!$L$35, "III юн", "б/р")))))))))))</f>
        <v>III</v>
      </c>
      <c r="K120" s="68"/>
    </row>
    <row r="121" spans="1:138" ht="15" customHeight="1" x14ac:dyDescent="0.25">
      <c r="A121" s="61">
        <v>12</v>
      </c>
      <c r="B121" s="62" t="s">
        <v>88</v>
      </c>
      <c r="C121" s="63" t="s">
        <v>99</v>
      </c>
      <c r="E121" s="64">
        <v>40801</v>
      </c>
      <c r="F121" s="65" t="s">
        <v>90</v>
      </c>
      <c r="G121" s="65"/>
      <c r="I121" s="66">
        <v>29.16</v>
      </c>
      <c r="J121" s="67" t="str">
        <f>IF(ISBLANK(I121), " ", IF(ISTEXT(I121), " ", IF(I121&lt;=Нормативы!$H$27, "КМС", IF(I121&lt;=Нормативы!$H$28, "КМС", IF(I121&lt;=Нормативы!$L$29, "КМС", IF(I121&lt;=Нормативы!$L$30, "I", IF(I121&lt;=Нормативы!$L$31, "II", IF(I121&lt;=Нормативы!$L$32, "III", IF(I121&lt;=Нормативы!$L$33, "I юн", IF(I121&lt;=Нормативы!$L$34, "II юн", IF(I121&lt;=Нормативы!$L$35, "III юн", "б/р")))))))))))</f>
        <v>III</v>
      </c>
      <c r="K121" s="68"/>
    </row>
    <row r="122" spans="1:138" ht="15" customHeight="1" x14ac:dyDescent="0.25">
      <c r="A122" s="61">
        <v>13</v>
      </c>
      <c r="B122" s="65" t="s">
        <v>100</v>
      </c>
      <c r="C122" s="65" t="s">
        <v>101</v>
      </c>
      <c r="E122" s="64">
        <v>40684</v>
      </c>
      <c r="F122" s="65" t="s">
        <v>87</v>
      </c>
      <c r="G122" s="65"/>
      <c r="I122" s="66">
        <v>29.75</v>
      </c>
      <c r="J122" s="67" t="str">
        <f>IF(ISBLANK(I122), " ", IF(ISTEXT(I122), " ", IF(I122&lt;=Нормативы!$H$27, "КМС", IF(I122&lt;=Нормативы!$H$28, "КМС", IF(I122&lt;=Нормативы!$L$29, "КМС", IF(I122&lt;=Нормативы!$L$30, "I", IF(I122&lt;=Нормативы!$L$31, "II", IF(I122&lt;=Нормативы!$L$32, "III", IF(I122&lt;=Нормативы!$L$33, "I юн", IF(I122&lt;=Нормативы!$L$34, "II юн", IF(I122&lt;=Нормативы!$L$35, "III юн", "б/р")))))))))))</f>
        <v>III</v>
      </c>
      <c r="K122" s="68"/>
    </row>
    <row r="123" spans="1:138" ht="15" customHeight="1" x14ac:dyDescent="0.25">
      <c r="A123" s="61">
        <v>14</v>
      </c>
      <c r="B123" s="63" t="s">
        <v>94</v>
      </c>
      <c r="C123" s="65" t="s">
        <v>102</v>
      </c>
      <c r="E123" s="64">
        <v>40693</v>
      </c>
      <c r="F123" s="65" t="s">
        <v>81</v>
      </c>
      <c r="G123" s="65"/>
      <c r="I123" s="66">
        <v>30.01</v>
      </c>
      <c r="J123" s="67" t="str">
        <f>IF(ISBLANK(I123), " ", IF(ISTEXT(I123), " ", IF(I123&lt;=Нормативы!$H$27, "КМС", IF(I123&lt;=Нормативы!$H$28, "КМС", IF(I123&lt;=Нормативы!$L$29, "КМС", IF(I123&lt;=Нормативы!$L$30, "I", IF(I123&lt;=Нормативы!$L$31, "II", IF(I123&lt;=Нормативы!$L$32, "III", IF(I123&lt;=Нормативы!$L$33, "I юн", IF(I123&lt;=Нормативы!$L$34, "II юн", IF(I123&lt;=Нормативы!$L$35, "III юн", "б/р")))))))))))</f>
        <v>III</v>
      </c>
      <c r="K123" s="68"/>
      <c r="L123" s="72"/>
      <c r="N123" s="53"/>
      <c r="O123" s="72"/>
      <c r="P123" s="53"/>
      <c r="Q123" s="72"/>
      <c r="R123" s="18"/>
      <c r="S123" s="18"/>
      <c r="T123" s="18"/>
      <c r="V123" s="16"/>
      <c r="W123" s="56"/>
    </row>
    <row r="124" spans="1:138" s="46" customFormat="1" ht="15" customHeight="1" x14ac:dyDescent="0.25">
      <c r="A124" s="61">
        <v>15</v>
      </c>
      <c r="B124" s="63" t="s">
        <v>82</v>
      </c>
      <c r="C124" s="65" t="s">
        <v>103</v>
      </c>
      <c r="D124"/>
      <c r="E124" s="64">
        <v>40604</v>
      </c>
      <c r="F124" s="65" t="s">
        <v>81</v>
      </c>
      <c r="G124" s="65"/>
      <c r="H124"/>
      <c r="I124" s="66">
        <v>30.95</v>
      </c>
      <c r="J124" s="67" t="str">
        <f>IF(ISBLANK(I124), " ", IF(ISTEXT(I124), " ", IF(I124&lt;=Нормативы!$H$27, "КМС", IF(I124&lt;=Нормативы!$H$28, "КМС", IF(I124&lt;=Нормативы!$L$29, "КМС", IF(I124&lt;=Нормативы!$L$30, "I", IF(I124&lt;=Нормативы!$L$31, "II", IF(I124&lt;=Нормативы!$L$32, "III", IF(I124&lt;=Нормативы!$L$33, "I юн", IF(I124&lt;=Нормативы!$L$34, "II юн", IF(I124&lt;=Нормативы!$L$35, "III юн", "б/р")))))))))))</f>
        <v>I юн</v>
      </c>
      <c r="K124" s="68"/>
      <c r="L124" s="72"/>
      <c r="N124" s="53"/>
      <c r="O124" s="72"/>
      <c r="P124" s="53"/>
      <c r="Q124" s="72"/>
      <c r="R124" s="18"/>
      <c r="S124" s="18"/>
      <c r="T124" s="18"/>
      <c r="U124"/>
      <c r="V124" s="16"/>
      <c r="W124" s="56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</row>
    <row r="125" spans="1:138" s="46" customFormat="1" ht="15" customHeight="1" x14ac:dyDescent="0.25">
      <c r="A125" s="61">
        <v>16</v>
      </c>
      <c r="B125" s="62" t="s">
        <v>82</v>
      </c>
      <c r="C125" s="63" t="s">
        <v>104</v>
      </c>
      <c r="D125"/>
      <c r="E125" s="64">
        <v>40855</v>
      </c>
      <c r="F125" s="65" t="s">
        <v>81</v>
      </c>
      <c r="G125" s="65"/>
      <c r="H125"/>
      <c r="I125" s="66">
        <v>32.200000000000003</v>
      </c>
      <c r="J125" s="67" t="str">
        <f>IF(ISBLANK(I125), " ", IF(ISTEXT(I125), " ", IF(I125&lt;=Нормативы!$H$27, "КМС", IF(I125&lt;=Нормативы!$H$28, "КМС", IF(I125&lt;=Нормативы!$L$29, "КМС", IF(I125&lt;=Нормативы!$L$30, "I", IF(I125&lt;=Нормативы!$L$31, "II", IF(I125&lt;=Нормативы!$L$32, "III", IF(I125&lt;=Нормативы!$L$33, "I юн", IF(I125&lt;=Нормативы!$L$34, "II юн", IF(I125&lt;=Нормативы!$L$35, "III юн", "б/р")))))))))))</f>
        <v>I юн</v>
      </c>
      <c r="K125" s="68"/>
      <c r="L125" s="72"/>
      <c r="N125" s="53"/>
      <c r="O125" s="72"/>
      <c r="P125" s="53"/>
      <c r="Q125" s="72"/>
      <c r="R125" s="18"/>
      <c r="S125" s="18"/>
      <c r="T125" s="18"/>
      <c r="V125" s="16"/>
      <c r="W125" s="56"/>
    </row>
    <row r="126" spans="1:138" ht="15" customHeight="1" x14ac:dyDescent="0.25">
      <c r="A126" s="73"/>
      <c r="B126" s="74"/>
      <c r="C126" s="74"/>
      <c r="D126" s="47"/>
      <c r="E126" s="75"/>
      <c r="F126" s="74"/>
      <c r="G126" s="71"/>
      <c r="I126" s="76"/>
      <c r="J126" s="77"/>
      <c r="K126" s="50"/>
    </row>
    <row r="127" spans="1:138" ht="15" customHeight="1" x14ac:dyDescent="0.25">
      <c r="A127" s="47"/>
      <c r="B127" s="47"/>
      <c r="C127" s="48" t="s">
        <v>105</v>
      </c>
      <c r="D127" s="47"/>
      <c r="E127" s="47"/>
      <c r="F127" s="47"/>
      <c r="G127" s="47"/>
      <c r="I127" s="47"/>
      <c r="J127" s="78"/>
      <c r="K127" s="50"/>
    </row>
    <row r="128" spans="1:138" ht="15" customHeight="1" x14ac:dyDescent="0.25">
      <c r="A128" s="57"/>
      <c r="B128" s="57"/>
      <c r="C128" s="58"/>
      <c r="D128" s="59"/>
      <c r="E128" s="60"/>
      <c r="F128" s="58"/>
      <c r="G128" s="47"/>
      <c r="I128" s="47"/>
      <c r="J128" s="78"/>
      <c r="K128" s="50"/>
      <c r="L128" s="72"/>
      <c r="N128" s="53"/>
      <c r="O128" s="72"/>
      <c r="P128" s="18"/>
      <c r="Q128" s="18"/>
      <c r="R128" s="18"/>
      <c r="T128" s="16"/>
      <c r="U128" s="56"/>
    </row>
    <row r="129" spans="1:138" ht="15" customHeight="1" x14ac:dyDescent="0.25">
      <c r="A129" s="79">
        <v>1</v>
      </c>
      <c r="B129" s="65" t="s">
        <v>76</v>
      </c>
      <c r="C129" s="65" t="s">
        <v>106</v>
      </c>
      <c r="D129" s="80"/>
      <c r="E129" s="64">
        <v>41010</v>
      </c>
      <c r="F129" s="65" t="s">
        <v>87</v>
      </c>
      <c r="G129" s="65"/>
      <c r="H129" s="80"/>
      <c r="I129" s="66">
        <v>23.82</v>
      </c>
      <c r="J129" s="67" t="str">
        <f>IF(ISBLANK(I129), " ", IF(ISTEXT(I129), " ", IF(I129&lt;=Нормативы!$H$27, "КМС", IF(I129&lt;=Нормативы!$H$28, "КМС", IF(I129&lt;=Нормативы!$L$29, "КМС", IF(I129&lt;=Нормативы!$L$30, "I", IF(I129&lt;=Нормативы!$L$31, "II", IF(I129&lt;=Нормативы!$L$32, "III", IF(I129&lt;=Нормативы!$L$33, "I юн", IF(I129&lt;=Нормативы!$L$34, "II юн", IF(I129&lt;=Нормативы!$L$35, "III юн", "б/р")))))))))))</f>
        <v>КМС</v>
      </c>
      <c r="K129" s="81"/>
      <c r="L129" s="72"/>
      <c r="N129" s="53"/>
      <c r="O129" s="72"/>
      <c r="P129" s="18"/>
      <c r="Q129" s="18"/>
      <c r="R129" s="18"/>
      <c r="T129" s="16"/>
      <c r="U129" s="56"/>
    </row>
    <row r="130" spans="1:138" ht="15" customHeight="1" x14ac:dyDescent="0.25">
      <c r="A130" s="79">
        <v>2</v>
      </c>
      <c r="B130" s="65" t="s">
        <v>76</v>
      </c>
      <c r="C130" s="65" t="s">
        <v>107</v>
      </c>
      <c r="D130" s="80"/>
      <c r="E130" s="64">
        <v>40997</v>
      </c>
      <c r="F130" s="65" t="s">
        <v>87</v>
      </c>
      <c r="G130" s="65"/>
      <c r="H130" s="80"/>
      <c r="I130" s="66">
        <v>24.01</v>
      </c>
      <c r="J130" s="67" t="str">
        <f>IF(ISBLANK(I130), " ", IF(ISTEXT(I130), " ", IF(I130&lt;=Нормативы!$H$27, "КМС", IF(I130&lt;=Нормативы!$H$28, "КМС", IF(I130&lt;=Нормативы!$L$29, "КМС", IF(I130&lt;=Нормативы!$L$30, "I", IF(I130&lt;=Нормативы!$L$31, "II", IF(I130&lt;=Нормативы!$L$32, "III", IF(I130&lt;=Нормативы!$L$33, "I юн", IF(I130&lt;=Нормативы!$L$34, "II юн", IF(I130&lt;=Нормативы!$L$35, "III юн", "б/р")))))))))))</f>
        <v>КМС</v>
      </c>
      <c r="K130" s="81"/>
      <c r="L130" s="72"/>
      <c r="M130" s="72"/>
      <c r="N130" s="53"/>
      <c r="O130" s="72"/>
      <c r="P130" s="18"/>
      <c r="Q130" s="18"/>
      <c r="R130" s="18"/>
      <c r="T130" s="16"/>
      <c r="U130" s="56"/>
    </row>
    <row r="131" spans="1:138" ht="15" customHeight="1" x14ac:dyDescent="0.25">
      <c r="A131" s="79">
        <v>3</v>
      </c>
      <c r="B131" s="63" t="s">
        <v>76</v>
      </c>
      <c r="C131" s="65" t="s">
        <v>108</v>
      </c>
      <c r="D131" s="80"/>
      <c r="E131" s="64">
        <v>41165</v>
      </c>
      <c r="F131" s="65" t="s">
        <v>87</v>
      </c>
      <c r="G131" s="65"/>
      <c r="H131" s="80"/>
      <c r="I131" s="66">
        <v>24.07</v>
      </c>
      <c r="J131" s="67" t="str">
        <f>IF(ISBLANK(I131), " ", IF(ISTEXT(I131), " ", IF(I131&lt;=Нормативы!$H$27, "КМС", IF(I131&lt;=Нормативы!$H$28, "КМС", IF(I131&lt;=Нормативы!$L$29, "КМС", IF(I131&lt;=Нормативы!$L$30, "I", IF(I131&lt;=Нормативы!$L$31, "II", IF(I131&lt;=Нормативы!$L$32, "III", IF(I131&lt;=Нормативы!$L$33, "I юн", IF(I131&lt;=Нормативы!$L$34, "II юн", IF(I131&lt;=Нормативы!$L$35, "III юн", "б/р")))))))))))</f>
        <v>КМС</v>
      </c>
      <c r="K131" s="82"/>
    </row>
    <row r="132" spans="1:138" ht="15" customHeight="1" x14ac:dyDescent="0.25">
      <c r="A132" s="79">
        <v>4</v>
      </c>
      <c r="B132" s="62" t="s">
        <v>84</v>
      </c>
      <c r="C132" s="63" t="s">
        <v>109</v>
      </c>
      <c r="D132" s="80"/>
      <c r="E132" s="64">
        <v>40988</v>
      </c>
      <c r="F132" s="65" t="s">
        <v>110</v>
      </c>
      <c r="G132" s="65"/>
      <c r="H132" s="80"/>
      <c r="I132" s="66">
        <v>26.94</v>
      </c>
      <c r="J132" s="67" t="str">
        <f>IF(ISBLANK(I132), " ", IF(ISTEXT(I132), " ", IF(I132&lt;=Нормативы!$H$27, "КМС", IF(I132&lt;=Нормативы!$H$28, "КМС", IF(I132&lt;=Нормативы!$L$29, "КМС", IF(I132&lt;=Нормативы!$L$30, "I", IF(I132&lt;=Нормативы!$L$31, "II", IF(I132&lt;=Нормативы!$L$32, "III", IF(I132&lt;=Нормативы!$L$33, "I юн", IF(I132&lt;=Нормативы!$L$34, "II юн", IF(I132&lt;=Нормативы!$L$35, "III юн", "б/р")))))))))))</f>
        <v>II</v>
      </c>
      <c r="K132" s="83"/>
      <c r="L132" s="72"/>
      <c r="M132" s="72"/>
      <c r="N132" s="53"/>
      <c r="O132" s="72"/>
      <c r="P132" s="53"/>
      <c r="Q132" s="72"/>
      <c r="R132" s="18"/>
      <c r="S132" s="18"/>
      <c r="T132" s="18"/>
      <c r="V132" s="16"/>
      <c r="W132" s="56"/>
    </row>
    <row r="133" spans="1:138" ht="15" customHeight="1" x14ac:dyDescent="0.25">
      <c r="A133" s="79">
        <v>5</v>
      </c>
      <c r="B133" s="63" t="s">
        <v>94</v>
      </c>
      <c r="C133" s="65" t="s">
        <v>111</v>
      </c>
      <c r="D133" s="80"/>
      <c r="E133" s="64">
        <v>41159</v>
      </c>
      <c r="F133" s="65" t="s">
        <v>112</v>
      </c>
      <c r="G133" s="65"/>
      <c r="H133" s="80"/>
      <c r="I133" s="66">
        <v>27.04</v>
      </c>
      <c r="J133" s="67" t="str">
        <f>IF(ISBLANK(I133), " ", IF(ISTEXT(I133), " ", IF(I133&lt;=Нормативы!$H$27, "КМС", IF(I133&lt;=Нормативы!$H$28, "КМС", IF(I133&lt;=Нормативы!$L$29, "КМС", IF(I133&lt;=Нормативы!$L$30, "I", IF(I133&lt;=Нормативы!$L$31, "II", IF(I133&lt;=Нормативы!$L$32, "III", IF(I133&lt;=Нормативы!$L$33, "I юн", IF(I133&lt;=Нормативы!$L$34, "II юн", IF(I133&lt;=Нормативы!$L$35, "III юн", "б/р")))))))))))</f>
        <v>II</v>
      </c>
      <c r="K133" s="81"/>
      <c r="L133" s="72"/>
      <c r="M133" s="72"/>
      <c r="N133" s="53"/>
      <c r="O133" s="72"/>
      <c r="P133" s="53"/>
      <c r="Q133" s="72"/>
      <c r="R133" s="18"/>
      <c r="S133" s="18"/>
      <c r="T133" s="18"/>
      <c r="V133" s="16"/>
      <c r="W133" s="56"/>
    </row>
    <row r="134" spans="1:138" ht="15" customHeight="1" x14ac:dyDescent="0.25">
      <c r="A134" s="79">
        <v>6</v>
      </c>
      <c r="B134" s="62" t="s">
        <v>88</v>
      </c>
      <c r="C134" s="63" t="s">
        <v>113</v>
      </c>
      <c r="D134" s="80"/>
      <c r="E134" s="64">
        <v>41186</v>
      </c>
      <c r="F134" s="65" t="s">
        <v>90</v>
      </c>
      <c r="G134" s="65"/>
      <c r="H134" s="80"/>
      <c r="I134" s="66">
        <v>27.13</v>
      </c>
      <c r="J134" s="67" t="str">
        <f>IF(ISBLANK(I134), " ", IF(ISTEXT(I134), " ", IF(I134&lt;=Нормативы!$H$27, "КМС", IF(I134&lt;=Нормативы!$H$28, "КМС", IF(I134&lt;=Нормативы!$L$29, "КМС", IF(I134&lt;=Нормативы!$L$30, "I", IF(I134&lt;=Нормативы!$L$31, "II", IF(I134&lt;=Нормативы!$L$32, "III", IF(I134&lt;=Нормативы!$L$33, "I юн", IF(I134&lt;=Нормативы!$L$34, "II юн", IF(I134&lt;=Нормативы!$L$35, "III юн", "б/р")))))))))))</f>
        <v>II</v>
      </c>
      <c r="K134" s="81"/>
      <c r="L134" s="72"/>
      <c r="M134" s="72"/>
      <c r="N134" s="53"/>
      <c r="O134" s="72"/>
      <c r="P134" s="53"/>
      <c r="Q134" s="72"/>
      <c r="R134" s="18"/>
      <c r="S134" s="18"/>
      <c r="T134" s="18"/>
      <c r="U134" s="46"/>
      <c r="V134" s="16"/>
      <c r="W134" s="56"/>
      <c r="X134" s="46"/>
      <c r="Y134" s="46"/>
      <c r="Z134" s="46"/>
      <c r="AA134" s="46"/>
      <c r="AB134" s="46"/>
      <c r="AC134" s="46"/>
      <c r="AD134" s="46"/>
      <c r="AE134" s="46"/>
      <c r="AF134" s="46"/>
      <c r="AG134" s="46"/>
      <c r="AH134" s="46"/>
      <c r="AI134" s="46"/>
      <c r="AJ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  <c r="BF134" s="46"/>
      <c r="BG134" s="46"/>
      <c r="BH134" s="46"/>
      <c r="BI134" s="46"/>
      <c r="BJ134" s="46"/>
      <c r="BK134" s="46"/>
      <c r="BL134" s="46"/>
      <c r="BM134" s="46"/>
      <c r="BN134" s="46"/>
      <c r="BO134" s="46"/>
      <c r="BP134" s="46"/>
      <c r="BQ134" s="46"/>
      <c r="BR134" s="46"/>
      <c r="BS134" s="46"/>
      <c r="BT134" s="46"/>
      <c r="BU134" s="46"/>
      <c r="BV134" s="46"/>
      <c r="BW134" s="46"/>
      <c r="BX134" s="46"/>
      <c r="BY134" s="46"/>
      <c r="BZ134" s="46"/>
      <c r="CA134" s="46"/>
      <c r="CB134" s="46"/>
      <c r="CC134" s="46"/>
      <c r="CD134" s="46"/>
      <c r="CE134" s="46"/>
      <c r="CF134" s="46"/>
      <c r="CG134" s="46"/>
      <c r="CH134" s="46"/>
      <c r="CI134" s="46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46"/>
      <c r="DK134" s="46"/>
      <c r="DL134" s="46"/>
      <c r="DM134" s="46"/>
      <c r="DN134" s="46"/>
      <c r="DO134" s="46"/>
      <c r="DP134" s="46"/>
      <c r="DQ134" s="46"/>
      <c r="DR134" s="46"/>
      <c r="DS134" s="46"/>
      <c r="DT134" s="46"/>
      <c r="DU134" s="46"/>
      <c r="DV134" s="46"/>
      <c r="DW134" s="46"/>
      <c r="DX134" s="46"/>
      <c r="DY134" s="46"/>
      <c r="DZ134" s="46"/>
      <c r="EA134" s="46"/>
      <c r="EB134" s="46"/>
      <c r="EC134" s="46"/>
      <c r="ED134" s="46"/>
      <c r="EE134" s="46"/>
      <c r="EF134" s="46"/>
      <c r="EG134" s="46"/>
      <c r="EH134" s="46"/>
    </row>
    <row r="135" spans="1:138" ht="15" customHeight="1" x14ac:dyDescent="0.25">
      <c r="A135" s="79">
        <v>7</v>
      </c>
      <c r="B135" s="62" t="s">
        <v>94</v>
      </c>
      <c r="C135" s="63" t="s">
        <v>114</v>
      </c>
      <c r="D135" s="80"/>
      <c r="E135" s="64">
        <v>41067</v>
      </c>
      <c r="F135" s="65" t="s">
        <v>110</v>
      </c>
      <c r="G135" s="65"/>
      <c r="H135" s="80"/>
      <c r="I135" s="66">
        <v>27.97</v>
      </c>
      <c r="J135" s="67" t="str">
        <f>IF(ISBLANK(I135), " ", IF(ISTEXT(I135), " ", IF(I135&lt;=Нормативы!$H$27, "КМС", IF(I135&lt;=Нормативы!$H$28, "КМС", IF(I135&lt;=Нормативы!$L$29, "КМС", IF(I135&lt;=Нормативы!$L$30, "I", IF(I135&lt;=Нормативы!$L$31, "II", IF(I135&lt;=Нормативы!$L$32, "III", IF(I135&lt;=Нормативы!$L$33, "I юн", IF(I135&lt;=Нормативы!$L$34, "II юн", IF(I135&lt;=Нормативы!$L$35, "III юн", "б/р")))))))))))</f>
        <v>III</v>
      </c>
      <c r="K135" s="81"/>
      <c r="L135" s="72"/>
      <c r="O135" s="72"/>
      <c r="P135" s="18"/>
      <c r="Q135" s="18"/>
      <c r="R135" s="18"/>
      <c r="S135" s="84"/>
      <c r="T135" s="16"/>
      <c r="U135" s="56"/>
    </row>
    <row r="136" spans="1:138" ht="15" customHeight="1" x14ac:dyDescent="0.25">
      <c r="A136" s="79">
        <v>8</v>
      </c>
      <c r="B136" s="62" t="s">
        <v>94</v>
      </c>
      <c r="C136" s="63" t="s">
        <v>115</v>
      </c>
      <c r="D136" s="80"/>
      <c r="E136" s="70">
        <v>41155</v>
      </c>
      <c r="F136" s="65" t="s">
        <v>87</v>
      </c>
      <c r="G136" s="65"/>
      <c r="H136" s="80"/>
      <c r="I136" s="66">
        <v>29.13</v>
      </c>
      <c r="J136" s="67" t="str">
        <f>IF(ISBLANK(I136), " ", IF(ISTEXT(I136), " ", IF(I136&lt;=Нормативы!$H$27, "КМС", IF(I136&lt;=Нормативы!$H$28, "КМС", IF(I136&lt;=Нормативы!$L$29, "КМС", IF(I136&lt;=Нормативы!$L$30, "I", IF(I136&lt;=Нормативы!$L$31, "II", IF(I136&lt;=Нормативы!$L$32, "III", IF(I136&lt;=Нормативы!$L$33, "I юн", IF(I136&lt;=Нормативы!$L$34, "II юн", IF(I136&lt;=Нормативы!$L$35, "III юн", "б/р")))))))))))</f>
        <v>III</v>
      </c>
      <c r="K136" s="82"/>
      <c r="L136" s="72"/>
      <c r="O136" s="72"/>
      <c r="P136" s="18"/>
      <c r="Q136" s="18"/>
      <c r="R136" s="18"/>
      <c r="S136" s="18"/>
      <c r="T136" s="16"/>
      <c r="U136" s="56"/>
    </row>
    <row r="137" spans="1:138" ht="15" customHeight="1" x14ac:dyDescent="0.25">
      <c r="A137" s="79">
        <v>9</v>
      </c>
      <c r="B137" s="63" t="s">
        <v>82</v>
      </c>
      <c r="C137" s="65" t="s">
        <v>116</v>
      </c>
      <c r="D137" s="85"/>
      <c r="E137" s="70">
        <v>41162</v>
      </c>
      <c r="F137" s="65" t="s">
        <v>78</v>
      </c>
      <c r="G137" s="65"/>
      <c r="H137" s="80"/>
      <c r="I137" s="80">
        <v>29.35</v>
      </c>
      <c r="J137" s="67" t="str">
        <f>IF(ISBLANK(I137), " ", IF(ISTEXT(I137), " ", IF(I137&lt;=Нормативы!$H$27, "КМС", IF(I137&lt;=Нормативы!$H$28, "КМС", IF(I137&lt;=Нормативы!$L$29, "КМС", IF(I137&lt;=Нормативы!$L$30, "I", IF(I137&lt;=Нормативы!$L$31, "II", IF(I137&lt;=Нормативы!$L$32, "III", IF(I137&lt;=Нормативы!$L$33, "I юн", IF(I137&lt;=Нормативы!$L$34, "II юн", IF(I137&lt;=Нормативы!$L$35, "III юн", "б/р")))))))))))</f>
        <v>III</v>
      </c>
      <c r="K137" s="80"/>
      <c r="L137" s="72"/>
      <c r="O137" s="72"/>
      <c r="P137" s="18"/>
      <c r="Q137" s="18"/>
      <c r="R137" s="18"/>
      <c r="T137" s="16"/>
      <c r="U137" s="56"/>
    </row>
    <row r="138" spans="1:138" ht="15" customHeight="1" x14ac:dyDescent="0.25">
      <c r="A138" s="79">
        <v>10</v>
      </c>
      <c r="B138" s="65" t="s">
        <v>117</v>
      </c>
      <c r="C138" s="65" t="s">
        <v>118</v>
      </c>
      <c r="D138" s="80"/>
      <c r="E138" s="64">
        <v>41136</v>
      </c>
      <c r="F138" s="65" t="s">
        <v>92</v>
      </c>
      <c r="G138" s="65"/>
      <c r="H138" s="80"/>
      <c r="I138" s="66">
        <v>29.38</v>
      </c>
      <c r="J138" s="67" t="str">
        <f>IF(ISBLANK(I138), " ", IF(ISTEXT(I138), " ", IF(I138&lt;=Нормативы!$H$27, "КМС", IF(I138&lt;=Нормативы!$H$28, "КМС", IF(I138&lt;=Нормативы!$L$29, "КМС", IF(I138&lt;=Нормативы!$L$30, "I", IF(I138&lt;=Нормативы!$L$31, "II", IF(I138&lt;=Нормативы!$L$32, "III", IF(I138&lt;=Нормативы!$L$33, "I юн", IF(I138&lt;=Нормативы!$L$34, "II юн", IF(I138&lt;=Нормативы!$L$35, "III юн", "б/р")))))))))))</f>
        <v>III</v>
      </c>
      <c r="K138" s="81"/>
      <c r="L138" s="72"/>
      <c r="O138" s="72"/>
      <c r="P138" s="18"/>
      <c r="Q138" s="18"/>
      <c r="R138" s="18"/>
      <c r="S138" s="84"/>
      <c r="T138" s="16"/>
      <c r="U138" s="56"/>
    </row>
    <row r="139" spans="1:138" ht="15" customHeight="1" x14ac:dyDescent="0.25">
      <c r="A139" s="79">
        <v>11</v>
      </c>
      <c r="B139" s="62" t="s">
        <v>94</v>
      </c>
      <c r="C139" s="63" t="s">
        <v>119</v>
      </c>
      <c r="D139" s="80"/>
      <c r="E139" s="64">
        <v>41187</v>
      </c>
      <c r="F139" s="65" t="s">
        <v>92</v>
      </c>
      <c r="G139" s="65"/>
      <c r="H139" s="80"/>
      <c r="I139" s="66">
        <v>29.58</v>
      </c>
      <c r="J139" s="67" t="str">
        <f>IF(ISBLANK(I139), " ", IF(ISTEXT(I139), " ", IF(I139&lt;=Нормативы!$H$27, "КМС", IF(I139&lt;=Нормативы!$H$28, "КМС", IF(I139&lt;=Нормативы!$L$29, "КМС", IF(I139&lt;=Нормативы!$L$30, "I", IF(I139&lt;=Нормативы!$L$31, "II", IF(I139&lt;=Нормативы!$L$32, "III", IF(I139&lt;=Нормативы!$L$33, "I юн", IF(I139&lt;=Нормативы!$L$34, "II юн", IF(I139&lt;=Нормативы!$L$35, "III юн", "б/р")))))))))))</f>
        <v>III</v>
      </c>
      <c r="K139" s="81"/>
    </row>
    <row r="140" spans="1:138" ht="15" customHeight="1" x14ac:dyDescent="0.25">
      <c r="A140" s="79">
        <v>12</v>
      </c>
      <c r="B140" s="65" t="s">
        <v>117</v>
      </c>
      <c r="C140" s="65" t="s">
        <v>120</v>
      </c>
      <c r="D140" s="80"/>
      <c r="E140" s="64">
        <v>41136</v>
      </c>
      <c r="F140" s="65" t="s">
        <v>92</v>
      </c>
      <c r="G140" s="65"/>
      <c r="H140" s="80"/>
      <c r="I140" s="66">
        <v>30.78</v>
      </c>
      <c r="J140" s="67" t="str">
        <f>IF(ISBLANK(I140), " ", IF(ISTEXT(I140), " ", IF(I140&lt;=Нормативы!$H$27, "КМС", IF(I140&lt;=Нормативы!$H$28, "КМС", IF(I140&lt;=Нормативы!$L$29, "КМС", IF(I140&lt;=Нормативы!$L$30, "I", IF(I140&lt;=Нормативы!$L$31, "II", IF(I140&lt;=Нормативы!$L$32, "III", IF(I140&lt;=Нормативы!$L$33, "I юн", IF(I140&lt;=Нормативы!$L$34, "II юн", IF(I140&lt;=Нормативы!$L$35, "III юн", "б/р")))))))))))</f>
        <v>I юн</v>
      </c>
      <c r="K140" s="81"/>
      <c r="L140" s="72"/>
      <c r="O140" s="72"/>
      <c r="P140" s="18"/>
      <c r="Q140" s="18"/>
      <c r="R140" s="18"/>
      <c r="T140" s="16"/>
      <c r="U140" s="56"/>
    </row>
    <row r="141" spans="1:138" ht="15" customHeight="1" x14ac:dyDescent="0.25">
      <c r="A141" s="79">
        <v>13</v>
      </c>
      <c r="B141" s="65" t="s">
        <v>100</v>
      </c>
      <c r="C141" s="65" t="s">
        <v>121</v>
      </c>
      <c r="D141" s="80"/>
      <c r="E141" s="64">
        <v>40927</v>
      </c>
      <c r="F141" s="65" t="s">
        <v>87</v>
      </c>
      <c r="G141" s="65"/>
      <c r="H141" s="80"/>
      <c r="I141" s="66">
        <v>31.5</v>
      </c>
      <c r="J141" s="67" t="str">
        <f>IF(ISBLANK(I141), " ", IF(ISTEXT(I141), " ", IF(I141&lt;=Нормативы!$H$27, "КМС", IF(I141&lt;=Нормативы!$H$28, "КМС", IF(I141&lt;=Нормативы!$L$29, "КМС", IF(I141&lt;=Нормативы!$L$30, "I", IF(I141&lt;=Нормативы!$L$31, "II", IF(I141&lt;=Нормативы!$L$32, "III", IF(I141&lt;=Нормативы!$L$33, "I юн", IF(I141&lt;=Нормативы!$L$34, "II юн", IF(I141&lt;=Нормативы!$L$35, "III юн", "б/р")))))))))))</f>
        <v>I юн</v>
      </c>
      <c r="K141" s="81"/>
      <c r="L141" s="72"/>
      <c r="O141" s="72"/>
      <c r="P141" s="18"/>
      <c r="Q141" s="18"/>
      <c r="R141" s="18"/>
      <c r="T141" s="16"/>
      <c r="U141" s="56"/>
    </row>
    <row r="142" spans="1:138" s="46" customFormat="1" ht="15" customHeight="1" x14ac:dyDescent="0.25">
      <c r="A142" s="73"/>
      <c r="B142" s="4"/>
      <c r="C142" s="86"/>
      <c r="D142" s="87"/>
      <c r="E142" s="88"/>
      <c r="F142" s="89"/>
      <c r="G142" s="90"/>
      <c r="H142"/>
      <c r="I142" s="47"/>
      <c r="J142" s="78"/>
      <c r="K142" s="72"/>
      <c r="L142" s="72"/>
      <c r="O142" s="72"/>
      <c r="P142" s="18"/>
      <c r="Q142" s="18"/>
      <c r="R142" s="18"/>
      <c r="S142"/>
      <c r="T142" s="16"/>
      <c r="U142" s="56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</row>
    <row r="143" spans="1:138" ht="15" customHeight="1" x14ac:dyDescent="0.25">
      <c r="A143" s="47"/>
      <c r="B143" s="47"/>
      <c r="C143" s="48" t="s">
        <v>122</v>
      </c>
      <c r="D143" s="47"/>
      <c r="E143" s="47"/>
      <c r="F143" s="47"/>
      <c r="G143" s="47"/>
      <c r="H143" s="46"/>
      <c r="I143" s="47"/>
      <c r="J143" s="78"/>
      <c r="K143" s="72"/>
      <c r="L143" s="72"/>
      <c r="O143" s="72"/>
      <c r="P143" s="18"/>
      <c r="Q143" s="18"/>
      <c r="R143" s="18"/>
      <c r="T143" s="16"/>
      <c r="U143" s="56"/>
    </row>
    <row r="144" spans="1:138" ht="15" customHeight="1" x14ac:dyDescent="0.25">
      <c r="A144" s="57"/>
      <c r="B144" s="57"/>
      <c r="C144" s="58"/>
      <c r="D144" s="59"/>
      <c r="E144" s="60"/>
      <c r="F144" s="58"/>
      <c r="G144" s="47"/>
      <c r="I144" s="47"/>
      <c r="J144" s="78"/>
      <c r="K144" s="72"/>
    </row>
    <row r="145" spans="1:10" ht="15" customHeight="1" x14ac:dyDescent="0.25">
      <c r="A145" s="61">
        <v>1</v>
      </c>
      <c r="B145" s="62" t="s">
        <v>79</v>
      </c>
      <c r="C145" s="63" t="s">
        <v>123</v>
      </c>
      <c r="E145" s="64">
        <v>41526</v>
      </c>
      <c r="F145" s="65" t="s">
        <v>90</v>
      </c>
      <c r="G145" s="65"/>
      <c r="I145" s="66">
        <v>25.13</v>
      </c>
      <c r="J145" s="67" t="str">
        <f>IF(ISBLANK(I145), " ", IF(ISTEXT(I145), " ", IF(I145&lt;=Нормативы!$H$27, "КМС", IF(I145&lt;=Нормативы!$H$28, "КМС", IF(I145&lt;=Нормативы!$L$29, "КМС", IF(I145&lt;=Нормативы!$L$30, "I", IF(I145&lt;=Нормативы!$L$31, "II", IF(I145&lt;=Нормативы!$L$32, "III", IF(I145&lt;=Нормативы!$L$33, "I юн", IF(I145&lt;=Нормативы!$L$34, "II юн", IF(I145&lt;=Нормативы!$L$35, "III юн", "б/р")))))))))))</f>
        <v>I</v>
      </c>
    </row>
    <row r="146" spans="1:10" ht="15" customHeight="1" x14ac:dyDescent="0.25">
      <c r="A146" s="61">
        <v>2</v>
      </c>
      <c r="B146" s="63" t="s">
        <v>84</v>
      </c>
      <c r="C146" s="65" t="s">
        <v>124</v>
      </c>
      <c r="E146" s="64">
        <v>41346</v>
      </c>
      <c r="F146" s="65" t="s">
        <v>112</v>
      </c>
      <c r="G146" s="65"/>
      <c r="I146" s="66">
        <v>26.32</v>
      </c>
      <c r="J146" s="67" t="str">
        <f>IF(ISBLANK(I146), " ", IF(ISTEXT(I146), " ", IF(I146&lt;=Нормативы!$H$27, "КМС", IF(I146&lt;=Нормативы!$H$28, "КМС", IF(I146&lt;=Нормативы!$L$29, "КМС", IF(I146&lt;=Нормативы!$L$30, "I", IF(I146&lt;=Нормативы!$L$31, "II", IF(I146&lt;=Нормативы!$L$32, "III", IF(I146&lt;=Нормативы!$L$33, "I юн", IF(I146&lt;=Нормативы!$L$34, "II юн", IF(I146&lt;=Нормативы!$L$35, "III юн", "б/р")))))))))))</f>
        <v>II</v>
      </c>
    </row>
    <row r="147" spans="1:10" ht="15" customHeight="1" x14ac:dyDescent="0.25">
      <c r="A147" s="61">
        <v>3</v>
      </c>
      <c r="B147" s="62" t="s">
        <v>94</v>
      </c>
      <c r="C147" s="63" t="s">
        <v>125</v>
      </c>
      <c r="E147" s="64">
        <v>41347</v>
      </c>
      <c r="F147" s="65" t="s">
        <v>110</v>
      </c>
      <c r="G147" s="65"/>
      <c r="I147" s="66">
        <v>28.13</v>
      </c>
      <c r="J147" s="67" t="str">
        <f>IF(ISBLANK(I147), " ", IF(ISTEXT(I147), " ", IF(I147&lt;=Нормативы!$H$27, "КМС", IF(I147&lt;=Нормативы!$H$28, "КМС", IF(I147&lt;=Нормативы!$L$29, "КМС", IF(I147&lt;=Нормативы!$L$30, "I", IF(I147&lt;=Нормативы!$L$31, "II", IF(I147&lt;=Нормативы!$L$32, "III", IF(I147&lt;=Нормативы!$L$33, "I юн", IF(I147&lt;=Нормативы!$L$34, "II юн", IF(I147&lt;=Нормативы!$L$35, "III юн", "б/р")))))))))))</f>
        <v>III</v>
      </c>
    </row>
    <row r="148" spans="1:10" ht="15" customHeight="1" x14ac:dyDescent="0.25">
      <c r="A148" s="61">
        <v>4</v>
      </c>
      <c r="B148" s="65" t="s">
        <v>94</v>
      </c>
      <c r="C148" s="65" t="s">
        <v>126</v>
      </c>
      <c r="E148" s="64">
        <v>41306</v>
      </c>
      <c r="F148" s="65" t="s">
        <v>92</v>
      </c>
      <c r="G148" s="46"/>
      <c r="I148" s="66">
        <v>28.32</v>
      </c>
      <c r="J148" s="67" t="str">
        <f>IF(ISBLANK(I148), " ", IF(ISTEXT(I148), " ", IF(I148&lt;=Нормативы!$H$27, "КМС", IF(I148&lt;=Нормативы!$H$28, "КМС", IF(I148&lt;=Нормативы!$L$29, "КМС", IF(I148&lt;=Нормативы!$L$30, "I", IF(I148&lt;=Нормативы!$L$31, "II", IF(I148&lt;=Нормативы!$L$32, "III", IF(I148&lt;=Нормативы!$L$33, "I юн", IF(I148&lt;=Нормативы!$L$34, "II юн", IF(I148&lt;=Нормативы!$L$35, "III юн", "б/р")))))))))))</f>
        <v>III</v>
      </c>
    </row>
    <row r="149" spans="1:10" ht="15" customHeight="1" x14ac:dyDescent="0.25">
      <c r="A149" s="61">
        <v>5</v>
      </c>
      <c r="B149" s="63" t="s">
        <v>117</v>
      </c>
      <c r="C149" s="65" t="s">
        <v>127</v>
      </c>
      <c r="E149" s="64">
        <v>41576</v>
      </c>
      <c r="F149" s="65" t="s">
        <v>78</v>
      </c>
      <c r="G149" s="65"/>
      <c r="I149" s="66">
        <v>30.07</v>
      </c>
      <c r="J149" s="67" t="str">
        <f>IF(ISBLANK(I149), " ", IF(ISTEXT(I149), " ", IF(I149&lt;=Нормативы!$H$27, "КМС", IF(I149&lt;=Нормативы!$H$28, "КМС", IF(I149&lt;=Нормативы!$L$29, "КМС", IF(I149&lt;=Нормативы!$L$30, "I", IF(I149&lt;=Нормативы!$L$31, "II", IF(I149&lt;=Нормативы!$L$32, "III", IF(I149&lt;=Нормативы!$L$33, "I юн", IF(I149&lt;=Нормативы!$L$34, "II юн", IF(I149&lt;=Нормативы!$L$35, "III юн", "б/р")))))))))))</f>
        <v>III</v>
      </c>
    </row>
    <row r="150" spans="1:10" ht="15" customHeight="1" x14ac:dyDescent="0.25">
      <c r="A150" s="61">
        <v>6</v>
      </c>
      <c r="B150" s="62" t="s">
        <v>82</v>
      </c>
      <c r="C150" s="63" t="s">
        <v>128</v>
      </c>
      <c r="E150" s="64">
        <v>41470</v>
      </c>
      <c r="F150" s="65" t="s">
        <v>92</v>
      </c>
      <c r="G150" s="46"/>
      <c r="I150" s="66">
        <v>34.01</v>
      </c>
      <c r="J150" s="67" t="str">
        <f>IF(ISBLANK(I150), " ", IF(ISTEXT(I150), " ", IF(I150&lt;=Нормативы!$H$27, "КМС", IF(I150&lt;=Нормативы!$H$28, "КМС", IF(I150&lt;=Нормативы!$L$29, "КМС", IF(I150&lt;=Нормативы!$L$30, "I", IF(I150&lt;=Нормативы!$L$31, "II", IF(I150&lt;=Нормативы!$L$32, "III", IF(I150&lt;=Нормативы!$L$33, "I юн", IF(I150&lt;=Нормативы!$L$34, "II юн", IF(I150&lt;=Нормативы!$L$35, "III юн", "б/р")))))))))))</f>
        <v>II юн</v>
      </c>
    </row>
    <row r="151" spans="1:10" ht="15" customHeight="1" x14ac:dyDescent="0.25">
      <c r="A151" s="61">
        <v>7</v>
      </c>
      <c r="B151" s="65" t="s">
        <v>82</v>
      </c>
      <c r="C151" s="65" t="s">
        <v>129</v>
      </c>
      <c r="E151" s="64">
        <v>41609</v>
      </c>
      <c r="F151" s="65" t="s">
        <v>87</v>
      </c>
      <c r="G151" s="65"/>
      <c r="I151" s="66">
        <v>34.880000000000003</v>
      </c>
      <c r="J151" s="67" t="str">
        <f>IF(ISBLANK(I151), " ", IF(ISTEXT(I151), " ", IF(I151&lt;=Нормативы!$H$27, "КМС", IF(I151&lt;=Нормативы!$H$28, "КМС", IF(I151&lt;=Нормативы!$L$29, "КМС", IF(I151&lt;=Нормативы!$L$30, "I", IF(I151&lt;=Нормативы!$L$31, "II", IF(I151&lt;=Нормативы!$L$32, "III", IF(I151&lt;=Нормативы!$L$33, "I юн", IF(I151&lt;=Нормативы!$L$34, "II юн", IF(I151&lt;=Нормативы!$L$35, "III юн", "б/р")))))))))))</f>
        <v>II юн</v>
      </c>
    </row>
    <row r="152" spans="1:10" ht="15" customHeight="1" x14ac:dyDescent="0.25">
      <c r="A152" s="61">
        <v>8</v>
      </c>
      <c r="B152" s="65" t="s">
        <v>82</v>
      </c>
      <c r="C152" s="65" t="s">
        <v>130</v>
      </c>
      <c r="E152" s="64">
        <v>41470</v>
      </c>
      <c r="F152" s="65" t="s">
        <v>92</v>
      </c>
      <c r="G152" s="46"/>
      <c r="I152" s="66">
        <v>37.840000000000003</v>
      </c>
      <c r="J152" s="67" t="str">
        <f>IF(ISBLANK(I152), " ", IF(ISTEXT(I152), " ", IF(I152&lt;=Нормативы!$H$27, "КМС", IF(I152&lt;=Нормативы!$H$28, "КМС", IF(I152&lt;=Нормативы!$L$29, "КМС", IF(I152&lt;=Нормативы!$L$30, "I", IF(I152&lt;=Нормативы!$L$31, "II", IF(I152&lt;=Нормативы!$L$32, "III", IF(I152&lt;=Нормативы!$L$33, "I юн", IF(I152&lt;=Нормативы!$L$34, "II юн", IF(I152&lt;=Нормативы!$L$35, "III юн", "б/р")))))))))))</f>
        <v>III юн</v>
      </c>
    </row>
    <row r="153" spans="1:10" ht="15" customHeight="1" x14ac:dyDescent="0.25">
      <c r="A153" s="47"/>
      <c r="B153" s="47"/>
      <c r="C153" s="48"/>
      <c r="D153" s="47"/>
      <c r="E153" s="47"/>
      <c r="F153" s="47"/>
      <c r="G153" s="47"/>
      <c r="I153" s="47"/>
    </row>
    <row r="154" spans="1:10" ht="15" customHeight="1" x14ac:dyDescent="0.25">
      <c r="A154" s="47"/>
      <c r="B154" s="47"/>
      <c r="C154" s="48" t="s">
        <v>131</v>
      </c>
      <c r="D154" s="47"/>
      <c r="E154" s="47"/>
      <c r="F154" s="47"/>
      <c r="G154" s="47"/>
      <c r="I154" s="47"/>
    </row>
    <row r="155" spans="1:10" ht="15" customHeight="1" x14ac:dyDescent="0.25">
      <c r="A155" s="57"/>
      <c r="B155" s="57"/>
      <c r="C155" s="58"/>
      <c r="D155" s="59"/>
      <c r="E155" s="60"/>
      <c r="F155" s="58"/>
      <c r="G155" s="47"/>
      <c r="I155" s="47"/>
    </row>
    <row r="156" spans="1:10" ht="15" customHeight="1" x14ac:dyDescent="0.25">
      <c r="A156" s="61">
        <v>1</v>
      </c>
      <c r="B156" s="63" t="s">
        <v>84</v>
      </c>
      <c r="C156" s="65" t="s">
        <v>132</v>
      </c>
      <c r="E156" s="70">
        <v>40569</v>
      </c>
      <c r="F156" s="65" t="s">
        <v>92</v>
      </c>
      <c r="G156" s="71"/>
      <c r="I156" s="66">
        <v>22.59</v>
      </c>
      <c r="J156" s="67" t="str">
        <f>IF(ISBLANK(I156), " ", IF(ISTEXT(I156), " ", IF(I156&lt;=Нормативы!$H$38, "КМС", IF(I156&lt;=Нормативы!$H$39, "КМС", IF(I156&lt;=Нормативы!$L$40, "КМС", IF(I156&lt;=Нормативы!$L$41, "I", IF(I156&lt;=Нормативы!$L$42, "II", IF(I156&lt;=Нормативы!$L$43, "III", IF(I156&lt;=Нормативы!$L$44, "I юн", IF(I156&lt;=Нормативы!$L$45, "II юн", IF(I156&lt;=Нормативы!$L$46, "III юн", "б/р")))))))))))</f>
        <v>I</v>
      </c>
    </row>
    <row r="157" spans="1:10" ht="15" customHeight="1" x14ac:dyDescent="0.25">
      <c r="A157" s="61">
        <v>2</v>
      </c>
      <c r="B157" s="63" t="s">
        <v>84</v>
      </c>
      <c r="C157" s="65" t="s">
        <v>133</v>
      </c>
      <c r="E157" s="64">
        <v>40660</v>
      </c>
      <c r="F157" s="63" t="s">
        <v>78</v>
      </c>
      <c r="G157" s="65"/>
      <c r="I157" s="66">
        <v>22.94</v>
      </c>
      <c r="J157" s="67" t="str">
        <f>IF(ISBLANK(I157), " ", IF(ISTEXT(I157), " ", IF(I157&lt;=Нормативы!$H$38, "КМС", IF(I157&lt;=Нормативы!$H$39, "КМС", IF(I157&lt;=Нормативы!$L$40, "КМС", IF(I157&lt;=Нормативы!$L$41, "I", IF(I157&lt;=Нормативы!$L$42, "II", IF(I157&lt;=Нормативы!$L$43, "III", IF(I157&lt;=Нормативы!$L$44, "I юн", IF(I157&lt;=Нормативы!$L$45, "II юн", IF(I157&lt;=Нормативы!$L$46, "III юн", "б/р")))))))))))</f>
        <v>II</v>
      </c>
    </row>
    <row r="158" spans="1:10" ht="15" customHeight="1" x14ac:dyDescent="0.25">
      <c r="A158" s="61">
        <v>3</v>
      </c>
      <c r="B158" s="65" t="s">
        <v>84</v>
      </c>
      <c r="C158" s="65" t="s">
        <v>134</v>
      </c>
      <c r="E158" s="64">
        <v>40686</v>
      </c>
      <c r="F158" s="65" t="s">
        <v>78</v>
      </c>
      <c r="G158" s="65"/>
      <c r="I158" s="66">
        <v>23.26</v>
      </c>
      <c r="J158" s="67" t="str">
        <f>IF(ISBLANK(I158), " ", IF(ISTEXT(I158), " ", IF(I158&lt;=Нормативы!$H$38, "КМС", IF(I158&lt;=Нормативы!$H$39, "КМС", IF(I158&lt;=Нормативы!$L$40, "КМС", IF(I158&lt;=Нормативы!$L$41, "I", IF(I158&lt;=Нормативы!$L$42, "II", IF(I158&lt;=Нормативы!$L$43, "III", IF(I158&lt;=Нормативы!$L$44, "I юн", IF(I158&lt;=Нормативы!$L$45, "II юн", IF(I158&lt;=Нормативы!$L$46, "III юн", "б/р")))))))))))</f>
        <v>II</v>
      </c>
    </row>
    <row r="159" spans="1:10" ht="15" customHeight="1" x14ac:dyDescent="0.25">
      <c r="A159" s="61">
        <v>4</v>
      </c>
      <c r="B159" s="63" t="s">
        <v>84</v>
      </c>
      <c r="C159" s="65" t="s">
        <v>135</v>
      </c>
      <c r="E159" s="70">
        <v>40563</v>
      </c>
      <c r="F159" s="65" t="s">
        <v>92</v>
      </c>
      <c r="G159" s="71"/>
      <c r="I159" s="66">
        <v>23.5</v>
      </c>
      <c r="J159" s="67" t="str">
        <f>IF(ISBLANK(I159), " ", IF(ISTEXT(I159), " ", IF(I159&lt;=Нормативы!$H$38, "КМС", IF(I159&lt;=Нормативы!$H$39, "КМС", IF(I159&lt;=Нормативы!$L$40, "КМС", IF(I159&lt;=Нормативы!$L$41, "I", IF(I159&lt;=Нормативы!$L$42, "II", IF(I159&lt;=Нормативы!$L$43, "III", IF(I159&lt;=Нормативы!$L$44, "I юн", IF(I159&lt;=Нормативы!$L$45, "II юн", IF(I159&lt;=Нормативы!$L$46, "III юн", "б/р")))))))))))</f>
        <v>II</v>
      </c>
    </row>
    <row r="160" spans="1:10" ht="15" customHeight="1" x14ac:dyDescent="0.25">
      <c r="A160" s="61">
        <v>5</v>
      </c>
      <c r="B160" s="65" t="s">
        <v>84</v>
      </c>
      <c r="C160" s="65" t="s">
        <v>136</v>
      </c>
      <c r="E160" s="64">
        <v>40624</v>
      </c>
      <c r="F160" s="65" t="s">
        <v>92</v>
      </c>
      <c r="G160" s="71"/>
      <c r="I160" s="66">
        <v>23.62</v>
      </c>
      <c r="J160" s="67" t="str">
        <f>IF(ISBLANK(I160), " ", IF(ISTEXT(I160), " ", IF(I160&lt;=Нормативы!$H$38, "КМС", IF(I160&lt;=Нормативы!$H$39, "КМС", IF(I160&lt;=Нормативы!$L$40, "КМС", IF(I160&lt;=Нормативы!$L$41, "I", IF(I160&lt;=Нормативы!$L$42, "II", IF(I160&lt;=Нормативы!$L$43, "III", IF(I160&lt;=Нормативы!$L$44, "I юн", IF(I160&lt;=Нормативы!$L$45, "II юн", IF(I160&lt;=Нормативы!$L$46, "III юн", "б/р")))))))))))</f>
        <v>II</v>
      </c>
    </row>
    <row r="161" spans="1:10" ht="15" customHeight="1" x14ac:dyDescent="0.25">
      <c r="A161" s="61">
        <v>6</v>
      </c>
      <c r="B161" s="63" t="s">
        <v>84</v>
      </c>
      <c r="C161" s="65" t="s">
        <v>137</v>
      </c>
      <c r="E161" s="64">
        <v>40703</v>
      </c>
      <c r="F161" s="65" t="s">
        <v>110</v>
      </c>
      <c r="G161" s="65"/>
      <c r="I161" s="66">
        <v>23.83</v>
      </c>
      <c r="J161" s="67" t="str">
        <f>IF(ISBLANK(I161), " ", IF(ISTEXT(I161), " ", IF(I161&lt;=Нормативы!$H$38, "КМС", IF(I161&lt;=Нормативы!$H$39, "КМС", IF(I161&lt;=Нормативы!$L$40, "КМС", IF(I161&lt;=Нормативы!$L$41, "I", IF(I161&lt;=Нормативы!$L$42, "II", IF(I161&lt;=Нормативы!$L$43, "III", IF(I161&lt;=Нормативы!$L$44, "I юн", IF(I161&lt;=Нормативы!$L$45, "II юн", IF(I161&lt;=Нормативы!$L$46, "III юн", "б/р")))))))))))</f>
        <v>II</v>
      </c>
    </row>
    <row r="162" spans="1:10" ht="15" customHeight="1" x14ac:dyDescent="0.25">
      <c r="A162" s="61">
        <v>7</v>
      </c>
      <c r="B162" s="62" t="s">
        <v>84</v>
      </c>
      <c r="C162" s="63" t="s">
        <v>63</v>
      </c>
      <c r="E162" s="64">
        <v>40745</v>
      </c>
      <c r="F162" s="65" t="s">
        <v>78</v>
      </c>
      <c r="G162" s="65"/>
      <c r="I162" s="66">
        <v>24.07</v>
      </c>
      <c r="J162" s="67" t="str">
        <f>IF(ISBLANK(I162), " ", IF(ISTEXT(I162), " ", IF(I162&lt;=Нормативы!$H$38, "КМС", IF(I162&lt;=Нормативы!$H$39, "КМС", IF(I162&lt;=Нормативы!$L$40, "КМС", IF(I162&lt;=Нормативы!$L$41, "I", IF(I162&lt;=Нормативы!$L$42, "II", IF(I162&lt;=Нормативы!$L$43, "III", IF(I162&lt;=Нормативы!$L$44, "I юн", IF(I162&lt;=Нормативы!$L$45, "II юн", IF(I162&lt;=Нормативы!$L$46, "III юн", "б/р")))))))))))</f>
        <v>II</v>
      </c>
    </row>
    <row r="163" spans="1:10" ht="15" customHeight="1" x14ac:dyDescent="0.25">
      <c r="A163" s="61">
        <v>8</v>
      </c>
      <c r="B163" s="65" t="s">
        <v>94</v>
      </c>
      <c r="C163" s="65" t="s">
        <v>138</v>
      </c>
      <c r="E163" s="64">
        <v>40828</v>
      </c>
      <c r="F163" s="65" t="s">
        <v>110</v>
      </c>
      <c r="G163" s="65"/>
      <c r="I163" s="66">
        <v>25.07</v>
      </c>
      <c r="J163" s="67" t="str">
        <f>IF(ISBLANK(I163), " ", IF(ISTEXT(I163), " ", IF(I163&lt;=Нормативы!$H$38, "КМС", IF(I163&lt;=Нормативы!$H$39, "КМС", IF(I163&lt;=Нормативы!$L$40, "КМС", IF(I163&lt;=Нормативы!$L$41, "I", IF(I163&lt;=Нормативы!$L$42, "II", IF(I163&lt;=Нормативы!$L$43, "III", IF(I163&lt;=Нормативы!$L$44, "I юн", IF(I163&lt;=Нормативы!$L$45, "II юн", IF(I163&lt;=Нормативы!$L$46, "III юн", "б/р")))))))))))</f>
        <v>III</v>
      </c>
    </row>
    <row r="164" spans="1:10" ht="15" customHeight="1" x14ac:dyDescent="0.25">
      <c r="A164" s="61">
        <v>9</v>
      </c>
      <c r="B164" s="63" t="s">
        <v>100</v>
      </c>
      <c r="C164" s="65" t="s">
        <v>139</v>
      </c>
      <c r="E164" s="64">
        <v>40908</v>
      </c>
      <c r="F164" s="65" t="s">
        <v>87</v>
      </c>
      <c r="G164" s="65"/>
      <c r="I164" s="66">
        <v>25.09</v>
      </c>
      <c r="J164" s="67" t="str">
        <f>IF(ISBLANK(I164), " ", IF(ISTEXT(I164), " ", IF(I164&lt;=Нормативы!$H$38, "КМС", IF(I164&lt;=Нормативы!$H$39, "КМС", IF(I164&lt;=Нормативы!$L$40, "КМС", IF(I164&lt;=Нормативы!$L$41, "I", IF(I164&lt;=Нормативы!$L$42, "II", IF(I164&lt;=Нормативы!$L$43, "III", IF(I164&lt;=Нормативы!$L$44, "I юн", IF(I164&lt;=Нормативы!$L$45, "II юн", IF(I164&lt;=Нормативы!$L$46, "III юн", "б/р")))))))))))</f>
        <v>III</v>
      </c>
    </row>
    <row r="165" spans="1:10" ht="15" customHeight="1" x14ac:dyDescent="0.25">
      <c r="A165" s="61">
        <v>10</v>
      </c>
      <c r="B165" s="62" t="s">
        <v>82</v>
      </c>
      <c r="C165" s="63" t="s">
        <v>140</v>
      </c>
      <c r="E165" s="64">
        <v>40551</v>
      </c>
      <c r="F165" s="65" t="s">
        <v>92</v>
      </c>
      <c r="G165" s="71"/>
      <c r="I165" s="66">
        <v>25.27</v>
      </c>
      <c r="J165" s="67" t="str">
        <f>IF(ISBLANK(I165), " ", IF(ISTEXT(I165), " ", IF(I165&lt;=Нормативы!$H$38, "КМС", IF(I165&lt;=Нормативы!$H$39, "КМС", IF(I165&lt;=Нормативы!$L$40, "КМС", IF(I165&lt;=Нормативы!$L$41, "I", IF(I165&lt;=Нормативы!$L$42, "II", IF(I165&lt;=Нормативы!$L$43, "III", IF(I165&lt;=Нормативы!$L$44, "I юн", IF(I165&lt;=Нормативы!$L$45, "II юн", IF(I165&lt;=Нормативы!$L$46, "III юн", "б/р")))))))))))</f>
        <v>III</v>
      </c>
    </row>
    <row r="166" spans="1:10" ht="15" customHeight="1" x14ac:dyDescent="0.25">
      <c r="A166" s="61">
        <v>11</v>
      </c>
      <c r="B166" s="65" t="s">
        <v>84</v>
      </c>
      <c r="C166" s="85" t="s">
        <v>141</v>
      </c>
      <c r="E166" s="70">
        <v>40874</v>
      </c>
      <c r="F166" s="65" t="s">
        <v>92</v>
      </c>
      <c r="G166" s="71"/>
      <c r="I166" s="66">
        <v>26.57</v>
      </c>
      <c r="J166" s="67" t="str">
        <f>IF(ISBLANK(I166), " ", IF(ISTEXT(I166), " ", IF(I166&lt;=Нормативы!$H$38, "КМС", IF(I166&lt;=Нормативы!$H$39, "КМС", IF(I166&lt;=Нормативы!$L$40, "КМС", IF(I166&lt;=Нормативы!$L$41, "I", IF(I166&lt;=Нормативы!$L$42, "II", IF(I166&lt;=Нормативы!$L$43, "III", IF(I166&lt;=Нормативы!$L$44, "I юн", IF(I166&lt;=Нормативы!$L$45, "II юн", IF(I166&lt;=Нормативы!$L$46, "III юн", "б/р")))))))))))</f>
        <v>I юн</v>
      </c>
    </row>
    <row r="167" spans="1:10" ht="15" customHeight="1" x14ac:dyDescent="0.25">
      <c r="A167" s="61">
        <v>12</v>
      </c>
      <c r="B167" s="62" t="s">
        <v>82</v>
      </c>
      <c r="C167" s="65" t="s">
        <v>142</v>
      </c>
      <c r="E167" s="64">
        <v>40613</v>
      </c>
      <c r="F167" s="65" t="s">
        <v>92</v>
      </c>
      <c r="G167" s="71"/>
      <c r="I167" s="66">
        <v>26.59</v>
      </c>
      <c r="J167" s="67" t="str">
        <f>IF(ISBLANK(I167), " ", IF(ISTEXT(I167), " ", IF(I167&lt;=Нормативы!$H$38, "КМС", IF(I167&lt;=Нормативы!$H$39, "КМС", IF(I167&lt;=Нормативы!$L$40, "КМС", IF(I167&lt;=Нормативы!$L$41, "I", IF(I167&lt;=Нормативы!$L$42, "II", IF(I167&lt;=Нормативы!$L$43, "III", IF(I167&lt;=Нормативы!$L$44, "I юн", IF(I167&lt;=Нормативы!$L$45, "II юн", IF(I167&lt;=Нормативы!$L$46, "III юн", "б/р")))))))))))</f>
        <v>I юн</v>
      </c>
    </row>
    <row r="168" spans="1:10" ht="15" customHeight="1" x14ac:dyDescent="0.25">
      <c r="A168" s="61">
        <v>13</v>
      </c>
      <c r="B168" s="65" t="s">
        <v>82</v>
      </c>
      <c r="C168" s="65" t="s">
        <v>143</v>
      </c>
      <c r="E168" s="70">
        <v>40835</v>
      </c>
      <c r="F168" s="65" t="s">
        <v>92</v>
      </c>
      <c r="G168" s="71"/>
      <c r="I168" s="66">
        <v>26.6</v>
      </c>
      <c r="J168" s="67" t="str">
        <f>IF(ISBLANK(I168), " ", IF(ISTEXT(I168), " ", IF(I168&lt;=Нормативы!$H$38, "КМС", IF(I168&lt;=Нормативы!$H$39, "КМС", IF(I168&lt;=Нормативы!$L$40, "КМС", IF(I168&lt;=Нормативы!$L$41, "I", IF(I168&lt;=Нормативы!$L$42, "II", IF(I168&lt;=Нормативы!$L$43, "III", IF(I168&lt;=Нормативы!$L$44, "I юн", IF(I168&lt;=Нормативы!$L$45, "II юн", IF(I168&lt;=Нормативы!$L$46, "III юн", "б/р")))))))))))</f>
        <v>I юн</v>
      </c>
    </row>
    <row r="169" spans="1:10" ht="15" customHeight="1" x14ac:dyDescent="0.25">
      <c r="A169" s="61">
        <v>14</v>
      </c>
      <c r="B169" s="62" t="s">
        <v>88</v>
      </c>
      <c r="C169" s="63" t="s">
        <v>144</v>
      </c>
      <c r="E169" s="64">
        <v>40612</v>
      </c>
      <c r="F169" s="65" t="s">
        <v>90</v>
      </c>
      <c r="G169" s="65"/>
      <c r="I169" s="66">
        <v>26.74</v>
      </c>
      <c r="J169" s="67" t="str">
        <f>IF(ISBLANK(I169), " ", IF(ISTEXT(I169), " ", IF(I169&lt;=Нормативы!$H$38, "КМС", IF(I169&lt;=Нормативы!$H$39, "КМС", IF(I169&lt;=Нормативы!$L$40, "КМС", IF(I169&lt;=Нормативы!$L$41, "I", IF(I169&lt;=Нормативы!$L$42, "II", IF(I169&lt;=Нормативы!$L$43, "III", IF(I169&lt;=Нормативы!$L$44, "I юн", IF(I169&lt;=Нормативы!$L$45, "II юн", IF(I169&lt;=Нормативы!$L$46, "III юн", "б/р")))))))))))</f>
        <v>I юн</v>
      </c>
    </row>
    <row r="170" spans="1:10" ht="15" customHeight="1" x14ac:dyDescent="0.25">
      <c r="A170" s="61">
        <v>15</v>
      </c>
      <c r="B170" s="65" t="s">
        <v>94</v>
      </c>
      <c r="C170" s="85" t="s">
        <v>145</v>
      </c>
      <c r="E170" s="64">
        <v>40778</v>
      </c>
      <c r="F170" s="63" t="s">
        <v>78</v>
      </c>
      <c r="G170" s="65"/>
      <c r="I170" s="66">
        <v>26.81</v>
      </c>
      <c r="J170" s="67" t="str">
        <f>IF(ISBLANK(I170), " ", IF(ISTEXT(I170), " ", IF(I170&lt;=Нормативы!$H$38, "КМС", IF(I170&lt;=Нормативы!$H$39, "КМС", IF(I170&lt;=Нормативы!$L$40, "КМС", IF(I170&lt;=Нормативы!$L$41, "I", IF(I170&lt;=Нормативы!$L$42, "II", IF(I170&lt;=Нормативы!$L$43, "III", IF(I170&lt;=Нормативы!$L$44, "I юн", IF(I170&lt;=Нормативы!$L$45, "II юн", IF(I170&lt;=Нормативы!$L$46, "III юн", "б/р")))))))))))</f>
        <v>I юн</v>
      </c>
    </row>
    <row r="171" spans="1:10" ht="15" customHeight="1" x14ac:dyDescent="0.25">
      <c r="A171" s="61">
        <v>16</v>
      </c>
      <c r="B171" s="65" t="s">
        <v>100</v>
      </c>
      <c r="C171" s="65" t="s">
        <v>146</v>
      </c>
      <c r="E171" s="70">
        <v>40697</v>
      </c>
      <c r="F171" s="65" t="s">
        <v>92</v>
      </c>
      <c r="G171" s="71"/>
      <c r="I171" s="66">
        <v>27.26</v>
      </c>
      <c r="J171" s="67" t="str">
        <f>IF(ISBLANK(I171), " ", IF(ISTEXT(I171), " ", IF(I171&lt;=Нормативы!$H$38, "КМС", IF(I171&lt;=Нормативы!$H$39, "КМС", IF(I171&lt;=Нормативы!$L$40, "КМС", IF(I171&lt;=Нормативы!$L$41, "I", IF(I171&lt;=Нормативы!$L$42, "II", IF(I171&lt;=Нормативы!$L$43, "III", IF(I171&lt;=Нормативы!$L$44, "I юн", IF(I171&lt;=Нормативы!$L$45, "II юн", IF(I171&lt;=Нормативы!$L$46, "III юн", "б/р")))))))))))</f>
        <v>I юн</v>
      </c>
    </row>
    <row r="172" spans="1:10" ht="15" customHeight="1" x14ac:dyDescent="0.25">
      <c r="A172" s="61">
        <v>17</v>
      </c>
      <c r="B172" s="62" t="s">
        <v>82</v>
      </c>
      <c r="C172" s="63" t="s">
        <v>147</v>
      </c>
      <c r="E172" s="64">
        <v>40844</v>
      </c>
      <c r="F172" s="65" t="s">
        <v>81</v>
      </c>
      <c r="G172" s="65"/>
      <c r="I172" s="66">
        <v>28.83</v>
      </c>
      <c r="J172" s="67" t="str">
        <f>IF(ISBLANK(I172), " ", IF(ISTEXT(I172), " ", IF(I172&lt;=Нормативы!$H$38, "КМС", IF(I172&lt;=Нормативы!$H$39, "КМС", IF(I172&lt;=Нормативы!$L$40, "КМС", IF(I172&lt;=Нормативы!$L$41, "I", IF(I172&lt;=Нормативы!$L$42, "II", IF(I172&lt;=Нормативы!$L$43, "III", IF(I172&lt;=Нормативы!$L$44, "I юн", IF(I172&lt;=Нормативы!$L$45, "II юн", IF(I172&lt;=Нормативы!$L$46, "III юн", "б/р")))))))))))</f>
        <v>I юн</v>
      </c>
    </row>
    <row r="173" spans="1:10" ht="15" customHeight="1" x14ac:dyDescent="0.25">
      <c r="A173" s="61">
        <v>18</v>
      </c>
      <c r="B173" s="65" t="s">
        <v>82</v>
      </c>
      <c r="C173" s="65" t="s">
        <v>148</v>
      </c>
      <c r="E173" s="64">
        <v>40818</v>
      </c>
      <c r="F173" s="65" t="s">
        <v>92</v>
      </c>
      <c r="G173" s="71"/>
      <c r="I173" s="66">
        <v>28.94</v>
      </c>
      <c r="J173" s="67" t="str">
        <f>IF(ISBLANK(I173), " ", IF(ISTEXT(I173), " ", IF(I173&lt;=Нормативы!$H$38, "КМС", IF(I173&lt;=Нормативы!$H$39, "КМС", IF(I173&lt;=Нормативы!$L$40, "КМС", IF(I173&lt;=Нормативы!$L$41, "I", IF(I173&lt;=Нормативы!$L$42, "II", IF(I173&lt;=Нормативы!$L$43, "III", IF(I173&lt;=Нормативы!$L$44, "I юн", IF(I173&lt;=Нормативы!$L$45, "II юн", IF(I173&lt;=Нормативы!$L$46, "III юн", "б/р")))))))))))</f>
        <v>I юн</v>
      </c>
    </row>
    <row r="174" spans="1:10" ht="15" customHeight="1" x14ac:dyDescent="0.25">
      <c r="A174" s="61">
        <v>19</v>
      </c>
      <c r="B174" s="63" t="s">
        <v>100</v>
      </c>
      <c r="C174" s="65" t="s">
        <v>149</v>
      </c>
      <c r="E174" s="64">
        <v>40691</v>
      </c>
      <c r="F174" s="65" t="s">
        <v>87</v>
      </c>
      <c r="G174" s="65"/>
      <c r="I174" s="66">
        <v>29.81</v>
      </c>
      <c r="J174" s="67" t="str">
        <f>IF(ISBLANK(I174), " ", IF(ISTEXT(I174), " ", IF(I174&lt;=Нормативы!$H$38, "КМС", IF(I174&lt;=Нормативы!$H$39, "КМС", IF(I174&lt;=Нормативы!$L$40, "КМС", IF(I174&lt;=Нормативы!$L$41, "I", IF(I174&lt;=Нормативы!$L$42, "II", IF(I174&lt;=Нормативы!$L$43, "III", IF(I174&lt;=Нормативы!$L$44, "I юн", IF(I174&lt;=Нормативы!$L$45, "II юн", IF(I174&lt;=Нормативы!$L$46, "III юн", "б/р")))))))))))</f>
        <v>II юн</v>
      </c>
    </row>
    <row r="175" spans="1:10" ht="15" customHeight="1" x14ac:dyDescent="0.25">
      <c r="A175" s="61">
        <v>20</v>
      </c>
      <c r="B175" s="63" t="s">
        <v>82</v>
      </c>
      <c r="C175" s="65" t="s">
        <v>150</v>
      </c>
      <c r="E175" s="64">
        <v>40730</v>
      </c>
      <c r="F175" s="65" t="s">
        <v>87</v>
      </c>
      <c r="G175" s="65"/>
      <c r="I175" s="66">
        <v>30.87</v>
      </c>
      <c r="J175" s="67" t="str">
        <f>IF(ISBLANK(I175), " ", IF(ISTEXT(I175), " ", IF(I175&lt;=Нормативы!$H$38, "КМС", IF(I175&lt;=Нормативы!$H$39, "КМС", IF(I175&lt;=Нормативы!$L$40, "КМС", IF(I175&lt;=Нормативы!$L$41, "I", IF(I175&lt;=Нормативы!$L$42, "II", IF(I175&lt;=Нормативы!$L$43, "III", IF(I175&lt;=Нормативы!$L$44, "I юн", IF(I175&lt;=Нормативы!$L$45, "II юн", IF(I175&lt;=Нормативы!$L$46, "III юн", "б/р")))))))))))</f>
        <v>II юн</v>
      </c>
    </row>
    <row r="176" spans="1:10" ht="15" customHeight="1" x14ac:dyDescent="0.25">
      <c r="A176" s="61">
        <v>21</v>
      </c>
      <c r="B176" s="62" t="s">
        <v>117</v>
      </c>
      <c r="C176" s="63" t="s">
        <v>151</v>
      </c>
      <c r="E176" s="64">
        <v>40562</v>
      </c>
      <c r="F176" s="65" t="s">
        <v>81</v>
      </c>
      <c r="G176" s="65"/>
      <c r="I176" s="66">
        <v>30.94</v>
      </c>
      <c r="J176" s="67" t="str">
        <f>IF(ISBLANK(I176), " ", IF(ISTEXT(I176), " ", IF(I176&lt;=Нормативы!$H$38, "КМС", IF(I176&lt;=Нормативы!$H$39, "КМС", IF(I176&lt;=Нормативы!$L$40, "КМС", IF(I176&lt;=Нормативы!$L$41, "I", IF(I176&lt;=Нормативы!$L$42, "II", IF(I176&lt;=Нормативы!$L$43, "III", IF(I176&lt;=Нормативы!$L$44, "I юн", IF(I176&lt;=Нормативы!$L$45, "II юн", IF(I176&lt;=Нормативы!$L$46, "III юн", "б/р")))))))))))</f>
        <v>II юн</v>
      </c>
    </row>
    <row r="177" spans="1:10" ht="15" customHeight="1" x14ac:dyDescent="0.25">
      <c r="A177" s="61">
        <v>22</v>
      </c>
      <c r="B177" s="62" t="s">
        <v>84</v>
      </c>
      <c r="C177" s="63" t="s">
        <v>152</v>
      </c>
      <c r="E177" s="64">
        <v>40668</v>
      </c>
      <c r="F177" s="65" t="s">
        <v>92</v>
      </c>
      <c r="G177" s="71"/>
      <c r="I177" s="66">
        <v>31.24</v>
      </c>
      <c r="J177" s="67" t="str">
        <f>IF(ISBLANK(I177), " ", IF(ISTEXT(I177), " ", IF(I177&lt;=Нормативы!$H$38, "КМС", IF(I177&lt;=Нормативы!$H$39, "КМС", IF(I177&lt;=Нормативы!$L$40, "КМС", IF(I177&lt;=Нормативы!$L$41, "I", IF(I177&lt;=Нормативы!$L$42, "II", IF(I177&lt;=Нормативы!$L$43, "III", IF(I177&lt;=Нормативы!$L$44, "I юн", IF(I177&lt;=Нормативы!$L$45, "II юн", IF(I177&lt;=Нормативы!$L$46, "III юн", "б/р")))))))))))</f>
        <v>II юн</v>
      </c>
    </row>
    <row r="178" spans="1:10" ht="15" customHeight="1" x14ac:dyDescent="0.25">
      <c r="A178" s="61">
        <v>23</v>
      </c>
      <c r="B178" s="65" t="s">
        <v>82</v>
      </c>
      <c r="C178" s="65" t="s">
        <v>153</v>
      </c>
      <c r="E178" s="70">
        <v>40856</v>
      </c>
      <c r="F178" s="65" t="s">
        <v>87</v>
      </c>
      <c r="G178" s="65"/>
      <c r="I178" s="66">
        <v>38.590000000000003</v>
      </c>
      <c r="J178" s="67" t="str">
        <f>IF(ISBLANK(I178), " ", IF(ISTEXT(I178), " ", IF(I178&lt;=Нормативы!$H$38, "КМС", IF(I178&lt;=Нормативы!$H$39, "КМС", IF(I178&lt;=Нормативы!$L$40, "КМС", IF(I178&lt;=Нормативы!$L$41, "I", IF(I178&lt;=Нормативы!$L$42, "II", IF(I178&lt;=Нормативы!$L$43, "III", IF(I178&lt;=Нормативы!$L$44, "I юн", IF(I178&lt;=Нормативы!$L$45, "II юн", IF(I178&lt;=Нормативы!$L$46, "III юн", "б/р")))))))))))</f>
        <v>б/р</v>
      </c>
    </row>
    <row r="179" spans="1:10" ht="15" customHeight="1" x14ac:dyDescent="0.25">
      <c r="A179" s="47"/>
      <c r="B179" s="47"/>
      <c r="C179" s="48"/>
      <c r="D179" s="47"/>
      <c r="E179" s="47"/>
      <c r="F179" s="47"/>
      <c r="G179" s="47"/>
      <c r="I179" s="47"/>
    </row>
    <row r="180" spans="1:10" ht="15" customHeight="1" x14ac:dyDescent="0.25">
      <c r="A180" s="47"/>
      <c r="B180" s="47"/>
      <c r="C180" s="48" t="s">
        <v>154</v>
      </c>
      <c r="D180" s="47"/>
      <c r="E180" s="47"/>
      <c r="F180" s="47"/>
      <c r="G180" s="47"/>
      <c r="I180" s="47"/>
    </row>
    <row r="181" spans="1:10" ht="15" customHeight="1" x14ac:dyDescent="0.25">
      <c r="A181" s="57"/>
      <c r="B181" s="57"/>
      <c r="C181" s="58"/>
      <c r="D181" s="59"/>
      <c r="E181" s="60"/>
      <c r="F181" s="58"/>
      <c r="G181" s="47"/>
    </row>
    <row r="182" spans="1:10" ht="15" customHeight="1" x14ac:dyDescent="0.25">
      <c r="A182" s="61">
        <v>1</v>
      </c>
      <c r="B182" s="63" t="s">
        <v>100</v>
      </c>
      <c r="C182" s="65" t="s">
        <v>155</v>
      </c>
      <c r="E182" s="64">
        <v>40970</v>
      </c>
      <c r="F182" s="65" t="s">
        <v>87</v>
      </c>
      <c r="G182" s="65"/>
      <c r="I182" s="66">
        <v>27.1</v>
      </c>
      <c r="J182" s="67" t="str">
        <f>IF(ISBLANK(I182), " ", IF(ISTEXT(I182), " ", IF(I182&lt;=Нормативы!$H$38, "КМС", IF(I182&lt;=Нормативы!$H$39, "КМС", IF(I182&lt;=Нормативы!$L$40, "КМС", IF(I182&lt;=Нормативы!$L$41, "I", IF(I182&lt;=Нормативы!$L$42, "II", IF(I182&lt;=Нормативы!$L$43, "III", IF(I182&lt;=Нормативы!$L$44, "I юн", IF(I182&lt;=Нормативы!$L$45, "II юн", IF(I182&lt;=Нормативы!$L$46, "III юн", "б/р")))))))))))</f>
        <v>I юн</v>
      </c>
    </row>
    <row r="183" spans="1:10" ht="15" customHeight="1" x14ac:dyDescent="0.25">
      <c r="A183" s="61">
        <v>2</v>
      </c>
      <c r="B183" s="62" t="s">
        <v>100</v>
      </c>
      <c r="C183" s="63" t="s">
        <v>156</v>
      </c>
      <c r="E183" s="70">
        <v>41166</v>
      </c>
      <c r="F183" s="63" t="s">
        <v>112</v>
      </c>
      <c r="G183" s="65"/>
      <c r="I183" s="66">
        <v>27.84</v>
      </c>
      <c r="J183" s="67" t="str">
        <f>IF(ISBLANK(I183), " ", IF(ISTEXT(I183), " ", IF(I183&lt;=Нормативы!$H$38, "КМС", IF(I183&lt;=Нормативы!$H$39, "КМС", IF(I183&lt;=Нормативы!$L$40, "КМС", IF(I183&lt;=Нормативы!$L$41, "I", IF(I183&lt;=Нормативы!$L$42, "II", IF(I183&lt;=Нормативы!$L$43, "III", IF(I183&lt;=Нормативы!$L$44, "I юн", IF(I183&lt;=Нормативы!$L$45, "II юн", IF(I183&lt;=Нормативы!$L$46, "III юн", "б/р")))))))))))</f>
        <v>I юн</v>
      </c>
    </row>
    <row r="184" spans="1:10" ht="15" customHeight="1" x14ac:dyDescent="0.25">
      <c r="A184" s="61">
        <v>3</v>
      </c>
      <c r="B184" s="63" t="s">
        <v>82</v>
      </c>
      <c r="C184" s="65" t="s">
        <v>157</v>
      </c>
      <c r="E184" s="70">
        <v>41139</v>
      </c>
      <c r="F184" s="65" t="s">
        <v>92</v>
      </c>
      <c r="G184" s="71"/>
      <c r="I184" s="66">
        <v>28.13</v>
      </c>
      <c r="J184" s="67" t="str">
        <f>IF(ISBLANK(I184), " ", IF(ISTEXT(I184), " ", IF(I184&lt;=Нормативы!$H$38, "КМС", IF(I184&lt;=Нормативы!$H$39, "КМС", IF(I184&lt;=Нормативы!$L$40, "КМС", IF(I184&lt;=Нормативы!$L$41, "I", IF(I184&lt;=Нормативы!$L$42, "II", IF(I184&lt;=Нормативы!$L$43, "III", IF(I184&lt;=Нормативы!$L$44, "I юн", IF(I184&lt;=Нормативы!$L$45, "II юн", IF(I184&lt;=Нормативы!$L$46, "III юн", "б/р")))))))))))</f>
        <v>I юн</v>
      </c>
    </row>
    <row r="185" spans="1:10" ht="15" customHeight="1" x14ac:dyDescent="0.25">
      <c r="A185" s="61">
        <v>4</v>
      </c>
      <c r="B185" s="63" t="s">
        <v>158</v>
      </c>
      <c r="C185" s="65" t="s">
        <v>159</v>
      </c>
      <c r="E185" s="64">
        <v>41130</v>
      </c>
      <c r="F185" s="65" t="s">
        <v>87</v>
      </c>
      <c r="G185" s="65"/>
      <c r="I185" s="66">
        <v>28.32</v>
      </c>
      <c r="J185" s="67" t="str">
        <f>IF(ISBLANK(I185), " ", IF(ISTEXT(I185), " ", IF(I185&lt;=Нормативы!$H$38, "КМС", IF(I185&lt;=Нормативы!$H$39, "КМС", IF(I185&lt;=Нормативы!$L$40, "КМС", IF(I185&lt;=Нормативы!$L$41, "I", IF(I185&lt;=Нормативы!$L$42, "II", IF(I185&lt;=Нормативы!$L$43, "III", IF(I185&lt;=Нормативы!$L$44, "I юн", IF(I185&lt;=Нормативы!$L$45, "II юн", IF(I185&lt;=Нормативы!$L$46, "III юн", "б/р")))))))))))</f>
        <v>I юн</v>
      </c>
    </row>
    <row r="186" spans="1:10" ht="15" customHeight="1" x14ac:dyDescent="0.25">
      <c r="A186" s="61">
        <v>5</v>
      </c>
      <c r="B186" s="62" t="s">
        <v>100</v>
      </c>
      <c r="C186" s="63" t="s">
        <v>160</v>
      </c>
      <c r="E186" s="64">
        <v>41200</v>
      </c>
      <c r="F186" s="65" t="s">
        <v>110</v>
      </c>
      <c r="G186" s="65"/>
      <c r="I186" s="66">
        <v>28.37</v>
      </c>
      <c r="J186" s="67" t="str">
        <f>IF(ISBLANK(I186), " ", IF(ISTEXT(I186), " ", IF(I186&lt;=Нормативы!$H$38, "КМС", IF(I186&lt;=Нормативы!$H$39, "КМС", IF(I186&lt;=Нормативы!$L$40, "КМС", IF(I186&lt;=Нормативы!$L$41, "I", IF(I186&lt;=Нормативы!$L$42, "II", IF(I186&lt;=Нормативы!$L$43, "III", IF(I186&lt;=Нормативы!$L$44, "I юн", IF(I186&lt;=Нормативы!$L$45, "II юн", IF(I186&lt;=Нормативы!$L$46, "III юн", "б/р")))))))))))</f>
        <v>I юн</v>
      </c>
    </row>
    <row r="187" spans="1:10" ht="15" customHeight="1" x14ac:dyDescent="0.25">
      <c r="A187" s="61">
        <v>6</v>
      </c>
      <c r="B187" s="62" t="s">
        <v>117</v>
      </c>
      <c r="C187" s="63" t="s">
        <v>161</v>
      </c>
      <c r="E187" s="64">
        <v>41258</v>
      </c>
      <c r="F187" s="65" t="s">
        <v>81</v>
      </c>
      <c r="G187" s="65"/>
      <c r="I187" s="66">
        <v>28.87</v>
      </c>
      <c r="J187" s="67" t="str">
        <f>IF(ISBLANK(I187), " ", IF(ISTEXT(I187), " ", IF(I187&lt;=Нормативы!$H$38, "КМС", IF(I187&lt;=Нормативы!$H$39, "КМС", IF(I187&lt;=Нормативы!$L$40, "КМС", IF(I187&lt;=Нормативы!$L$41, "I", IF(I187&lt;=Нормативы!$L$42, "II", IF(I187&lt;=Нормативы!$L$43, "III", IF(I187&lt;=Нормативы!$L$44, "I юн", IF(I187&lt;=Нормативы!$L$45, "II юн", IF(I187&lt;=Нормативы!$L$46, "III юн", "б/р")))))))))))</f>
        <v>I юн</v>
      </c>
    </row>
    <row r="188" spans="1:10" ht="15" customHeight="1" x14ac:dyDescent="0.25">
      <c r="A188" s="61">
        <v>7</v>
      </c>
      <c r="B188" s="62" t="s">
        <v>100</v>
      </c>
      <c r="C188" s="63" t="s">
        <v>162</v>
      </c>
      <c r="E188" s="64">
        <v>41126</v>
      </c>
      <c r="F188" s="65" t="s">
        <v>78</v>
      </c>
      <c r="G188" s="65"/>
      <c r="I188" s="66">
        <v>29.07</v>
      </c>
      <c r="J188" s="67" t="str">
        <f>IF(ISBLANK(I188), " ", IF(ISTEXT(I188), " ", IF(I188&lt;=Нормативы!$H$38, "КМС", IF(I188&lt;=Нормативы!$H$39, "КМС", IF(I188&lt;=Нормативы!$L$40, "КМС", IF(I188&lt;=Нормативы!$L$41, "I", IF(I188&lt;=Нормативы!$L$42, "II", IF(I188&lt;=Нормативы!$L$43, "III", IF(I188&lt;=Нормативы!$L$44, "I юн", IF(I188&lt;=Нормативы!$L$45, "II юн", IF(I188&lt;=Нормативы!$L$46, "III юн", "б/р")))))))))))</f>
        <v>I юн</v>
      </c>
    </row>
    <row r="189" spans="1:10" ht="15" customHeight="1" x14ac:dyDescent="0.25">
      <c r="A189" s="61">
        <v>8</v>
      </c>
      <c r="B189" s="63" t="s">
        <v>88</v>
      </c>
      <c r="C189" s="65" t="s">
        <v>163</v>
      </c>
      <c r="E189" s="64">
        <v>41135</v>
      </c>
      <c r="F189" s="65" t="s">
        <v>90</v>
      </c>
      <c r="G189" s="65"/>
      <c r="I189" s="66">
        <v>29.22</v>
      </c>
      <c r="J189" s="67" t="str">
        <f>IF(ISBLANK(I189), " ", IF(ISTEXT(I189), " ", IF(I189&lt;=Нормативы!$H$38, "КМС", IF(I189&lt;=Нормативы!$H$39, "КМС", IF(I189&lt;=Нормативы!$L$40, "КМС", IF(I189&lt;=Нормативы!$L$41, "I", IF(I189&lt;=Нормативы!$L$42, "II", IF(I189&lt;=Нормативы!$L$43, "III", IF(I189&lt;=Нормативы!$L$44, "I юн", IF(I189&lt;=Нормативы!$L$45, "II юн", IF(I189&lt;=Нормативы!$L$46, "III юн", "б/р")))))))))))</f>
        <v>I юн</v>
      </c>
    </row>
    <row r="190" spans="1:10" ht="15" customHeight="1" x14ac:dyDescent="0.25">
      <c r="A190" s="61">
        <v>9</v>
      </c>
      <c r="B190" s="63" t="s">
        <v>117</v>
      </c>
      <c r="C190" s="65" t="s">
        <v>164</v>
      </c>
      <c r="E190" s="64">
        <v>41088</v>
      </c>
      <c r="F190" s="65" t="s">
        <v>87</v>
      </c>
      <c r="G190" s="65"/>
      <c r="I190" s="66">
        <v>29.49</v>
      </c>
      <c r="J190" s="67" t="str">
        <f>IF(ISBLANK(I190), " ", IF(ISTEXT(I190), " ", IF(I190&lt;=Нормативы!$H$38, "КМС", IF(I190&lt;=Нормативы!$H$39, "КМС", IF(I190&lt;=Нормативы!$L$40, "КМС", IF(I190&lt;=Нормативы!$L$41, "I", IF(I190&lt;=Нормативы!$L$42, "II", IF(I190&lt;=Нормативы!$L$43, "III", IF(I190&lt;=Нормативы!$L$44, "I юн", IF(I190&lt;=Нормативы!$L$45, "II юн", IF(I190&lt;=Нормативы!$L$46, "III юн", "б/р")))))))))))</f>
        <v>I юн</v>
      </c>
    </row>
    <row r="191" spans="1:10" ht="15" customHeight="1" x14ac:dyDescent="0.25">
      <c r="A191" s="61">
        <v>10</v>
      </c>
      <c r="B191" s="65" t="s">
        <v>117</v>
      </c>
      <c r="C191" s="65" t="s">
        <v>165</v>
      </c>
      <c r="E191" s="64">
        <v>41059</v>
      </c>
      <c r="F191" s="63" t="s">
        <v>78</v>
      </c>
      <c r="G191" s="65"/>
      <c r="I191" s="66">
        <v>29.75</v>
      </c>
      <c r="J191" s="67" t="str">
        <f>IF(ISBLANK(I191), " ", IF(ISTEXT(I191), " ", IF(I191&lt;=Нормативы!$H$38, "КМС", IF(I191&lt;=Нормативы!$H$39, "КМС", IF(I191&lt;=Нормативы!$L$40, "КМС", IF(I191&lt;=Нормативы!$L$41, "I", IF(I191&lt;=Нормативы!$L$42, "II", IF(I191&lt;=Нормативы!$L$43, "III", IF(I191&lt;=Нормативы!$L$44, "I юн", IF(I191&lt;=Нормативы!$L$45, "II юн", IF(I191&lt;=Нормативы!$L$46, "III юн", "б/р")))))))))))</f>
        <v>II юн</v>
      </c>
    </row>
    <row r="192" spans="1:10" ht="15" customHeight="1" x14ac:dyDescent="0.25">
      <c r="A192" s="61">
        <v>11</v>
      </c>
      <c r="B192" s="63" t="s">
        <v>117</v>
      </c>
      <c r="C192" s="65" t="s">
        <v>166</v>
      </c>
      <c r="E192" s="70">
        <v>41210</v>
      </c>
      <c r="F192" s="65" t="s">
        <v>87</v>
      </c>
      <c r="G192" s="65"/>
      <c r="I192" s="66">
        <v>29.94</v>
      </c>
      <c r="J192" s="67" t="str">
        <f>IF(ISBLANK(I192), " ", IF(ISTEXT(I192), " ", IF(I192&lt;=Нормативы!$H$38, "КМС", IF(I192&lt;=Нормативы!$H$39, "КМС", IF(I192&lt;=Нормативы!$L$40, "КМС", IF(I192&lt;=Нормативы!$L$41, "I", IF(I192&lt;=Нормативы!$L$42, "II", IF(I192&lt;=Нормативы!$L$43, "III", IF(I192&lt;=Нормативы!$L$44, "I юн", IF(I192&lt;=Нормативы!$L$45, "II юн", IF(I192&lt;=Нормативы!$L$46, "III юн", "б/р")))))))))))</f>
        <v>II юн</v>
      </c>
    </row>
    <row r="193" spans="1:25" ht="15" customHeight="1" x14ac:dyDescent="0.25">
      <c r="A193" s="61">
        <v>12</v>
      </c>
      <c r="B193" s="63" t="s">
        <v>82</v>
      </c>
      <c r="C193" s="65" t="s">
        <v>167</v>
      </c>
      <c r="E193" s="70">
        <v>41124</v>
      </c>
      <c r="F193" s="65" t="s">
        <v>92</v>
      </c>
      <c r="G193" s="71"/>
      <c r="I193" s="66">
        <v>30.58</v>
      </c>
      <c r="J193" s="67" t="str">
        <f>IF(ISBLANK(I193), " ", IF(ISTEXT(I193), " ", IF(I193&lt;=Нормативы!$H$38, "КМС", IF(I193&lt;=Нормативы!$H$39, "КМС", IF(I193&lt;=Нормативы!$L$40, "КМС", IF(I193&lt;=Нормативы!$L$41, "I", IF(I193&lt;=Нормативы!$L$42, "II", IF(I193&lt;=Нормативы!$L$43, "III", IF(I193&lt;=Нормативы!$L$44, "I юн", IF(I193&lt;=Нормативы!$L$45, "II юн", IF(I193&lt;=Нормативы!$L$46, "III юн", "б/р")))))))))))</f>
        <v>II юн</v>
      </c>
    </row>
    <row r="194" spans="1:25" ht="15" customHeight="1" x14ac:dyDescent="0.25">
      <c r="A194" s="61">
        <v>13</v>
      </c>
      <c r="B194" s="63" t="s">
        <v>158</v>
      </c>
      <c r="C194" s="65" t="s">
        <v>168</v>
      </c>
      <c r="E194" s="64">
        <v>41114</v>
      </c>
      <c r="F194" s="65" t="s">
        <v>87</v>
      </c>
      <c r="G194" s="65"/>
      <c r="I194" s="66">
        <v>33.450000000000003</v>
      </c>
      <c r="J194" s="67" t="str">
        <f>IF(ISBLANK(I194), " ", IF(ISTEXT(I194), " ", IF(I194&lt;=Нормативы!$H$38, "КМС", IF(I194&lt;=Нормативы!$H$39, "КМС", IF(I194&lt;=Нормативы!$L$40, "КМС", IF(I194&lt;=Нормативы!$L$41, "I", IF(I194&lt;=Нормативы!$L$42, "II", IF(I194&lt;=Нормативы!$L$43, "III", IF(I194&lt;=Нормативы!$L$44, "I юн", IF(I194&lt;=Нормативы!$L$45, "II юн", IF(I194&lt;=Нормативы!$L$46, "III юн", "б/р")))))))))))</f>
        <v>III юн</v>
      </c>
    </row>
    <row r="195" spans="1:25" ht="15" customHeight="1" x14ac:dyDescent="0.25">
      <c r="A195" s="61">
        <v>14</v>
      </c>
      <c r="B195" s="63" t="s">
        <v>82</v>
      </c>
      <c r="C195" s="65" t="s">
        <v>169</v>
      </c>
      <c r="E195" s="70">
        <v>41261</v>
      </c>
      <c r="F195" s="65" t="s">
        <v>92</v>
      </c>
      <c r="G195" s="71"/>
      <c r="I195" s="66">
        <v>36.450000000000003</v>
      </c>
      <c r="J195" s="67" t="str">
        <f>IF(ISBLANK(I195), " ", IF(ISTEXT(I195), " ", IF(I195&lt;=Нормативы!$H$38, "КМС", IF(I195&lt;=Нормативы!$H$39, "КМС", IF(I195&lt;=Нормативы!$L$40, "КМС", IF(I195&lt;=Нормативы!$L$41, "I", IF(I195&lt;=Нормативы!$L$42, "II", IF(I195&lt;=Нормативы!$L$43, "III", IF(I195&lt;=Нормативы!$L$44, "I юн", IF(I195&lt;=Нормативы!$L$45, "II юн", IF(I195&lt;=Нормативы!$L$46, "III юн", "б/р")))))))))))</f>
        <v>б/р</v>
      </c>
    </row>
    <row r="196" spans="1:25" ht="15" customHeight="1" x14ac:dyDescent="0.25">
      <c r="A196" s="61">
        <v>15</v>
      </c>
      <c r="B196" s="65" t="s">
        <v>82</v>
      </c>
      <c r="C196" s="85" t="s">
        <v>170</v>
      </c>
      <c r="E196" s="70">
        <v>41147</v>
      </c>
      <c r="F196" s="65" t="s">
        <v>92</v>
      </c>
      <c r="G196" s="71"/>
      <c r="I196" s="66">
        <v>41.05</v>
      </c>
      <c r="J196" s="67" t="str">
        <f>IF(ISBLANK(I196), " ", IF(ISTEXT(I196), " ", IF(I196&lt;=Нормативы!$H$38, "КМС", IF(I196&lt;=Нормативы!$H$39, "КМС", IF(I196&lt;=Нормативы!$L$40, "КМС", IF(I196&lt;=Нормативы!$L$41, "I", IF(I196&lt;=Нормативы!$L$42, "II", IF(I196&lt;=Нормативы!$L$43, "III", IF(I196&lt;=Нормативы!$L$44, "I юн", IF(I196&lt;=Нормативы!$L$45, "II юн", IF(I196&lt;=Нормативы!$L$46, "III юн", "б/р")))))))))))</f>
        <v>б/р</v>
      </c>
    </row>
    <row r="197" spans="1:25" ht="15" customHeight="1" x14ac:dyDescent="0.25">
      <c r="A197" s="61"/>
      <c r="B197" s="63"/>
      <c r="C197" s="65"/>
      <c r="E197" s="64"/>
      <c r="F197" s="65"/>
      <c r="G197" s="65"/>
      <c r="I197" s="66"/>
    </row>
    <row r="198" spans="1:25" ht="15" customHeight="1" x14ac:dyDescent="0.25">
      <c r="A198" s="47"/>
      <c r="B198" s="47"/>
      <c r="C198" s="48" t="s">
        <v>171</v>
      </c>
      <c r="D198" s="47"/>
      <c r="E198" s="47"/>
      <c r="F198" s="47"/>
      <c r="G198" s="47"/>
      <c r="I198" s="47"/>
    </row>
    <row r="199" spans="1:25" ht="15" customHeight="1" x14ac:dyDescent="0.25">
      <c r="A199" s="57"/>
      <c r="B199" s="57"/>
      <c r="C199" s="58"/>
      <c r="D199" s="59"/>
      <c r="E199" s="60"/>
      <c r="F199" s="58"/>
      <c r="G199" s="47"/>
      <c r="I199" s="47"/>
    </row>
    <row r="200" spans="1:25" ht="15" customHeight="1" x14ac:dyDescent="0.25">
      <c r="A200" s="61">
        <v>1</v>
      </c>
      <c r="B200" s="65" t="s">
        <v>100</v>
      </c>
      <c r="C200" s="65" t="s">
        <v>172</v>
      </c>
      <c r="E200" s="64">
        <v>41375</v>
      </c>
      <c r="F200" s="65" t="s">
        <v>78</v>
      </c>
      <c r="G200" s="65"/>
      <c r="I200" s="66">
        <v>24.01</v>
      </c>
      <c r="J200" s="91" t="str">
        <f>IF(ISBLANK(I200), " ", IF(ISTEXT(I200), " ", IF(I200&lt;=Нормативы!$H$38, "КМС", IF(I200&lt;=Нормативы!$H$39, "КМС", IF(I200&lt;=Нормативы!$L$40, "КМС", IF(I200&lt;=Нормативы!$L$41, "I", IF(I200&lt;=Нормативы!$L$42, "II", IF(I200&lt;=Нормативы!$L$43, "III", IF(I200&lt;=Нормативы!$L$44, "I юн", IF(I200&lt;=Нормативы!$L$45, "II юн", IF(I200&lt;=Нормативы!$L$46, "III юн", "б/р")))))))))))</f>
        <v>II</v>
      </c>
    </row>
    <row r="201" spans="1:25" ht="15" customHeight="1" x14ac:dyDescent="0.25">
      <c r="A201" s="61">
        <v>2</v>
      </c>
      <c r="B201" s="63" t="s">
        <v>84</v>
      </c>
      <c r="C201" s="65" t="s">
        <v>173</v>
      </c>
      <c r="E201" s="64">
        <v>41455</v>
      </c>
      <c r="F201" s="65" t="s">
        <v>78</v>
      </c>
      <c r="G201" s="65"/>
      <c r="I201" s="66">
        <v>25.13</v>
      </c>
      <c r="J201" s="91" t="str">
        <f>IF(ISBLANK(I201), " ", IF(ISTEXT(I201), " ", IF(I201&lt;=Нормативы!$H$38, "КМС", IF(I201&lt;=Нормативы!$H$39, "КМС", IF(I201&lt;=Нормативы!$L$40, "КМС", IF(I201&lt;=Нормативы!$L$41, "I", IF(I201&lt;=Нормативы!$L$42, "II", IF(I201&lt;=Нормативы!$L$43, "III", IF(I201&lt;=Нормативы!$L$44, "I юн", IF(I201&lt;=Нормативы!$L$45, "II юн", IF(I201&lt;=Нормативы!$L$46, "III юн", "б/р")))))))))))</f>
        <v>III</v>
      </c>
    </row>
    <row r="202" spans="1:25" ht="15" customHeight="1" x14ac:dyDescent="0.25">
      <c r="A202" s="61">
        <v>3</v>
      </c>
      <c r="B202" s="62" t="s">
        <v>100</v>
      </c>
      <c r="C202" s="63" t="s">
        <v>174</v>
      </c>
      <c r="E202" s="64">
        <v>41305</v>
      </c>
      <c r="F202" s="65" t="s">
        <v>112</v>
      </c>
      <c r="G202" s="65"/>
      <c r="I202" s="66">
        <v>25.89</v>
      </c>
      <c r="J202" s="91" t="str">
        <f>IF(ISBLANK(I202), " ", IF(ISTEXT(I202), " ", IF(I202&lt;=Нормативы!$H$38, "КМС", IF(I202&lt;=Нормативы!$H$39, "КМС", IF(I202&lt;=Нормативы!$L$40, "КМС", IF(I202&lt;=Нормативы!$L$41, "I", IF(I202&lt;=Нормативы!$L$42, "II", IF(I202&lt;=Нормативы!$L$43, "III", IF(I202&lt;=Нормативы!$L$44, "I юн", IF(I202&lt;=Нормативы!$L$45, "II юн", IF(I202&lt;=Нормативы!$L$46, "III юн", "б/р")))))))))))</f>
        <v>III</v>
      </c>
    </row>
    <row r="203" spans="1:25" ht="15" customHeight="1" x14ac:dyDescent="0.25">
      <c r="A203" s="61">
        <v>4</v>
      </c>
      <c r="B203" s="63" t="s">
        <v>94</v>
      </c>
      <c r="C203" s="65" t="s">
        <v>175</v>
      </c>
      <c r="E203" s="64">
        <v>41376</v>
      </c>
      <c r="F203" s="65" t="s">
        <v>110</v>
      </c>
      <c r="G203" s="65"/>
      <c r="I203" s="66">
        <v>26.07</v>
      </c>
      <c r="J203" s="91" t="str">
        <f>IF(ISBLANK(I203), " ", IF(ISTEXT(I203), " ", IF(I203&lt;=Нормативы!$H$38, "КМС", IF(I203&lt;=Нормативы!$H$39, "КМС", IF(I203&lt;=Нормативы!$L$40, "КМС", IF(I203&lt;=Нормативы!$L$41, "I", IF(I203&lt;=Нормативы!$L$42, "II", IF(I203&lt;=Нормативы!$L$43, "III", IF(I203&lt;=Нормативы!$L$44, "I юн", IF(I203&lt;=Нормативы!$L$45, "II юн", IF(I203&lt;=Нормативы!$L$46, "III юн", "б/р")))))))))))</f>
        <v>III</v>
      </c>
    </row>
    <row r="204" spans="1:25" ht="15" customHeight="1" x14ac:dyDescent="0.25">
      <c r="A204" s="61">
        <v>5</v>
      </c>
      <c r="B204" s="65" t="s">
        <v>100</v>
      </c>
      <c r="C204" s="65" t="s">
        <v>176</v>
      </c>
      <c r="E204" s="64">
        <v>41633</v>
      </c>
      <c r="F204" s="65" t="s">
        <v>78</v>
      </c>
      <c r="G204" s="65"/>
      <c r="I204" s="66">
        <v>26.13</v>
      </c>
      <c r="J204" s="91" t="str">
        <f>IF(ISBLANK(I204), " ", IF(ISTEXT(I204), " ", IF(I204&lt;=Нормативы!$H$38, "КМС", IF(I204&lt;=Нормативы!$H$39, "КМС", IF(I204&lt;=Нормативы!$L$40, "КМС", IF(I204&lt;=Нормативы!$L$41, "I", IF(I204&lt;=Нормативы!$L$42, "II", IF(I204&lt;=Нормативы!$L$43, "III", IF(I204&lt;=Нормативы!$L$44, "I юн", IF(I204&lt;=Нормативы!$L$45, "II юн", IF(I204&lt;=Нормативы!$L$46, "III юн", "б/р")))))))))))</f>
        <v>I юн</v>
      </c>
    </row>
    <row r="205" spans="1:25" ht="15" customHeight="1" x14ac:dyDescent="0.25">
      <c r="A205" s="61">
        <v>6</v>
      </c>
      <c r="B205" s="62" t="s">
        <v>94</v>
      </c>
      <c r="C205" s="63" t="s">
        <v>177</v>
      </c>
      <c r="E205" s="64">
        <v>41521</v>
      </c>
      <c r="F205" s="65" t="s">
        <v>112</v>
      </c>
      <c r="G205" s="65"/>
      <c r="I205" s="66">
        <v>26.68</v>
      </c>
      <c r="J205" s="91" t="str">
        <f>IF(ISBLANK(I205), " ", IF(ISTEXT(I205), " ", IF(I205&lt;=Нормативы!$H$38, "КМС", IF(I205&lt;=Нормативы!$H$39, "КМС", IF(I205&lt;=Нормативы!$L$40, "КМС", IF(I205&lt;=Нормативы!$L$41, "I", IF(I205&lt;=Нормативы!$L$42, "II", IF(I205&lt;=Нормативы!$L$43, "III", IF(I205&lt;=Нормативы!$L$44, "I юн", IF(I205&lt;=Нормативы!$L$45, "II юн", IF(I205&lt;=Нормативы!$L$46, "III юн", "б/р")))))))))))</f>
        <v>I юн</v>
      </c>
    </row>
    <row r="206" spans="1:25" ht="15" customHeight="1" x14ac:dyDescent="0.25">
      <c r="A206" s="61">
        <v>7</v>
      </c>
      <c r="B206" s="62" t="s">
        <v>88</v>
      </c>
      <c r="C206" s="63" t="s">
        <v>178</v>
      </c>
      <c r="E206" s="64">
        <v>41363</v>
      </c>
      <c r="F206" s="65" t="s">
        <v>90</v>
      </c>
      <c r="G206" s="65"/>
      <c r="I206" s="66">
        <v>26.87</v>
      </c>
      <c r="J206" s="91" t="str">
        <f>IF(ISBLANK(I206), " ", IF(ISTEXT(I206), " ", IF(I206&lt;=Нормативы!$H$38, "КМС", IF(I206&lt;=Нормативы!$H$39, "КМС", IF(I206&lt;=Нормативы!$L$40, "КМС", IF(I206&lt;=Нормативы!$L$41, "I", IF(I206&lt;=Нормативы!$L$42, "II", IF(I206&lt;=Нормативы!$L$43, "III", IF(I206&lt;=Нормативы!$L$44, "I юн", IF(I206&lt;=Нормативы!$L$45, "II юн", IF(I206&lt;=Нормативы!$L$46, "III юн", "б/р")))))))))))</f>
        <v>I юн</v>
      </c>
    </row>
    <row r="207" spans="1:25" ht="15" customHeight="1" x14ac:dyDescent="0.25">
      <c r="A207" s="61">
        <v>8</v>
      </c>
      <c r="B207" s="63" t="s">
        <v>117</v>
      </c>
      <c r="C207" s="65" t="s">
        <v>179</v>
      </c>
      <c r="E207" s="64">
        <v>41473</v>
      </c>
      <c r="F207" s="65" t="s">
        <v>87</v>
      </c>
      <c r="G207" s="65"/>
      <c r="I207" s="66">
        <v>27.07</v>
      </c>
      <c r="J207" s="91" t="str">
        <f>IF(ISBLANK(I207), " ", IF(ISTEXT(I207), " ", IF(I207&lt;=Нормативы!$H$38, "КМС", IF(I207&lt;=Нормативы!$H$39, "КМС", IF(I207&lt;=Нормативы!$L$40, "КМС", IF(I207&lt;=Нормативы!$L$41, "I", IF(I207&lt;=Нормативы!$L$42, "II", IF(I207&lt;=Нормативы!$L$43, "III", IF(I207&lt;=Нормативы!$L$44, "I юн", IF(I207&lt;=Нормативы!$L$45, "II юн", IF(I207&lt;=Нормативы!$L$46, "III юн", "б/р")))))))))))</f>
        <v>I юн</v>
      </c>
      <c r="P207" s="61"/>
      <c r="Y207" s="91" t="str">
        <f>IF(ISBLANK(I210), " ", IF(ISTEXT(I210), " ", IF(I210&lt;=Нормативы!$H$82, "КМС", IF(I210&lt;=Нормативы!$H$83, "КМС", IF(I210&lt;=Нормативы!$L$84, "КМС", IF(I210&lt;=Нормативы!$L$85, "I", IF(I210&lt;=Нормативы!$L$86, "II", IF(I210&lt;=Нормативы!$L$87, "III", IF(I210&lt;=Нормативы!$L$88, "I юн", IF(I210&lt;=Нормативы!$L$89, "II юн", IF(I210&lt;=Нормативы!$L$90, "III юн", "б/р")))))))))))</f>
        <v>КМС</v>
      </c>
    </row>
    <row r="208" spans="1:25" ht="15" customHeight="1" x14ac:dyDescent="0.25">
      <c r="A208" s="61">
        <v>9</v>
      </c>
      <c r="B208" s="62" t="s">
        <v>100</v>
      </c>
      <c r="C208" s="63" t="s">
        <v>180</v>
      </c>
      <c r="E208" s="64">
        <v>41478</v>
      </c>
      <c r="F208" s="65" t="s">
        <v>81</v>
      </c>
      <c r="G208" s="65"/>
      <c r="I208" s="66">
        <v>27.75</v>
      </c>
      <c r="J208" s="91" t="str">
        <f>IF(ISBLANK(I208), " ", IF(ISTEXT(I208), " ", IF(I208&lt;=Нормативы!$H$38, "КМС", IF(I208&lt;=Нормативы!$H$39, "КМС", IF(I208&lt;=Нормативы!$L$40, "КМС", IF(I208&lt;=Нормативы!$L$41, "I", IF(I208&lt;=Нормативы!$L$42, "II", IF(I208&lt;=Нормативы!$L$43, "III", IF(I208&lt;=Нормативы!$L$44, "I юн", IF(I208&lt;=Нормативы!$L$45, "II юн", IF(I208&lt;=Нормативы!$L$46, "III юн", "б/р")))))))))))</f>
        <v>I юн</v>
      </c>
    </row>
    <row r="209" spans="1:10" ht="15" customHeight="1" x14ac:dyDescent="0.25">
      <c r="A209" s="61">
        <v>10</v>
      </c>
      <c r="B209" s="63" t="s">
        <v>100</v>
      </c>
      <c r="C209" s="65" t="s">
        <v>181</v>
      </c>
      <c r="E209" s="64">
        <v>41415</v>
      </c>
      <c r="F209" s="65" t="s">
        <v>87</v>
      </c>
      <c r="G209" s="65"/>
      <c r="I209" s="66">
        <v>28.83</v>
      </c>
      <c r="J209" s="91" t="str">
        <f>IF(ISBLANK(I209), " ", IF(ISTEXT(I209), " ", IF(I209&lt;=Нормативы!$H$38, "КМС", IF(I209&lt;=Нормативы!$H$39, "КМС", IF(I209&lt;=Нормативы!$L$40, "КМС", IF(I209&lt;=Нормативы!$L$41, "I", IF(I209&lt;=Нормативы!$L$42, "II", IF(I209&lt;=Нормативы!$L$43, "III", IF(I209&lt;=Нормативы!$L$44, "I юн", IF(I209&lt;=Нормативы!$L$45, "II юн", IF(I209&lt;=Нормативы!$L$46, "III юн", "б/р")))))))))))</f>
        <v>I юн</v>
      </c>
    </row>
    <row r="210" spans="1:10" ht="15" customHeight="1" x14ac:dyDescent="0.25">
      <c r="A210" s="61">
        <v>11</v>
      </c>
      <c r="B210" s="63" t="s">
        <v>100</v>
      </c>
      <c r="C210" s="65" t="s">
        <v>182</v>
      </c>
      <c r="E210" s="64">
        <v>41488</v>
      </c>
      <c r="F210" s="65" t="s">
        <v>78</v>
      </c>
      <c r="G210" s="65"/>
      <c r="I210" s="66">
        <v>29.3</v>
      </c>
      <c r="J210" s="91" t="str">
        <f>IF(ISBLANK(I210), " ", IF(ISTEXT(I210), " ", IF(I210&lt;=Нормативы!$H$38, "КМС", IF(I210&lt;=Нормативы!$H$39, "КМС", IF(I210&lt;=Нормативы!$L$40, "КМС", IF(I210&lt;=Нормативы!$L$41, "I", IF(I210&lt;=Нормативы!$L$42, "II", IF(I210&lt;=Нормативы!$L$43, "III", IF(I210&lt;=Нормативы!$L$44, "I юн", IF(I210&lt;=Нормативы!$L$45, "II юн", IF(I210&lt;=Нормативы!$L$46, "III юн", "б/р")))))))))))</f>
        <v>I юн</v>
      </c>
    </row>
    <row r="211" spans="1:10" ht="15" customHeight="1" x14ac:dyDescent="0.25">
      <c r="A211" s="61">
        <v>12</v>
      </c>
      <c r="B211" s="63" t="s">
        <v>100</v>
      </c>
      <c r="C211" s="65" t="s">
        <v>183</v>
      </c>
      <c r="E211" s="70">
        <v>41539</v>
      </c>
      <c r="F211" s="65" t="s">
        <v>87</v>
      </c>
      <c r="G211" s="65"/>
      <c r="I211" s="66">
        <v>29.58</v>
      </c>
      <c r="J211" s="91" t="str">
        <f>IF(ISBLANK(I211), " ", IF(ISTEXT(I211), " ", IF(I211&lt;=Нормативы!$H$38, "КМС", IF(I211&lt;=Нормативы!$H$39, "КМС", IF(I211&lt;=Нормативы!$L$40, "КМС", IF(I211&lt;=Нормативы!$L$41, "I", IF(I211&lt;=Нормативы!$L$42, "II", IF(I211&lt;=Нормативы!$L$43, "III", IF(I211&lt;=Нормативы!$L$44, "I юн", IF(I211&lt;=Нормативы!$L$45, "II юн", IF(I211&lt;=Нормативы!$L$46, "III юн", "б/р")))))))))))</f>
        <v>II юн</v>
      </c>
    </row>
    <row r="212" spans="1:10" ht="15" customHeight="1" x14ac:dyDescent="0.25">
      <c r="A212" s="61">
        <v>13</v>
      </c>
      <c r="B212" s="65" t="s">
        <v>117</v>
      </c>
      <c r="C212" s="65" t="s">
        <v>184</v>
      </c>
      <c r="E212" s="64">
        <v>41553</v>
      </c>
      <c r="F212" s="65" t="s">
        <v>87</v>
      </c>
      <c r="G212" s="65"/>
      <c r="I212" s="66">
        <v>29.81</v>
      </c>
      <c r="J212" s="91" t="str">
        <f>IF(ISBLANK(I212), " ", IF(ISTEXT(I212), " ", IF(I212&lt;=Нормативы!$H$38, "КМС", IF(I212&lt;=Нормативы!$H$39, "КМС", IF(I212&lt;=Нормативы!$L$40, "КМС", IF(I212&lt;=Нормативы!$L$41, "I", IF(I212&lt;=Нормативы!$L$42, "II", IF(I212&lt;=Нормативы!$L$43, "III", IF(I212&lt;=Нормативы!$L$44, "I юн", IF(I212&lt;=Нормативы!$L$45, "II юн", IF(I212&lt;=Нормативы!$L$46, "III юн", "б/р")))))))))))</f>
        <v>II юн</v>
      </c>
    </row>
    <row r="213" spans="1:10" ht="15" customHeight="1" x14ac:dyDescent="0.25">
      <c r="A213" s="61">
        <v>14</v>
      </c>
      <c r="B213" s="65" t="s">
        <v>82</v>
      </c>
      <c r="C213" s="65" t="s">
        <v>185</v>
      </c>
      <c r="E213" s="70">
        <v>41335</v>
      </c>
      <c r="F213" s="65" t="s">
        <v>92</v>
      </c>
      <c r="G213" s="71"/>
      <c r="I213" s="66">
        <v>30.38</v>
      </c>
      <c r="J213" s="91" t="str">
        <f>IF(ISBLANK(I213), " ", IF(ISTEXT(I213), " ", IF(I213&lt;=Нормативы!$H$38, "КМС", IF(I213&lt;=Нормативы!$H$39, "КМС", IF(I213&lt;=Нормативы!$L$40, "КМС", IF(I213&lt;=Нормативы!$L$41, "I", IF(I213&lt;=Нормативы!$L$42, "II", IF(I213&lt;=Нормативы!$L$43, "III", IF(I213&lt;=Нормативы!$L$44, "I юн", IF(I213&lt;=Нормативы!$L$45, "II юн", IF(I213&lt;=Нормативы!$L$46, "III юн", "б/р")))))))))))</f>
        <v>II юн</v>
      </c>
    </row>
    <row r="214" spans="1:10" ht="15" customHeight="1" x14ac:dyDescent="0.25">
      <c r="A214" s="61">
        <v>15</v>
      </c>
      <c r="B214" s="65" t="s">
        <v>117</v>
      </c>
      <c r="C214" s="65" t="s">
        <v>186</v>
      </c>
      <c r="E214" s="70">
        <v>41418</v>
      </c>
      <c r="F214" s="65" t="s">
        <v>87</v>
      </c>
      <c r="G214" s="65"/>
      <c r="I214" s="66">
        <v>30.67</v>
      </c>
      <c r="J214" s="91" t="str">
        <f>IF(ISBLANK(I214), " ", IF(ISTEXT(I214), " ", IF(I214&lt;=Нормативы!$H$38, "КМС", IF(I214&lt;=Нормативы!$H$39, "КМС", IF(I214&lt;=Нормативы!$L$40, "КМС", IF(I214&lt;=Нормативы!$L$41, "I", IF(I214&lt;=Нормативы!$L$42, "II", IF(I214&lt;=Нормативы!$L$43, "III", IF(I214&lt;=Нормативы!$L$44, "I юн", IF(I214&lt;=Нормативы!$L$45, "II юн", IF(I214&lt;=Нормативы!$L$46, "III юн", "б/р")))))))))))</f>
        <v>II юн</v>
      </c>
    </row>
    <row r="215" spans="1:10" ht="15" customHeight="1" x14ac:dyDescent="0.25">
      <c r="A215" s="61">
        <v>16</v>
      </c>
      <c r="B215" s="62" t="s">
        <v>117</v>
      </c>
      <c r="C215" s="63" t="s">
        <v>187</v>
      </c>
      <c r="E215" s="64">
        <v>41607</v>
      </c>
      <c r="F215" s="65" t="s">
        <v>112</v>
      </c>
      <c r="G215" s="65"/>
      <c r="I215" s="66">
        <v>30.81</v>
      </c>
      <c r="J215" s="91" t="str">
        <f>IF(ISBLANK(I215), " ", IF(ISTEXT(I215), " ", IF(I215&lt;=Нормативы!$H$38, "КМС", IF(I215&lt;=Нормативы!$H$39, "КМС", IF(I215&lt;=Нормативы!$L$40, "КМС", IF(I215&lt;=Нормативы!$L$41, "I", IF(I215&lt;=Нормативы!$L$42, "II", IF(I215&lt;=Нормативы!$L$43, "III", IF(I215&lt;=Нормативы!$L$44, "I юн", IF(I215&lt;=Нормативы!$L$45, "II юн", IF(I215&lt;=Нормативы!$L$46, "III юн", "б/р")))))))))))</f>
        <v>II юн</v>
      </c>
    </row>
    <row r="216" spans="1:10" ht="15" customHeight="1" x14ac:dyDescent="0.25">
      <c r="A216" s="61">
        <v>17</v>
      </c>
      <c r="B216" s="63" t="s">
        <v>82</v>
      </c>
      <c r="C216" s="65" t="s">
        <v>188</v>
      </c>
      <c r="E216" s="64">
        <v>41306</v>
      </c>
      <c r="F216" s="65" t="s">
        <v>87</v>
      </c>
      <c r="G216" s="65"/>
      <c r="I216" s="66">
        <v>32.01</v>
      </c>
      <c r="J216" s="91" t="str">
        <f>IF(ISBLANK(I216), " ", IF(ISTEXT(I216), " ", IF(I216&lt;=Нормативы!$H$38, "КМС", IF(I216&lt;=Нормативы!$H$39, "КМС", IF(I216&lt;=Нормативы!$L$40, "КМС", IF(I216&lt;=Нормативы!$L$41, "I", IF(I216&lt;=Нормативы!$L$42, "II", IF(I216&lt;=Нормативы!$L$43, "III", IF(I216&lt;=Нормативы!$L$44, "I юн", IF(I216&lt;=Нормативы!$L$45, "II юн", IF(I216&lt;=Нормативы!$L$46, "III юн", "б/р")))))))))))</f>
        <v>III юн</v>
      </c>
    </row>
    <row r="217" spans="1:10" ht="15" customHeight="1" x14ac:dyDescent="0.25">
      <c r="A217" s="61">
        <v>18</v>
      </c>
      <c r="B217" s="63" t="s">
        <v>82</v>
      </c>
      <c r="C217" s="65" t="s">
        <v>189</v>
      </c>
      <c r="E217" s="64">
        <v>41285</v>
      </c>
      <c r="F217" s="65" t="s">
        <v>87</v>
      </c>
      <c r="G217" s="65"/>
      <c r="I217" s="66">
        <v>33.07</v>
      </c>
      <c r="J217" s="91" t="str">
        <f>IF(ISBLANK(I217), " ", IF(ISTEXT(I217), " ", IF(I217&lt;=Нормативы!$H$38, "КМС", IF(I217&lt;=Нормативы!$H$39, "КМС", IF(I217&lt;=Нормативы!$L$40, "КМС", IF(I217&lt;=Нормативы!$L$41, "I", IF(I217&lt;=Нормативы!$L$42, "II", IF(I217&lt;=Нормативы!$L$43, "III", IF(I217&lt;=Нормативы!$L$44, "I юн", IF(I217&lt;=Нормативы!$L$45, "II юн", IF(I217&lt;=Нормативы!$L$46, "III юн", "б/р")))))))))))</f>
        <v>III юн</v>
      </c>
    </row>
    <row r="218" spans="1:10" ht="15" customHeight="1" x14ac:dyDescent="0.25">
      <c r="A218" s="61">
        <v>19</v>
      </c>
      <c r="B218" s="63" t="s">
        <v>82</v>
      </c>
      <c r="C218" s="65" t="s">
        <v>190</v>
      </c>
      <c r="E218" s="70">
        <v>41562</v>
      </c>
      <c r="F218" s="65" t="s">
        <v>92</v>
      </c>
      <c r="G218" s="71"/>
      <c r="I218" s="66">
        <v>33.71</v>
      </c>
      <c r="J218" s="91" t="str">
        <f>IF(ISBLANK(I218), " ", IF(ISTEXT(I218), " ", IF(I218&lt;=Нормативы!$H$38, "КМС", IF(I218&lt;=Нормативы!$H$39, "КМС", IF(I218&lt;=Нормативы!$L$40, "КМС", IF(I218&lt;=Нормативы!$L$41, "I", IF(I218&lt;=Нормативы!$L$42, "II", IF(I218&lt;=Нормативы!$L$43, "III", IF(I218&lt;=Нормативы!$L$44, "I юн", IF(I218&lt;=Нормативы!$L$45, "II юн", IF(I218&lt;=Нормативы!$L$46, "III юн", "б/р")))))))))))</f>
        <v>III юн</v>
      </c>
    </row>
    <row r="219" spans="1:10" ht="15" customHeight="1" x14ac:dyDescent="0.25">
      <c r="A219" s="61">
        <v>20</v>
      </c>
      <c r="B219" s="62" t="s">
        <v>82</v>
      </c>
      <c r="C219" s="63" t="s">
        <v>191</v>
      </c>
      <c r="E219" s="64">
        <v>41281</v>
      </c>
      <c r="F219" s="65" t="s">
        <v>92</v>
      </c>
      <c r="G219" s="71"/>
      <c r="I219" s="66">
        <v>33.94</v>
      </c>
      <c r="J219" s="91" t="str">
        <f>IF(ISBLANK(I219), " ", IF(ISTEXT(I219), " ", IF(I219&lt;=Нормативы!$H$38, "КМС", IF(I219&lt;=Нормативы!$H$39, "КМС", IF(I219&lt;=Нормативы!$L$40, "КМС", IF(I219&lt;=Нормативы!$L$41, "I", IF(I219&lt;=Нормативы!$L$42, "II", IF(I219&lt;=Нормативы!$L$43, "III", IF(I219&lt;=Нормативы!$L$44, "I юн", IF(I219&lt;=Нормативы!$L$45, "II юн", IF(I219&lt;=Нормативы!$L$46, "III юн", "б/р")))))))))))</f>
        <v>III юн</v>
      </c>
    </row>
    <row r="220" spans="1:10" ht="15" customHeight="1" x14ac:dyDescent="0.25">
      <c r="A220" s="61">
        <v>21</v>
      </c>
      <c r="B220" s="62" t="s">
        <v>82</v>
      </c>
      <c r="C220" s="63" t="s">
        <v>192</v>
      </c>
      <c r="E220" s="64">
        <v>41505</v>
      </c>
      <c r="F220" s="65" t="s">
        <v>81</v>
      </c>
      <c r="G220" s="65"/>
      <c r="I220" s="66">
        <v>35.380000000000003</v>
      </c>
      <c r="J220" s="67" t="str">
        <f>IF(ISBLANK(I220), " ", IF(ISTEXT(I220), " ", IF(I220&lt;=Нормативы!$H$38, "КМС", IF(I220&lt;=Нормативы!$H$39, "КМС", IF(I220&lt;=Нормативы!$L$40, "КМС", IF(I220&lt;=Нормативы!$L$41, "I", IF(I220&lt;=Нормативы!$L$42, "II", IF(I220&lt;=Нормативы!$L$43, "III", IF(I220&lt;=Нормативы!$L$44, "I юн", IF(I220&lt;=Нормативы!$L$45, "II юн", IF(I220&lt;=Нормативы!$L$46, "III юн", "б/р")))))))))))</f>
        <v>б/р</v>
      </c>
    </row>
    <row r="221" spans="1:10" ht="15" customHeight="1" x14ac:dyDescent="0.25">
      <c r="A221" s="61">
        <v>22</v>
      </c>
      <c r="B221" s="63" t="s">
        <v>82</v>
      </c>
      <c r="C221" s="65" t="s">
        <v>193</v>
      </c>
      <c r="E221" s="64">
        <v>41634</v>
      </c>
      <c r="F221" s="65" t="s">
        <v>87</v>
      </c>
      <c r="G221" s="65"/>
      <c r="I221" s="66">
        <v>35.69</v>
      </c>
      <c r="J221" s="67" t="str">
        <f>IF(ISBLANK(I221), " ", IF(ISTEXT(I221), " ", IF(I221&lt;=Нормативы!$H$38, "КМС", IF(I221&lt;=Нормативы!$H$39, "КМС", IF(I221&lt;=Нормативы!$L$40, "КМС", IF(I221&lt;=Нормативы!$L$41, "I", IF(I221&lt;=Нормативы!$L$42, "II", IF(I221&lt;=Нормативы!$L$43, "III", IF(I221&lt;=Нормативы!$L$44, "I юн", IF(I221&lt;=Нормативы!$L$45, "II юн", IF(I221&lt;=Нормативы!$L$46, "III юн", "б/р")))))))))))</f>
        <v>б/р</v>
      </c>
    </row>
    <row r="222" spans="1:10" ht="15" customHeight="1" x14ac:dyDescent="0.25">
      <c r="A222" s="61">
        <v>23</v>
      </c>
      <c r="B222" s="63" t="s">
        <v>82</v>
      </c>
      <c r="C222" s="65" t="s">
        <v>194</v>
      </c>
      <c r="E222" s="70">
        <v>41583</v>
      </c>
      <c r="F222" s="65" t="s">
        <v>92</v>
      </c>
      <c r="G222" s="71"/>
      <c r="I222" s="66">
        <v>40.75</v>
      </c>
      <c r="J222" s="67" t="str">
        <f>IF(ISBLANK(I222), " ", IF(ISTEXT(I222), " ", IF(I222&lt;=Нормативы!$H$38, "КМС", IF(I222&lt;=Нормативы!$H$39, "КМС", IF(I222&lt;=Нормативы!$L$40, "КМС", IF(I222&lt;=Нормативы!$L$41, "I", IF(I222&lt;=Нормативы!$L$42, "II", IF(I222&lt;=Нормативы!$L$43, "III", IF(I222&lt;=Нормативы!$L$44, "I юн", IF(I222&lt;=Нормативы!$L$45, "II юн", IF(I222&lt;=Нормативы!$L$46, "III юн", "б/р")))))))))))</f>
        <v>б/р</v>
      </c>
    </row>
    <row r="223" spans="1:10" ht="15" customHeight="1" x14ac:dyDescent="0.25">
      <c r="A223" s="61"/>
      <c r="B223" s="62" t="s">
        <v>158</v>
      </c>
      <c r="C223" s="63" t="s">
        <v>195</v>
      </c>
      <c r="E223" s="64">
        <v>41552</v>
      </c>
      <c r="F223" s="65" t="s">
        <v>87</v>
      </c>
      <c r="G223" s="65"/>
      <c r="I223" s="66" t="s">
        <v>196</v>
      </c>
    </row>
    <row r="224" spans="1:10" ht="15" customHeight="1" x14ac:dyDescent="0.25">
      <c r="A224" s="61"/>
      <c r="B224" s="63" t="s">
        <v>158</v>
      </c>
      <c r="C224" s="65" t="s">
        <v>197</v>
      </c>
      <c r="E224" s="64">
        <v>41463</v>
      </c>
      <c r="F224" s="65" t="s">
        <v>87</v>
      </c>
      <c r="G224" s="65"/>
      <c r="I224" s="66" t="s">
        <v>196</v>
      </c>
    </row>
    <row r="225" spans="1:11" ht="15" customHeight="1" x14ac:dyDescent="0.25">
      <c r="A225" s="73"/>
      <c r="B225" s="55"/>
      <c r="C225" s="92"/>
      <c r="D225" s="16"/>
      <c r="E225" s="55"/>
      <c r="F225" s="74"/>
      <c r="G225" s="47"/>
      <c r="I225" s="47"/>
    </row>
    <row r="226" spans="1:11" ht="15" customHeight="1" x14ac:dyDescent="0.25">
      <c r="A226" s="47"/>
      <c r="B226" s="47"/>
      <c r="C226" s="48" t="s">
        <v>198</v>
      </c>
      <c r="D226" s="47"/>
      <c r="E226" s="47"/>
      <c r="F226" s="47"/>
      <c r="G226" s="47"/>
      <c r="I226" s="47"/>
    </row>
    <row r="227" spans="1:11" ht="15" customHeight="1" x14ac:dyDescent="0.25">
      <c r="A227" s="57"/>
      <c r="B227" s="57"/>
      <c r="C227" s="58"/>
      <c r="D227" s="59"/>
      <c r="E227" s="60"/>
      <c r="F227" s="58"/>
      <c r="G227" s="47"/>
      <c r="I227" s="47"/>
    </row>
    <row r="228" spans="1:11" ht="15" customHeight="1" x14ac:dyDescent="0.25">
      <c r="A228" s="79">
        <v>1</v>
      </c>
      <c r="B228" s="62" t="s">
        <v>79</v>
      </c>
      <c r="C228" s="63" t="s">
        <v>199</v>
      </c>
      <c r="D228" s="80"/>
      <c r="E228" s="64">
        <v>40731</v>
      </c>
      <c r="F228" s="65" t="s">
        <v>78</v>
      </c>
      <c r="G228" s="65"/>
      <c r="H228" s="80"/>
      <c r="I228" s="93">
        <v>21.45</v>
      </c>
      <c r="J228" s="67" t="str">
        <f>IF(ISBLANK(I228), " ", IF(ISTEXT(I228), " ", IF(I228&lt;=Нормативы!$H$5, "КМС", IF(I228&lt;=Нормативы!$H$6, "КМС", IF(I228&lt;=Нормативы!$L$7, "КМС", IF(I228&lt;=Нормативы!$L$8, "I", IF(I228&lt;=Нормативы!$L$9, "II", IF(I228&lt;=Нормативы!$L$10, "III", IF(I228&lt;=Нормативы!$L$11, "I юн", IF(I228&lt;=Нормативы!$L$12, "II юн", IF(I228&lt;=Нормативы!$L$13, "III юн", IF(ISTEXT(I228), " ", IF(ISBLANK(I228), " ", "б/р")))))))))))))</f>
        <v>II</v>
      </c>
      <c r="K228" s="80"/>
    </row>
    <row r="229" spans="1:11" ht="15" customHeight="1" x14ac:dyDescent="0.25">
      <c r="A229" s="79">
        <v>2</v>
      </c>
      <c r="B229" s="62" t="s">
        <v>79</v>
      </c>
      <c r="C229" s="63" t="s">
        <v>80</v>
      </c>
      <c r="D229" s="80"/>
      <c r="E229" s="64">
        <v>40743</v>
      </c>
      <c r="F229" s="65" t="s">
        <v>81</v>
      </c>
      <c r="G229" s="65"/>
      <c r="H229" s="80"/>
      <c r="I229" s="93">
        <v>22</v>
      </c>
      <c r="J229" s="67" t="str">
        <f>IF(ISBLANK(I229), " ", IF(ISTEXT(I229), " ", IF(I229&lt;=Нормативы!$H$5, "КМС", IF(I229&lt;=Нормативы!$H$6, "КМС", IF(I229&lt;=Нормативы!$L$7, "КМС", IF(I229&lt;=Нормативы!$L$8, "I", IF(I229&lt;=Нормативы!$L$9, "II", IF(I229&lt;=Нормативы!$L$10, "III", IF(I229&lt;=Нормативы!$L$11, "I юн", IF(I229&lt;=Нормативы!$L$12, "II юн", IF(I229&lt;=Нормативы!$L$13, "III юн", IF(ISTEXT(I229), " ", IF(ISBLANK(I229), " ", "б/р")))))))))))))</f>
        <v>II</v>
      </c>
      <c r="K229" s="80"/>
    </row>
    <row r="230" spans="1:11" ht="15" customHeight="1" x14ac:dyDescent="0.25">
      <c r="A230" s="79">
        <v>3</v>
      </c>
      <c r="B230" s="62" t="s">
        <v>84</v>
      </c>
      <c r="C230" s="63" t="s">
        <v>200</v>
      </c>
      <c r="D230" s="80"/>
      <c r="E230" s="64">
        <v>40734</v>
      </c>
      <c r="F230" s="65" t="s">
        <v>78</v>
      </c>
      <c r="G230" s="65"/>
      <c r="H230" s="80"/>
      <c r="I230" s="93">
        <v>23.47</v>
      </c>
      <c r="J230" s="67" t="str">
        <f>IF(ISBLANK(I230), " ", IF(ISTEXT(I230), " ", IF(I230&lt;=Нормативы!$H$5, "КМС", IF(I230&lt;=Нормативы!$H$6, "КМС", IF(I230&lt;=Нормативы!$L$7, "КМС", IF(I230&lt;=Нормативы!$L$8, "I", IF(I230&lt;=Нормативы!$L$9, "II", IF(I230&lt;=Нормативы!$L$10, "III", IF(I230&lt;=Нормативы!$L$11, "I юн", IF(I230&lt;=Нормативы!$L$12, "II юн", IF(I230&lt;=Нормативы!$L$13, "III юн", IF(ISTEXT(I230), " ", IF(ISBLANK(I230), " ", "б/р")))))))))))))</f>
        <v>III</v>
      </c>
      <c r="K230" s="80"/>
    </row>
    <row r="231" spans="1:11" ht="15" customHeight="1" x14ac:dyDescent="0.25">
      <c r="A231" s="79">
        <v>4</v>
      </c>
      <c r="B231" s="62" t="s">
        <v>84</v>
      </c>
      <c r="C231" s="63" t="s">
        <v>201</v>
      </c>
      <c r="D231" s="80"/>
      <c r="E231" s="64">
        <v>40854</v>
      </c>
      <c r="F231" s="65" t="s">
        <v>110</v>
      </c>
      <c r="G231" s="65"/>
      <c r="H231" s="80"/>
      <c r="I231" s="93">
        <v>23.94</v>
      </c>
      <c r="J231" s="67" t="str">
        <f>IF(ISBLANK(I231), " ", IF(ISTEXT(I231), " ", IF(I231&lt;=Нормативы!$H$5, "КМС", IF(I231&lt;=Нормативы!$H$6, "КМС", IF(I231&lt;=Нормативы!$L$7, "КМС", IF(I231&lt;=Нормативы!$L$8, "I", IF(I231&lt;=Нормативы!$L$9, "II", IF(I231&lt;=Нормативы!$L$10, "III", IF(I231&lt;=Нормативы!$L$11, "I юн", IF(I231&lt;=Нормативы!$L$12, "II юн", IF(I231&lt;=Нормативы!$L$13, "III юн", IF(ISTEXT(I231), " ", IF(ISBLANK(I231), " ", "б/р")))))))))))))</f>
        <v>III</v>
      </c>
      <c r="K231" s="80"/>
    </row>
    <row r="232" spans="1:11" ht="15" customHeight="1" x14ac:dyDescent="0.25">
      <c r="A232" s="79">
        <v>5</v>
      </c>
      <c r="B232" s="62" t="s">
        <v>88</v>
      </c>
      <c r="C232" s="63" t="s">
        <v>99</v>
      </c>
      <c r="D232" s="80"/>
      <c r="E232" s="64">
        <v>40801</v>
      </c>
      <c r="F232" s="65" t="s">
        <v>90</v>
      </c>
      <c r="G232" s="65"/>
      <c r="H232" s="80"/>
      <c r="I232" s="93">
        <v>26.01</v>
      </c>
      <c r="J232" s="67" t="str">
        <f>IF(ISBLANK(I232), " ", IF(ISTEXT(I232), " ", IF(I232&lt;=Нормативы!$H$5, "КМС", IF(I232&lt;=Нормативы!$H$6, "КМС", IF(I232&lt;=Нормативы!$L$7, "КМС", IF(I232&lt;=Нормативы!$L$8, "I", IF(I232&lt;=Нормативы!$L$9, "II", IF(I232&lt;=Нормативы!$L$10, "III", IF(I232&lt;=Нормативы!$L$11, "I юн", IF(I232&lt;=Нормативы!$L$12, "II юн", IF(I232&lt;=Нормативы!$L$13, "III юн", IF(ISTEXT(I232), " ", IF(ISBLANK(I232), " ", "б/р")))))))))))))</f>
        <v>I юн</v>
      </c>
      <c r="K232" s="80"/>
    </row>
    <row r="233" spans="1:11" ht="15" customHeight="1" x14ac:dyDescent="0.25">
      <c r="A233" s="79">
        <v>6</v>
      </c>
      <c r="B233" s="65" t="s">
        <v>94</v>
      </c>
      <c r="C233" s="65" t="s">
        <v>95</v>
      </c>
      <c r="D233" s="80"/>
      <c r="E233" s="64">
        <v>40635</v>
      </c>
      <c r="F233" s="65" t="s">
        <v>78</v>
      </c>
      <c r="G233" s="65"/>
      <c r="H233" s="80"/>
      <c r="I233" s="93">
        <v>27.1</v>
      </c>
      <c r="J233" s="67" t="str">
        <f>IF(ISBLANK(I233), " ", IF(ISTEXT(I233), " ", IF(I233&lt;=Нормативы!$H$5, "КМС", IF(I233&lt;=Нормативы!$H$6, "КМС", IF(I233&lt;=Нормативы!$L$7, "КМС", IF(I233&lt;=Нормативы!$L$8, "I", IF(I233&lt;=Нормативы!$L$9, "II", IF(I233&lt;=Нормативы!$L$10, "III", IF(I233&lt;=Нормативы!$L$11, "I юн", IF(I233&lt;=Нормативы!$L$12, "II юн", IF(I233&lt;=Нормативы!$L$13, "III юн", IF(ISTEXT(I233), " ", IF(ISBLANK(I233), " ", "б/р")))))))))))))</f>
        <v>II юн</v>
      </c>
      <c r="K233" s="80"/>
    </row>
    <row r="234" spans="1:11" ht="15" customHeight="1" x14ac:dyDescent="0.25">
      <c r="A234" s="73"/>
      <c r="B234" s="94"/>
      <c r="C234" s="95"/>
      <c r="D234" s="47"/>
      <c r="E234" s="75"/>
      <c r="F234" s="74"/>
      <c r="G234" s="74"/>
      <c r="I234" s="76"/>
    </row>
    <row r="235" spans="1:11" ht="15" customHeight="1" x14ac:dyDescent="0.25">
      <c r="A235" s="47"/>
      <c r="B235" s="47"/>
      <c r="C235" s="48" t="s">
        <v>202</v>
      </c>
      <c r="D235" s="47"/>
      <c r="E235" s="47"/>
      <c r="F235" s="47"/>
      <c r="G235" s="47"/>
      <c r="I235" s="47"/>
    </row>
    <row r="236" spans="1:11" ht="15" customHeight="1" x14ac:dyDescent="0.25">
      <c r="A236" s="73"/>
      <c r="B236" s="90"/>
      <c r="C236" s="86"/>
      <c r="D236" s="87"/>
      <c r="E236" s="88"/>
      <c r="F236" s="89"/>
      <c r="G236" s="90"/>
      <c r="I236" s="47"/>
    </row>
    <row r="237" spans="1:11" ht="15" customHeight="1" x14ac:dyDescent="0.25">
      <c r="A237" s="61">
        <v>1</v>
      </c>
      <c r="B237" s="63" t="s">
        <v>76</v>
      </c>
      <c r="C237" s="65" t="s">
        <v>39</v>
      </c>
      <c r="E237" s="64">
        <v>41177</v>
      </c>
      <c r="F237" s="65" t="s">
        <v>112</v>
      </c>
      <c r="G237" s="65"/>
      <c r="I237" s="66">
        <v>21.01</v>
      </c>
      <c r="J237" s="67" t="str">
        <f>IF(ISBLANK(I237), " ", IF(ISTEXT(I237), " ", IF(I237&lt;=Нормативы!$H$5, "КМС", IF(I237&lt;=Нормативы!$H$6, "КМС", IF(I237&lt;=Нормативы!$L$7, "КМС", IF(I237&lt;=Нормативы!$L$8, "I", IF(I237&lt;=Нормативы!$L$9, "II", IF(I237&lt;=Нормативы!$L$10, "III", IF(I237&lt;=Нормативы!$L$11, "I юн", IF(I237&lt;=Нормативы!$L$12, "II юн", IF(I237&lt;=Нормативы!$L$13, "III юн", IF(ISTEXT(I237), " ", IF(ISBLANK(I237), " ", "б/р")))))))))))))</f>
        <v>II</v>
      </c>
    </row>
    <row r="238" spans="1:11" ht="15" customHeight="1" x14ac:dyDescent="0.25">
      <c r="A238" s="61">
        <v>2</v>
      </c>
      <c r="B238" s="62" t="s">
        <v>84</v>
      </c>
      <c r="C238" s="63" t="s">
        <v>203</v>
      </c>
      <c r="E238" s="64">
        <v>41064</v>
      </c>
      <c r="F238" s="65" t="s">
        <v>78</v>
      </c>
      <c r="G238" s="65"/>
      <c r="I238" s="66">
        <v>22.13</v>
      </c>
      <c r="J238" s="67" t="str">
        <f>IF(ISBLANK(I238), " ", IF(ISTEXT(I238), " ", IF(I238&lt;=Нормативы!$H$5, "КМС", IF(I238&lt;=Нормативы!$H$6, "КМС", IF(I238&lt;=Нормативы!$L$7, "КМС", IF(I238&lt;=Нормативы!$L$8, "I", IF(I238&lt;=Нормативы!$L$9, "II", IF(I238&lt;=Нормативы!$L$10, "III", IF(I238&lt;=Нормативы!$L$11, "I юн", IF(I238&lt;=Нормативы!$L$12, "II юн", IF(I238&lt;=Нормативы!$L$13, "III юн", IF(ISTEXT(I238), " ", IF(ISBLANK(I238), " ", "б/р")))))))))))))</f>
        <v>II</v>
      </c>
    </row>
    <row r="239" spans="1:11" ht="15" customHeight="1" x14ac:dyDescent="0.25">
      <c r="A239" s="61">
        <v>3</v>
      </c>
      <c r="B239" s="65" t="s">
        <v>84</v>
      </c>
      <c r="C239" s="65" t="s">
        <v>204</v>
      </c>
      <c r="E239" s="64">
        <v>41262</v>
      </c>
      <c r="F239" s="65" t="s">
        <v>98</v>
      </c>
      <c r="G239" s="65"/>
      <c r="I239" s="66">
        <v>25.75</v>
      </c>
      <c r="J239" s="67" t="str">
        <f>IF(ISBLANK(I239), " ", IF(ISTEXT(I239), " ", IF(I239&lt;=Нормативы!$H$5, "КМС", IF(I239&lt;=Нормативы!$H$6, "КМС", IF(I239&lt;=Нормативы!$L$7, "КМС", IF(I239&lt;=Нормативы!$L$8, "I", IF(I239&lt;=Нормативы!$L$9, "II", IF(I239&lt;=Нормативы!$L$10, "III", IF(I239&lt;=Нормативы!$L$11, "I юн", IF(I239&lt;=Нормативы!$L$12, "II юн", IF(I239&lt;=Нормативы!$L$13, "III юн", IF(ISTEXT(I239), " ", IF(ISBLANK(I239), " ", "б/р")))))))))))))</f>
        <v>I юн</v>
      </c>
    </row>
    <row r="240" spans="1:11" ht="15" customHeight="1" x14ac:dyDescent="0.25">
      <c r="A240" s="73"/>
      <c r="B240" s="90"/>
      <c r="C240" s="86"/>
      <c r="D240" s="87"/>
      <c r="E240" s="88"/>
      <c r="F240" s="89"/>
      <c r="G240" s="90"/>
      <c r="I240" s="47"/>
    </row>
    <row r="241" spans="1:10" ht="15" customHeight="1" x14ac:dyDescent="0.25">
      <c r="A241" s="47"/>
      <c r="B241" s="47"/>
      <c r="C241" s="48" t="s">
        <v>205</v>
      </c>
      <c r="D241" s="47"/>
      <c r="E241" s="47"/>
      <c r="F241" s="47"/>
      <c r="G241" s="47"/>
      <c r="I241" s="47"/>
    </row>
    <row r="242" spans="1:10" ht="15" customHeight="1" x14ac:dyDescent="0.25">
      <c r="A242" s="57"/>
      <c r="B242" s="57"/>
      <c r="C242" s="58"/>
      <c r="D242" s="59"/>
      <c r="E242" s="60"/>
      <c r="F242" s="58"/>
      <c r="G242" s="47"/>
      <c r="I242" s="47"/>
    </row>
    <row r="243" spans="1:10" ht="15" customHeight="1" x14ac:dyDescent="0.25">
      <c r="A243" s="61">
        <v>1</v>
      </c>
      <c r="B243" s="63" t="s">
        <v>76</v>
      </c>
      <c r="C243" s="65" t="s">
        <v>206</v>
      </c>
      <c r="E243" s="64">
        <v>41296</v>
      </c>
      <c r="F243" s="65" t="s">
        <v>112</v>
      </c>
      <c r="G243" s="65"/>
      <c r="I243" s="66">
        <v>22.81</v>
      </c>
      <c r="J243" s="67" t="str">
        <f>IF(ISBLANK(I243), " ", IF(ISTEXT(I243), " ", IF(I243&lt;=Нормативы!$H$5, "КМС", IF(I243&lt;=Нормативы!$H$6, "КМС", IF(I243&lt;=Нормативы!$L$7, "КМС", IF(I243&lt;=Нормативы!$L$8, "I", IF(I243&lt;=Нормативы!$L$9, "II", IF(I243&lt;=Нормативы!$L$10, "III", IF(I243&lt;=Нормативы!$L$11, "I юн", IF(I243&lt;=Нормативы!$L$12, "II юн", IF(I243&lt;=Нормативы!$L$13, "III юн", IF(ISTEXT(I243), " ", IF(ISBLANK(I243), " ", "б/р")))))))))))))</f>
        <v>III</v>
      </c>
    </row>
    <row r="244" spans="1:10" ht="15" customHeight="1" x14ac:dyDescent="0.25">
      <c r="A244" s="61">
        <v>2</v>
      </c>
      <c r="B244" s="62" t="s">
        <v>79</v>
      </c>
      <c r="C244" s="63" t="s">
        <v>123</v>
      </c>
      <c r="E244" s="64">
        <v>41526</v>
      </c>
      <c r="F244" s="65" t="s">
        <v>90</v>
      </c>
      <c r="G244" s="65"/>
      <c r="I244" s="66">
        <v>22.94</v>
      </c>
      <c r="J244" s="67" t="str">
        <f>IF(ISBLANK(I244), " ", IF(ISTEXT(I244), " ", IF(I244&lt;=Нормативы!$H$5, "КМС", IF(I244&lt;=Нормативы!$H$6, "КМС", IF(I244&lt;=Нормативы!$L$7, "КМС", IF(I244&lt;=Нормативы!$L$8, "I", IF(I244&lt;=Нормативы!$L$9, "II", IF(I244&lt;=Нормативы!$L$10, "III", IF(I244&lt;=Нормативы!$L$11, "I юн", IF(I244&lt;=Нормативы!$L$12, "II юн", IF(I244&lt;=Нормативы!$L$13, "III юн", IF(ISTEXT(I244), " ", IF(ISBLANK(I244), " ", "б/р")))))))))))))</f>
        <v>III</v>
      </c>
    </row>
    <row r="245" spans="1:10" ht="15" customHeight="1" x14ac:dyDescent="0.25">
      <c r="A245" s="61">
        <v>3</v>
      </c>
      <c r="B245" s="65" t="s">
        <v>84</v>
      </c>
      <c r="C245" s="65" t="s">
        <v>207</v>
      </c>
      <c r="E245" s="64">
        <v>41626</v>
      </c>
      <c r="F245" s="65" t="s">
        <v>112</v>
      </c>
      <c r="G245" s="65"/>
      <c r="I245" s="66">
        <v>23.13</v>
      </c>
      <c r="J245" s="67" t="str">
        <f>IF(ISBLANK(I245), " ", IF(ISTEXT(I245), " ", IF(I245&lt;=Нормативы!$H$5, "КМС", IF(I245&lt;=Нормативы!$H$6, "КМС", IF(I245&lt;=Нормативы!$L$7, "КМС", IF(I245&lt;=Нормативы!$L$8, "I", IF(I245&lt;=Нормативы!$L$9, "II", IF(I245&lt;=Нормативы!$L$10, "III", IF(I245&lt;=Нормативы!$L$11, "I юн", IF(I245&lt;=Нормативы!$L$12, "II юн", IF(I245&lt;=Нормативы!$L$13, "III юн", IF(ISTEXT(I245), " ", IF(ISBLANK(I245), " ", "б/р")))))))))))))</f>
        <v>III</v>
      </c>
    </row>
    <row r="246" spans="1:10" ht="15" customHeight="1" x14ac:dyDescent="0.25">
      <c r="A246" s="61">
        <v>4</v>
      </c>
      <c r="B246" s="62" t="s">
        <v>84</v>
      </c>
      <c r="C246" s="63" t="s">
        <v>208</v>
      </c>
      <c r="E246" s="64">
        <v>41550</v>
      </c>
      <c r="F246" s="65" t="s">
        <v>78</v>
      </c>
      <c r="G246" s="65"/>
      <c r="I246" s="66">
        <v>23.5</v>
      </c>
      <c r="J246" s="67" t="str">
        <f>IF(ISBLANK(I246), " ", IF(ISTEXT(I246), " ", IF(I246&lt;=Нормативы!$H$5, "КМС", IF(I246&lt;=Нормативы!$H$6, "КМС", IF(I246&lt;=Нормативы!$L$7, "КМС", IF(I246&lt;=Нормативы!$L$8, "I", IF(I246&lt;=Нормативы!$L$9, "II", IF(I246&lt;=Нормативы!$L$10, "III", IF(I246&lt;=Нормативы!$L$11, "I юн", IF(I246&lt;=Нормативы!$L$12, "II юн", IF(I246&lt;=Нормативы!$L$13, "III юн", IF(ISTEXT(I246), " ", IF(ISBLANK(I246), " ", "б/р")))))))))))))</f>
        <v>III</v>
      </c>
    </row>
    <row r="247" spans="1:10" ht="15" customHeight="1" x14ac:dyDescent="0.25">
      <c r="A247" s="61">
        <v>5</v>
      </c>
      <c r="B247" s="63" t="s">
        <v>117</v>
      </c>
      <c r="C247" s="65" t="s">
        <v>127</v>
      </c>
      <c r="E247" s="64">
        <v>41576</v>
      </c>
      <c r="F247" s="65" t="s">
        <v>78</v>
      </c>
      <c r="G247" s="65"/>
      <c r="I247" s="66">
        <v>29.88</v>
      </c>
      <c r="J247" s="67" t="str">
        <f>IF(ISBLANK(I247), " ", IF(ISTEXT(I247), " ", IF(I247&lt;=Нормативы!$H$5, "КМС", IF(I247&lt;=Нормативы!$H$6, "КМС", IF(I247&lt;=Нормативы!$L$7, "КМС", IF(I247&lt;=Нормативы!$L$8, "I", IF(I247&lt;=Нормативы!$L$9, "II", IF(I247&lt;=Нормативы!$L$10, "III", IF(I247&lt;=Нормативы!$L$11, "I юн", IF(I247&lt;=Нормативы!$L$12, "II юн", IF(I247&lt;=Нормативы!$L$13, "III юн", IF(ISTEXT(I247), " ", IF(ISBLANK(I247), " ", "б/р")))))))))))))</f>
        <v>III юн</v>
      </c>
    </row>
    <row r="248" spans="1:10" ht="15" customHeight="1" x14ac:dyDescent="0.25">
      <c r="A248" s="61">
        <v>6</v>
      </c>
      <c r="B248" s="65" t="s">
        <v>94</v>
      </c>
      <c r="C248" s="65" t="s">
        <v>209</v>
      </c>
      <c r="E248" s="64">
        <v>41284</v>
      </c>
      <c r="F248" s="65" t="s">
        <v>98</v>
      </c>
      <c r="G248" s="65"/>
      <c r="I248" s="66">
        <v>29.88</v>
      </c>
      <c r="J248" s="67" t="str">
        <f>IF(ISBLANK(I248), " ", IF(ISTEXT(I248), " ", IF(I248&lt;=Нормативы!$H$5, "КМС", IF(I248&lt;=Нормативы!$H$6, "КМС", IF(I248&lt;=Нормативы!$L$7, "КМС", IF(I248&lt;=Нормативы!$L$8, "I", IF(I248&lt;=Нормативы!$L$9, "II", IF(I248&lt;=Нормативы!$L$10, "III", IF(I248&lt;=Нормативы!$L$11, "I юн", IF(I248&lt;=Нормативы!$L$12, "II юн", IF(I248&lt;=Нормативы!$L$13, "III юн", IF(ISTEXT(I248), " ", IF(ISBLANK(I248), " ", "б/р")))))))))))))</f>
        <v>III юн</v>
      </c>
    </row>
    <row r="249" spans="1:10" ht="15" customHeight="1" x14ac:dyDescent="0.25">
      <c r="A249" s="73"/>
      <c r="B249" s="95"/>
      <c r="C249" s="74"/>
      <c r="D249" s="47"/>
      <c r="E249" s="75"/>
      <c r="F249" s="74"/>
      <c r="G249" s="74"/>
      <c r="I249" s="76"/>
    </row>
    <row r="250" spans="1:10" ht="15" customHeight="1" x14ac:dyDescent="0.25">
      <c r="A250" s="47"/>
      <c r="B250" s="47"/>
      <c r="C250" s="48" t="s">
        <v>210</v>
      </c>
      <c r="D250" s="47"/>
      <c r="E250" s="47"/>
      <c r="F250" s="47"/>
      <c r="G250" s="47"/>
      <c r="I250" s="47"/>
    </row>
    <row r="251" spans="1:10" ht="15" customHeight="1" x14ac:dyDescent="0.25">
      <c r="A251" s="73"/>
      <c r="B251" s="96"/>
      <c r="C251" s="86"/>
      <c r="D251" s="87"/>
      <c r="E251" s="88"/>
      <c r="F251" s="89"/>
      <c r="G251" s="97"/>
      <c r="I251" s="47"/>
    </row>
    <row r="252" spans="1:10" ht="15" customHeight="1" x14ac:dyDescent="0.25">
      <c r="A252" s="61">
        <v>1</v>
      </c>
      <c r="B252" s="65" t="s">
        <v>94</v>
      </c>
      <c r="C252" s="65" t="s">
        <v>211</v>
      </c>
      <c r="E252" s="64">
        <v>40867</v>
      </c>
      <c r="F252" s="65" t="s">
        <v>78</v>
      </c>
      <c r="G252" s="65"/>
      <c r="I252" s="66">
        <v>20.94</v>
      </c>
      <c r="J252" s="67" t="str">
        <f>IF(ISBLANK(I252), " ", IF(ISTEXT(I252), " ", IF(I252&lt;=Нормативы!$H$16, "КМС", IF(I252&lt;=Нормативы!$H$17, "КМС", IF(I252&lt;=Нормативы!$L$18, "КМС", IF(I252&lt;=Нормативы!$L$19, "I", IF(I252&lt;=Нормативы!$L$20, "II", IF(I252&lt;=Нормативы!$L$21, "III", IF(I252&lt;=Нормативы!$L$22, "I юн", IF(I252&lt;=Нормативы!$L$23, "II юн", IF(I252&lt;=Нормативы!$L$24, "III юн", "б/р")))))))))))</f>
        <v>III</v>
      </c>
    </row>
    <row r="253" spans="1:10" ht="15" customHeight="1" x14ac:dyDescent="0.25">
      <c r="A253" s="73"/>
      <c r="B253" s="74"/>
      <c r="C253" s="74"/>
      <c r="D253" s="47"/>
      <c r="E253" s="75"/>
      <c r="F253" s="74"/>
      <c r="G253" s="74"/>
      <c r="I253" s="76"/>
    </row>
    <row r="254" spans="1:10" ht="15" customHeight="1" x14ac:dyDescent="0.25">
      <c r="A254" s="47"/>
      <c r="B254" s="47"/>
      <c r="C254" s="48" t="s">
        <v>212</v>
      </c>
      <c r="D254" s="47"/>
      <c r="E254" s="47"/>
      <c r="F254" s="47"/>
      <c r="G254" s="47"/>
      <c r="I254" s="47"/>
    </row>
    <row r="255" spans="1:10" ht="15" customHeight="1" x14ac:dyDescent="0.25">
      <c r="A255" s="47"/>
      <c r="B255" s="47"/>
      <c r="C255" s="48"/>
      <c r="D255" s="47"/>
      <c r="E255" s="47"/>
      <c r="F255" s="47"/>
      <c r="G255" s="47"/>
      <c r="I255" s="47"/>
    </row>
    <row r="256" spans="1:10" ht="15" customHeight="1" x14ac:dyDescent="0.25">
      <c r="A256" s="61">
        <v>1</v>
      </c>
      <c r="B256" s="63" t="s">
        <v>84</v>
      </c>
      <c r="C256" s="65" t="s">
        <v>213</v>
      </c>
      <c r="E256" s="64">
        <v>40986</v>
      </c>
      <c r="F256" s="65" t="s">
        <v>78</v>
      </c>
      <c r="G256" s="65"/>
      <c r="I256" s="66">
        <v>21.04</v>
      </c>
      <c r="J256" s="67" t="str">
        <f>IF(ISBLANK(I256), " ", IF(ISTEXT(I256), " ", IF(I256&lt;=Нормативы!$H$16, "КМС", IF(I256&lt;=Нормативы!$H$17, "КМС", IF(I256&lt;=Нормативы!$L$18, "КМС", IF(I256&lt;=Нормативы!$L$19, "I", IF(I256&lt;=Нормативы!$L$20, "II", IF(I256&lt;=Нормативы!$L$21, "III", IF(I256&lt;=Нормативы!$L$22, "I юн", IF(I256&lt;=Нормативы!$L$23, "II юн", IF(I256&lt;=Нормативы!$L$24, "III юн", "б/р")))))))))))</f>
        <v>III</v>
      </c>
    </row>
    <row r="257" spans="1:10" ht="15" customHeight="1" x14ac:dyDescent="0.25">
      <c r="A257" s="61">
        <v>2</v>
      </c>
      <c r="B257" s="62" t="s">
        <v>84</v>
      </c>
      <c r="C257" s="63" t="s">
        <v>214</v>
      </c>
      <c r="E257" s="64">
        <v>41061</v>
      </c>
      <c r="F257" s="65" t="s">
        <v>78</v>
      </c>
      <c r="G257" s="65"/>
      <c r="I257" s="66">
        <v>21.04</v>
      </c>
      <c r="J257" s="67" t="str">
        <f>IF(ISBLANK(I257), " ", IF(ISTEXT(I257), " ", IF(I257&lt;=Нормативы!$H$16, "КМС", IF(I257&lt;=Нормативы!$H$17, "КМС", IF(I257&lt;=Нормативы!$L$18, "КМС", IF(I257&lt;=Нормативы!$L$19, "I", IF(I257&lt;=Нормативы!$L$20, "II", IF(I257&lt;=Нормативы!$L$21, "III", IF(I257&lt;=Нормативы!$L$22, "I юн", IF(I257&lt;=Нормативы!$L$23, "II юн", IF(I257&lt;=Нормативы!$L$24, "III юн", "б/р")))))))))))</f>
        <v>III</v>
      </c>
    </row>
    <row r="258" spans="1:10" ht="15" customHeight="1" x14ac:dyDescent="0.25">
      <c r="A258" s="73"/>
      <c r="B258" s="96"/>
      <c r="C258" s="86"/>
      <c r="D258" s="87"/>
      <c r="E258" s="88"/>
      <c r="F258" s="89"/>
      <c r="G258" s="97"/>
      <c r="I258" s="47"/>
    </row>
    <row r="259" spans="1:10" ht="15" customHeight="1" x14ac:dyDescent="0.25">
      <c r="A259" s="47"/>
      <c r="B259" s="47"/>
      <c r="C259" s="48" t="s">
        <v>215</v>
      </c>
      <c r="D259" s="47"/>
      <c r="E259" s="47"/>
      <c r="F259" s="47"/>
      <c r="G259" s="47"/>
      <c r="I259" s="47"/>
    </row>
    <row r="260" spans="1:10" ht="15" customHeight="1" x14ac:dyDescent="0.25">
      <c r="A260" s="73"/>
      <c r="B260" s="90"/>
      <c r="C260" s="86"/>
      <c r="D260" s="87"/>
      <c r="E260" s="88"/>
      <c r="F260" s="89"/>
      <c r="G260" s="90"/>
      <c r="I260" s="47"/>
    </row>
    <row r="261" spans="1:10" ht="15" customHeight="1" x14ac:dyDescent="0.25">
      <c r="A261" s="61">
        <v>1</v>
      </c>
      <c r="B261" s="65" t="s">
        <v>100</v>
      </c>
      <c r="C261" s="65" t="s">
        <v>216</v>
      </c>
      <c r="E261" s="70">
        <v>41584</v>
      </c>
      <c r="F261" s="65" t="s">
        <v>98</v>
      </c>
      <c r="G261" s="65"/>
      <c r="I261" s="66">
        <v>22.53</v>
      </c>
      <c r="J261" s="67" t="str">
        <f>IF(ISBLANK(I261), " ", IF(ISTEXT(I261), " ", IF(I261&lt;=Нормативы!$H$16, "КМС", IF(I261&lt;=Нормативы!$H$17, "КМС", IF(I261&lt;=Нормативы!$L$18, "КМС", IF(I261&lt;=Нормативы!$L$19, "I", IF(I261&lt;=Нормативы!$L$20, "II", IF(I261&lt;=Нормативы!$L$21, "III", IF(I261&lt;=Нормативы!$L$22, "I юн", IF(I261&lt;=Нормативы!$L$23, "II юн", IF(I261&lt;=Нормативы!$L$24, "III юн", "б/р")))))))))))</f>
        <v>I юн</v>
      </c>
    </row>
    <row r="262" spans="1:10" ht="15" customHeight="1" x14ac:dyDescent="0.25">
      <c r="A262" s="61">
        <v>2</v>
      </c>
      <c r="B262" s="62" t="s">
        <v>100</v>
      </c>
      <c r="C262" s="63" t="s">
        <v>174</v>
      </c>
      <c r="E262" s="64">
        <v>41305</v>
      </c>
      <c r="F262" s="65" t="s">
        <v>112</v>
      </c>
      <c r="G262" s="65"/>
      <c r="I262" s="66">
        <v>23.27</v>
      </c>
      <c r="J262" s="67" t="str">
        <f>IF(ISBLANK(I262), " ", IF(ISTEXT(I262), " ", IF(I262&lt;=Нормативы!$H$16, "КМС", IF(I262&lt;=Нормативы!$H$17, "КМС", IF(I262&lt;=Нормативы!$L$18, "КМС", IF(I262&lt;=Нормативы!$L$19, "I", IF(I262&lt;=Нормативы!$L$20, "II", IF(I262&lt;=Нормативы!$L$21, "III", IF(I262&lt;=Нормативы!$L$22, "I юн", IF(I262&lt;=Нормативы!$L$23, "II юн", IF(I262&lt;=Нормативы!$L$24, "III юн", "б/р")))))))))))</f>
        <v>I юн</v>
      </c>
    </row>
    <row r="263" spans="1:10" ht="15" customHeight="1" x14ac:dyDescent="0.25">
      <c r="A263" s="61">
        <v>3</v>
      </c>
      <c r="B263" s="63" t="s">
        <v>88</v>
      </c>
      <c r="C263" s="65" t="s">
        <v>217</v>
      </c>
      <c r="E263" s="64">
        <v>41452</v>
      </c>
      <c r="F263" s="65" t="s">
        <v>90</v>
      </c>
      <c r="G263" s="65"/>
      <c r="I263" s="66">
        <v>25.75</v>
      </c>
      <c r="J263" s="67" t="str">
        <f>IF(ISBLANK(I263), " ", IF(ISTEXT(I263), " ", IF(I263&lt;=Нормативы!$H$16, "КМС", IF(I263&lt;=Нормативы!$H$17, "КМС", IF(I263&lt;=Нормативы!$L$18, "КМС", IF(I263&lt;=Нормативы!$L$19, "I", IF(I263&lt;=Нормативы!$L$20, "II", IF(I263&lt;=Нормативы!$L$21, "III", IF(I263&lt;=Нормативы!$L$22, "I юн", IF(I263&lt;=Нормативы!$L$23, "II юн", IF(I263&lt;=Нормативы!$L$24, "III юн", "б/р")))))))))))</f>
        <v>II юн</v>
      </c>
    </row>
    <row r="264" spans="1:10" ht="15" customHeight="1" x14ac:dyDescent="0.25">
      <c r="A264" s="73"/>
      <c r="B264" s="90"/>
      <c r="C264" s="86"/>
      <c r="D264" s="87"/>
      <c r="E264" s="88"/>
      <c r="F264" s="89"/>
      <c r="G264" s="90"/>
      <c r="I264" s="47"/>
    </row>
    <row r="265" spans="1:10" ht="15" customHeight="1" x14ac:dyDescent="0.25">
      <c r="A265" s="47"/>
      <c r="B265" s="47"/>
      <c r="C265" s="48" t="s">
        <v>218</v>
      </c>
      <c r="D265" s="47"/>
      <c r="E265" s="47"/>
      <c r="F265" s="47"/>
      <c r="G265" s="47"/>
      <c r="I265" s="47"/>
    </row>
    <row r="266" spans="1:10" ht="15" customHeight="1" x14ac:dyDescent="0.25">
      <c r="A266" s="57"/>
      <c r="B266" s="57"/>
      <c r="C266" s="58"/>
      <c r="D266" s="59"/>
      <c r="E266" s="60"/>
      <c r="F266" s="58"/>
      <c r="G266" s="47"/>
      <c r="I266" s="47"/>
    </row>
    <row r="267" spans="1:10" ht="15" customHeight="1" x14ac:dyDescent="0.25">
      <c r="A267" s="61">
        <v>1</v>
      </c>
      <c r="B267" s="62" t="s">
        <v>76</v>
      </c>
      <c r="C267" s="63" t="s">
        <v>77</v>
      </c>
      <c r="E267" s="64">
        <v>40571</v>
      </c>
      <c r="F267" s="65" t="s">
        <v>78</v>
      </c>
      <c r="G267" s="65"/>
      <c r="I267" s="66">
        <v>53.85</v>
      </c>
      <c r="J267" s="67" t="str">
        <f>IF(ISBLANK(I267), " ", IF(ISTEXT(I267), " ", IF(I267&lt;=Нормативы!$H$71, "КМС", IF(I267&lt;=Нормативы!$H$72, "КМС", IF(I267&lt;=Нормативы!$L$73, "КМС", IF(I267&lt;=Нормативы!$L$74, "I", IF(I267&lt;=Нормативы!$L$75, "II", IF(I267&lt;=Нормативы!$L$76, "III", IF(I267&lt;=Нормативы!$L$77, "I юн", IF(I267&lt;=Нормативы!$L$78, "II юн", IF(I267&lt;=Нормативы!$L$79, "III юн", "б/р")))))))))))</f>
        <v>I</v>
      </c>
    </row>
    <row r="268" spans="1:10" ht="15" customHeight="1" x14ac:dyDescent="0.25">
      <c r="A268" s="61">
        <v>2</v>
      </c>
      <c r="B268" s="63" t="s">
        <v>84</v>
      </c>
      <c r="C268" s="65" t="s">
        <v>219</v>
      </c>
      <c r="E268" s="64">
        <v>40816</v>
      </c>
      <c r="F268" s="65" t="s">
        <v>110</v>
      </c>
      <c r="G268" s="65"/>
      <c r="I268" s="66">
        <v>57.15</v>
      </c>
      <c r="J268" s="67" t="str">
        <f>IF(ISBLANK(I268), " ", IF(ISTEXT(I268), " ", IF(I268&lt;=Нормативы!$H$71, "КМС", IF(I268&lt;=Нормативы!$H$72, "КМС", IF(I268&lt;=Нормативы!$L$73, "КМС", IF(I268&lt;=Нормативы!$L$74, "I", IF(I268&lt;=Нормативы!$L$75, "II", IF(I268&lt;=Нормативы!$L$76, "III", IF(I268&lt;=Нормативы!$L$77, "I юн", IF(I268&lt;=Нормативы!$L$78, "II юн", IF(I268&lt;=Нормативы!$L$79, "III юн", "б/р")))))))))))</f>
        <v>II</v>
      </c>
    </row>
    <row r="269" spans="1:10" ht="15" customHeight="1" x14ac:dyDescent="0.25">
      <c r="A269" s="61">
        <v>3</v>
      </c>
      <c r="B269" s="65" t="s">
        <v>82</v>
      </c>
      <c r="C269" s="69" t="s">
        <v>83</v>
      </c>
      <c r="E269" s="64">
        <v>40567</v>
      </c>
      <c r="F269" s="65" t="s">
        <v>78</v>
      </c>
      <c r="G269" s="80"/>
      <c r="I269" s="66">
        <v>57.23</v>
      </c>
      <c r="J269" s="67" t="str">
        <f>IF(ISBLANK(I269), " ", IF(ISTEXT(I269), " ", IF(I269&lt;=Нормативы!$H$71, "КМС", IF(I269&lt;=Нормативы!$H$72, "КМС", IF(I269&lt;=Нормативы!$L$73, "КМС", IF(I269&lt;=Нормативы!$L$74, "I", IF(I269&lt;=Нормативы!$L$75, "II", IF(I269&lt;=Нормативы!$L$76, "III", IF(I269&lt;=Нормативы!$L$77, "I юн", IF(I269&lt;=Нормативы!$L$78, "II юн", IF(I269&lt;=Нормативы!$L$79, "III юн", "б/р")))))))))))</f>
        <v>II</v>
      </c>
    </row>
    <row r="270" spans="1:10" ht="15" customHeight="1" x14ac:dyDescent="0.25">
      <c r="A270" s="61">
        <v>4</v>
      </c>
      <c r="B270" s="62" t="s">
        <v>88</v>
      </c>
      <c r="C270" s="63" t="s">
        <v>89</v>
      </c>
      <c r="E270" s="64">
        <v>40654</v>
      </c>
      <c r="F270" s="65" t="s">
        <v>90</v>
      </c>
      <c r="G270" s="65"/>
      <c r="I270" s="66">
        <v>58.75</v>
      </c>
      <c r="J270" s="67" t="str">
        <f>IF(ISBLANK(I270), " ", IF(ISTEXT(I270), " ", IF(I270&lt;=Нормативы!$H$71, "КМС", IF(I270&lt;=Нормативы!$H$72, "КМС", IF(I270&lt;=Нормативы!$L$73, "КМС", IF(I270&lt;=Нормативы!$L$74, "I", IF(I270&lt;=Нормативы!$L$75, "II", IF(I270&lt;=Нормативы!$L$76, "III", IF(I270&lt;=Нормативы!$L$77, "I юн", IF(I270&lt;=Нормативы!$L$78, "II юн", IF(I270&lt;=Нормативы!$L$79, "III юн", "б/р")))))))))))</f>
        <v>II</v>
      </c>
    </row>
    <row r="271" spans="1:10" ht="15" customHeight="1" x14ac:dyDescent="0.25">
      <c r="A271" s="61">
        <v>5</v>
      </c>
      <c r="B271" s="62" t="s">
        <v>84</v>
      </c>
      <c r="C271" s="63" t="s">
        <v>86</v>
      </c>
      <c r="E271" s="70">
        <v>40845</v>
      </c>
      <c r="F271" s="65" t="s">
        <v>87</v>
      </c>
      <c r="G271" s="65"/>
      <c r="I271" s="66">
        <v>59.63</v>
      </c>
      <c r="J271" s="67" t="str">
        <f>IF(ISBLANK(I271), " ", IF(ISTEXT(I271), " ", IF(I271&lt;=Нормативы!$H$71, "КМС", IF(I271&lt;=Нормативы!$H$72, "КМС", IF(I271&lt;=Нормативы!$L$73, "КМС", IF(I271&lt;=Нормативы!$L$74, "I", IF(I271&lt;=Нормативы!$L$75, "II", IF(I271&lt;=Нормативы!$L$76, "III", IF(I271&lt;=Нормативы!$L$77, "I юн", IF(I271&lt;=Нормативы!$L$78, "II юн", IF(I271&lt;=Нормативы!$L$79, "III юн", "б/р")))))))))))</f>
        <v>II</v>
      </c>
    </row>
    <row r="272" spans="1:10" ht="15" customHeight="1" x14ac:dyDescent="0.25">
      <c r="A272" s="61">
        <v>6</v>
      </c>
      <c r="B272" s="65" t="s">
        <v>84</v>
      </c>
      <c r="C272" s="65" t="s">
        <v>93</v>
      </c>
      <c r="E272" s="64">
        <v>40868</v>
      </c>
      <c r="F272" s="65" t="s">
        <v>92</v>
      </c>
      <c r="G272" s="46"/>
      <c r="I272" s="66">
        <v>100.57</v>
      </c>
      <c r="J272" s="67" t="str">
        <f>IF(ISBLANK(I272), " ", IF(ISTEXT(I272), " ", IF(I272&lt;=Нормативы!$H$71, "КМС", IF(I272&lt;=Нормативы!$H$72, "КМС", IF(I272&lt;=Нормативы!$L$73, "КМС", IF(I272&lt;=Нормативы!$L$74, "I", IF(I272&lt;=Нормативы!$L$75, "II", IF(I272&lt;=Нормативы!$L$76, "III", IF(I272&lt;=Нормативы!$L$77, "I юн", IF(I272&lt;=Нормативы!$L$78, "II юн", IF(I272&lt;=Нормативы!$L$79, "III юн", "б/р")))))))))))</f>
        <v>II</v>
      </c>
    </row>
    <row r="273" spans="1:10" ht="15" customHeight="1" x14ac:dyDescent="0.25">
      <c r="A273" s="61">
        <v>7</v>
      </c>
      <c r="B273" s="63" t="s">
        <v>84</v>
      </c>
      <c r="C273" s="65" t="s">
        <v>91</v>
      </c>
      <c r="E273" s="64">
        <v>40641</v>
      </c>
      <c r="F273" s="65" t="s">
        <v>92</v>
      </c>
      <c r="G273" s="46"/>
      <c r="I273" s="66">
        <v>103.38</v>
      </c>
      <c r="J273" s="67" t="str">
        <f>IF(ISBLANK(I273), " ", IF(ISTEXT(I273), " ", IF(I273&lt;=Нормативы!$H$71, "КМС", IF(I273&lt;=Нормативы!$H$72, "КМС", IF(I273&lt;=Нормативы!$L$73, "КМС", IF(I273&lt;=Нормативы!$L$74, "I", IF(I273&lt;=Нормативы!$L$75, "II", IF(I273&lt;=Нормативы!$L$76, "III", IF(I273&lt;=Нормативы!$L$77, "I юн", IF(I273&lt;=Нормативы!$L$78, "II юн", IF(I273&lt;=Нормативы!$L$79, "III юн", "б/р")))))))))))</f>
        <v>III</v>
      </c>
    </row>
    <row r="274" spans="1:10" ht="15" customHeight="1" x14ac:dyDescent="0.25">
      <c r="A274" s="61">
        <v>8</v>
      </c>
      <c r="B274" s="63" t="s">
        <v>84</v>
      </c>
      <c r="C274" s="65" t="s">
        <v>96</v>
      </c>
      <c r="E274" s="64">
        <v>40858</v>
      </c>
      <c r="F274" s="65" t="s">
        <v>92</v>
      </c>
      <c r="G274" s="46"/>
      <c r="I274" s="66">
        <v>104.94</v>
      </c>
      <c r="J274" s="67" t="str">
        <f>IF(ISBLANK(I274), " ", IF(ISTEXT(I274), " ", IF(I274&lt;=Нормативы!$H$71, "КМС", IF(I274&lt;=Нормативы!$H$72, "КМС", IF(I274&lt;=Нормативы!$L$73, "КМС", IF(I274&lt;=Нормативы!$L$74, "I", IF(I274&lt;=Нормативы!$L$75, "II", IF(I274&lt;=Нормативы!$L$76, "III", IF(I274&lt;=Нормативы!$L$77, "I юн", IF(I274&lt;=Нормативы!$L$78, "II юн", IF(I274&lt;=Нормативы!$L$79, "III юн", "б/р")))))))))))</f>
        <v>III</v>
      </c>
    </row>
    <row r="275" spans="1:10" ht="15" customHeight="1" x14ac:dyDescent="0.25">
      <c r="A275" s="61">
        <v>9</v>
      </c>
      <c r="B275" s="63" t="s">
        <v>94</v>
      </c>
      <c r="C275" s="65" t="s">
        <v>102</v>
      </c>
      <c r="E275" s="64">
        <v>40693</v>
      </c>
      <c r="F275" s="65" t="s">
        <v>81</v>
      </c>
      <c r="G275" s="65"/>
      <c r="I275" s="66">
        <v>106.75</v>
      </c>
      <c r="J275" s="67" t="str">
        <f>IF(ISBLANK(I275), " ", IF(ISTEXT(I275), " ", IF(I275&lt;=Нормативы!$H$71, "КМС", IF(I275&lt;=Нормативы!$H$72, "КМС", IF(I275&lt;=Нормативы!$L$73, "КМС", IF(I275&lt;=Нормативы!$L$74, "I", IF(I275&lt;=Нормативы!$L$75, "II", IF(I275&lt;=Нормативы!$L$76, "III", IF(I275&lt;=Нормативы!$L$77, "I юн", IF(I275&lt;=Нормативы!$L$78, "II юн", IF(I275&lt;=Нормативы!$L$79, "III юн", "б/р")))))))))))</f>
        <v>III</v>
      </c>
    </row>
    <row r="276" spans="1:10" ht="15" customHeight="1" x14ac:dyDescent="0.25">
      <c r="A276" s="61">
        <v>10</v>
      </c>
      <c r="B276" s="65" t="s">
        <v>94</v>
      </c>
      <c r="C276" s="65" t="s">
        <v>97</v>
      </c>
      <c r="E276" s="64">
        <v>40738</v>
      </c>
      <c r="F276" s="65" t="s">
        <v>98</v>
      </c>
      <c r="G276" s="65"/>
      <c r="I276" s="66">
        <v>109.01</v>
      </c>
      <c r="J276" s="67" t="str">
        <f>IF(ISBLANK(I276), " ", IF(ISTEXT(I276), " ", IF(I276&lt;=Нормативы!$H$71, "КМС", IF(I276&lt;=Нормативы!$H$72, "КМС", IF(I276&lt;=Нормативы!$L$73, "КМС", IF(I276&lt;=Нормативы!$L$74, "I", IF(I276&lt;=Нормативы!$L$75, "II", IF(I276&lt;=Нормативы!$L$76, "III", IF(I276&lt;=Нормативы!$L$77, "I юн", IF(I276&lt;=Нормативы!$L$78, "II юн", IF(I276&lt;=Нормативы!$L$79, "III юн", "б/р")))))))))))</f>
        <v>I юн</v>
      </c>
    </row>
    <row r="277" spans="1:10" ht="15" customHeight="1" x14ac:dyDescent="0.25">
      <c r="A277" s="61">
        <v>11</v>
      </c>
      <c r="B277" s="65" t="s">
        <v>100</v>
      </c>
      <c r="C277" s="65" t="s">
        <v>101</v>
      </c>
      <c r="E277" s="64">
        <v>40684</v>
      </c>
      <c r="F277" s="65" t="s">
        <v>87</v>
      </c>
      <c r="G277" s="65"/>
      <c r="I277" s="66">
        <v>110.38</v>
      </c>
      <c r="J277" s="67" t="str">
        <f>IF(ISBLANK(I277), " ", IF(ISTEXT(I277), " ", IF(I277&lt;=Нормативы!$H$71, "КМС", IF(I277&lt;=Нормативы!$H$72, "КМС", IF(I277&lt;=Нормативы!$L$73, "КМС", IF(I277&lt;=Нормативы!$L$74, "I", IF(I277&lt;=Нормативы!$L$75, "II", IF(I277&lt;=Нормативы!$L$76, "III", IF(I277&lt;=Нормативы!$L$77, "I юн", IF(I277&lt;=Нормативы!$L$78, "II юн", IF(I277&lt;=Нормативы!$L$79, "III юн", "б/р")))))))))))</f>
        <v>I юн</v>
      </c>
    </row>
    <row r="278" spans="1:10" ht="15" customHeight="1" x14ac:dyDescent="0.25">
      <c r="A278" s="61">
        <v>12</v>
      </c>
      <c r="B278" s="63" t="s">
        <v>82</v>
      </c>
      <c r="C278" s="65" t="s">
        <v>103</v>
      </c>
      <c r="E278" s="64">
        <v>40604</v>
      </c>
      <c r="F278" s="65" t="s">
        <v>81</v>
      </c>
      <c r="G278" s="65"/>
      <c r="I278" s="66">
        <v>112.08</v>
      </c>
      <c r="J278" s="67" t="str">
        <f>IF(ISBLANK(I278), " ", IF(ISTEXT(I278), " ", IF(I278&lt;=Нормативы!$H$71, "КМС", IF(I278&lt;=Нормативы!$H$72, "КМС", IF(I278&lt;=Нормативы!$L$73, "КМС", IF(I278&lt;=Нормативы!$L$74, "I", IF(I278&lt;=Нормативы!$L$75, "II", IF(I278&lt;=Нормативы!$L$76, "III", IF(I278&lt;=Нормативы!$L$77, "I юн", IF(I278&lt;=Нормативы!$L$78, "II юн", IF(I278&lt;=Нормативы!$L$79, "III юн", "б/р")))))))))))</f>
        <v>I юн</v>
      </c>
    </row>
    <row r="279" spans="1:10" ht="15" customHeight="1" x14ac:dyDescent="0.25">
      <c r="A279" s="61">
        <v>13</v>
      </c>
      <c r="B279" s="62" t="s">
        <v>82</v>
      </c>
      <c r="C279" s="63" t="s">
        <v>104</v>
      </c>
      <c r="E279" s="64">
        <v>40855</v>
      </c>
      <c r="F279" s="65" t="s">
        <v>81</v>
      </c>
      <c r="G279" s="65"/>
      <c r="I279" s="66">
        <v>116.17</v>
      </c>
      <c r="J279" s="67" t="str">
        <f>IF(ISBLANK(I279), " ", IF(ISTEXT(I279), " ", IF(I279&lt;=Нормативы!$H$71, "КМС", IF(I279&lt;=Нормативы!$H$72, "КМС", IF(I279&lt;=Нормативы!$L$73, "КМС", IF(I279&lt;=Нормативы!$L$74, "I", IF(I279&lt;=Нормативы!$L$75, "II", IF(I279&lt;=Нормативы!$L$76, "III", IF(I279&lt;=Нормативы!$L$77, "I юн", IF(I279&lt;=Нормативы!$L$78, "II юн", IF(I279&lt;=Нормативы!$L$79, "III юн", "б/р")))))))))))</f>
        <v>II юн</v>
      </c>
    </row>
    <row r="280" spans="1:10" ht="15" customHeight="1" x14ac:dyDescent="0.25">
      <c r="A280" s="73"/>
      <c r="B280" s="98"/>
      <c r="C280" s="99"/>
      <c r="D280" s="100"/>
      <c r="E280" s="100"/>
      <c r="F280" s="101"/>
      <c r="G280" s="102"/>
      <c r="I280" s="47"/>
    </row>
    <row r="281" spans="1:10" ht="15" customHeight="1" x14ac:dyDescent="0.25">
      <c r="A281" s="47"/>
      <c r="B281" s="47"/>
      <c r="C281" s="48" t="s">
        <v>220</v>
      </c>
      <c r="D281" s="47"/>
      <c r="E281" s="47"/>
      <c r="F281" s="47"/>
      <c r="G281" s="47"/>
      <c r="I281" s="47"/>
    </row>
    <row r="282" spans="1:10" ht="15" customHeight="1" x14ac:dyDescent="0.25">
      <c r="A282" s="57"/>
      <c r="B282" s="57"/>
      <c r="C282" s="58"/>
      <c r="D282" s="59"/>
      <c r="E282" s="60"/>
      <c r="F282" s="58"/>
      <c r="G282" s="47"/>
      <c r="I282" s="47"/>
    </row>
    <row r="283" spans="1:10" ht="15" customHeight="1" x14ac:dyDescent="0.25">
      <c r="A283" s="61">
        <v>1</v>
      </c>
      <c r="B283" s="65" t="s">
        <v>76</v>
      </c>
      <c r="C283" s="65" t="s">
        <v>106</v>
      </c>
      <c r="E283" s="64">
        <v>41010</v>
      </c>
      <c r="F283" s="65" t="s">
        <v>87</v>
      </c>
      <c r="G283" s="65"/>
      <c r="I283" s="66">
        <v>52.51</v>
      </c>
      <c r="J283" s="91" t="str">
        <f>IF(ISBLANK(I283), " ", IF(ISTEXT(I283), " ", IF(I283&lt;=Нормативы!$H$71, "КМС", IF(I283&lt;=Нормативы!$H$72, "КМС", IF(I283&lt;=Нормативы!$L$73, "КМС", IF(I283&lt;=Нормативы!$L$74, "I", IF(I283&lt;=Нормативы!$L$75, "II", IF(I283&lt;=Нормативы!$L$76, "III", IF(I283&lt;=Нормативы!$L$77, "I юн", IF(I283&lt;=Нормативы!$L$78, "II юн", IF(I283&lt;=Нормативы!$L$79, "III юн", "б/р")))))))))))</f>
        <v>КМС</v>
      </c>
    </row>
    <row r="284" spans="1:10" ht="15" customHeight="1" x14ac:dyDescent="0.25">
      <c r="A284" s="61">
        <v>2</v>
      </c>
      <c r="B284" s="63" t="s">
        <v>76</v>
      </c>
      <c r="C284" s="65" t="s">
        <v>108</v>
      </c>
      <c r="E284" s="64">
        <v>41165</v>
      </c>
      <c r="F284" s="65" t="s">
        <v>87</v>
      </c>
      <c r="G284" s="65"/>
      <c r="I284" s="66">
        <v>54.19</v>
      </c>
      <c r="J284" s="91" t="str">
        <f>IF(ISBLANK(I284), " ", IF(ISTEXT(I284), " ", IF(I284&lt;=Нормативы!$H$71, "КМС", IF(I284&lt;=Нормативы!$H$72, "КМС", IF(I284&lt;=Нормативы!$L$73, "КМС", IF(I284&lt;=Нормативы!$L$74, "I", IF(I284&lt;=Нормативы!$L$75, "II", IF(I284&lt;=Нормативы!$L$76, "III", IF(I284&lt;=Нормативы!$L$77, "I юн", IF(I284&lt;=Нормативы!$L$78, "II юн", IF(I284&lt;=Нормативы!$L$79, "III юн", "б/р")))))))))))</f>
        <v>I</v>
      </c>
    </row>
    <row r="285" spans="1:10" ht="15" customHeight="1" x14ac:dyDescent="0.25">
      <c r="A285" s="61">
        <v>3</v>
      </c>
      <c r="B285" s="65" t="s">
        <v>76</v>
      </c>
      <c r="C285" s="65" t="s">
        <v>107</v>
      </c>
      <c r="E285" s="64">
        <v>40997</v>
      </c>
      <c r="F285" s="65" t="s">
        <v>87</v>
      </c>
      <c r="G285" s="65"/>
      <c r="I285" s="66">
        <v>56.01</v>
      </c>
      <c r="J285" s="91" t="str">
        <f>IF(ISBLANK(I285), " ", IF(ISTEXT(I285), " ", IF(I285&lt;=Нормативы!$H$71, "КМС", IF(I285&lt;=Нормативы!$H$72, "КМС", IF(I285&lt;=Нормативы!$L$73, "КМС", IF(I285&lt;=Нормативы!$L$74, "I", IF(I285&lt;=Нормативы!$L$75, "II", IF(I285&lt;=Нормативы!$L$76, "III", IF(I285&lt;=Нормативы!$L$77, "I юн", IF(I285&lt;=Нормативы!$L$78, "II юн", IF(I285&lt;=Нормативы!$L$79, "III юн", "б/р")))))))))))</f>
        <v>I</v>
      </c>
    </row>
    <row r="286" spans="1:10" ht="15" customHeight="1" x14ac:dyDescent="0.25">
      <c r="A286" s="61">
        <v>4</v>
      </c>
      <c r="B286" s="62" t="s">
        <v>84</v>
      </c>
      <c r="C286" s="63" t="s">
        <v>109</v>
      </c>
      <c r="E286" s="64">
        <v>40988</v>
      </c>
      <c r="F286" s="65" t="s">
        <v>110</v>
      </c>
      <c r="G286" s="65"/>
      <c r="I286" s="66">
        <v>58.38</v>
      </c>
      <c r="J286" s="91" t="str">
        <f>IF(ISBLANK(I286), " ", IF(ISTEXT(I286), " ", IF(I286&lt;=Нормативы!$H$71, "КМС", IF(I286&lt;=Нормативы!$H$72, "КМС", IF(I286&lt;=Нормативы!$L$73, "КМС", IF(I286&lt;=Нормативы!$L$74, "I", IF(I286&lt;=Нормативы!$L$75, "II", IF(I286&lt;=Нормативы!$L$76, "III", IF(I286&lt;=Нормативы!$L$77, "I юн", IF(I286&lt;=Нормативы!$L$78, "II юн", IF(I286&lt;=Нормативы!$L$79, "III юн", "б/р")))))))))))</f>
        <v>II</v>
      </c>
    </row>
    <row r="287" spans="1:10" ht="15" customHeight="1" x14ac:dyDescent="0.25">
      <c r="A287" s="61">
        <v>5</v>
      </c>
      <c r="B287" s="65" t="s">
        <v>84</v>
      </c>
      <c r="C287" s="65" t="s">
        <v>204</v>
      </c>
      <c r="E287" s="64">
        <v>41262</v>
      </c>
      <c r="F287" s="65" t="s">
        <v>98</v>
      </c>
      <c r="G287" s="65"/>
      <c r="I287" s="66">
        <v>101.2</v>
      </c>
      <c r="J287" s="91" t="str">
        <f>IF(ISBLANK(I287), " ", IF(ISTEXT(I287), " ", IF(I287&lt;=Нормативы!$H$71, "КМС", IF(I287&lt;=Нормативы!$H$72, "КМС", IF(I287&lt;=Нормативы!$L$73, "КМС", IF(I287&lt;=Нормативы!$L$74, "I", IF(I287&lt;=Нормативы!$L$75, "II", IF(I287&lt;=Нормативы!$L$76, "III", IF(I287&lt;=Нормативы!$L$77, "I юн", IF(I287&lt;=Нормативы!$L$78, "II юн", IF(I287&lt;=Нормативы!$L$79, "III юн", "б/р")))))))))))</f>
        <v>II</v>
      </c>
    </row>
    <row r="288" spans="1:10" ht="15" customHeight="1" x14ac:dyDescent="0.25">
      <c r="A288" s="61">
        <v>6</v>
      </c>
      <c r="B288" s="63" t="s">
        <v>94</v>
      </c>
      <c r="C288" s="65" t="s">
        <v>111</v>
      </c>
      <c r="E288" s="64">
        <v>41159</v>
      </c>
      <c r="F288" s="65" t="s">
        <v>112</v>
      </c>
      <c r="G288" s="65"/>
      <c r="I288" s="66">
        <v>101.38</v>
      </c>
      <c r="J288" s="91" t="str">
        <f>IF(ISBLANK(I288), " ", IF(ISTEXT(I288), " ", IF(I288&lt;=Нормативы!$H$71, "КМС", IF(I288&lt;=Нормативы!$H$72, "КМС", IF(I288&lt;=Нормативы!$L$73, "КМС", IF(I288&lt;=Нормативы!$L$74, "I", IF(I288&lt;=Нормативы!$L$75, "II", IF(I288&lt;=Нормативы!$L$76, "III", IF(I288&lt;=Нормативы!$L$77, "I юн", IF(I288&lt;=Нормативы!$L$78, "II юн", IF(I288&lt;=Нормативы!$L$79, "III юн", "б/р")))))))))))</f>
        <v>II</v>
      </c>
    </row>
    <row r="289" spans="1:10" ht="15" customHeight="1" x14ac:dyDescent="0.25">
      <c r="A289" s="61">
        <v>7</v>
      </c>
      <c r="B289" s="62" t="s">
        <v>94</v>
      </c>
      <c r="C289" s="63" t="s">
        <v>114</v>
      </c>
      <c r="E289" s="64">
        <v>41067</v>
      </c>
      <c r="F289" s="65" t="s">
        <v>110</v>
      </c>
      <c r="G289" s="65"/>
      <c r="I289" s="66">
        <v>102.75</v>
      </c>
      <c r="J289" s="91" t="str">
        <f>IF(ISBLANK(I289), " ", IF(ISTEXT(I289), " ", IF(I289&lt;=Нормативы!$H$71, "КМС", IF(I289&lt;=Нормативы!$H$72, "КМС", IF(I289&lt;=Нормативы!$L$73, "КМС", IF(I289&lt;=Нормативы!$L$74, "I", IF(I289&lt;=Нормативы!$L$75, "II", IF(I289&lt;=Нормативы!$L$76, "III", IF(I289&lt;=Нормативы!$L$77, "I юн", IF(I289&lt;=Нормативы!$L$78, "II юн", IF(I289&lt;=Нормативы!$L$79, "III юн", "б/р")))))))))))</f>
        <v>III</v>
      </c>
    </row>
    <row r="290" spans="1:10" ht="15" customHeight="1" x14ac:dyDescent="0.25">
      <c r="A290" s="61">
        <v>8</v>
      </c>
      <c r="B290" s="62" t="s">
        <v>88</v>
      </c>
      <c r="C290" s="63" t="s">
        <v>113</v>
      </c>
      <c r="E290" s="64">
        <v>41186</v>
      </c>
      <c r="F290" s="65" t="s">
        <v>90</v>
      </c>
      <c r="G290" s="65"/>
      <c r="I290" s="66">
        <v>103.38</v>
      </c>
      <c r="J290" s="91" t="str">
        <f>IF(ISBLANK(I290), " ", IF(ISTEXT(I290), " ", IF(I290&lt;=Нормативы!$H$71, "КМС", IF(I290&lt;=Нормативы!$H$72, "КМС", IF(I290&lt;=Нормативы!$L$73, "КМС", IF(I290&lt;=Нормативы!$L$74, "I", IF(I290&lt;=Нормативы!$L$75, "II", IF(I290&lt;=Нормативы!$L$76, "III", IF(I290&lt;=Нормативы!$L$77, "I юн", IF(I290&lt;=Нормативы!$L$78, "II юн", IF(I290&lt;=Нормативы!$L$79, "III юн", "б/р")))))))))))</f>
        <v>III</v>
      </c>
    </row>
    <row r="291" spans="1:10" ht="15" customHeight="1" x14ac:dyDescent="0.25">
      <c r="A291" s="61">
        <v>9</v>
      </c>
      <c r="B291" s="62" t="s">
        <v>94</v>
      </c>
      <c r="C291" s="63" t="s">
        <v>115</v>
      </c>
      <c r="E291" s="70">
        <v>41155</v>
      </c>
      <c r="F291" s="65" t="s">
        <v>87</v>
      </c>
      <c r="G291" s="65"/>
      <c r="I291" s="66">
        <v>103.62</v>
      </c>
      <c r="J291" s="91" t="str">
        <f>IF(ISBLANK(I291), " ", IF(ISTEXT(I291), " ", IF(I291&lt;=Нормативы!$H$71, "КМС", IF(I291&lt;=Нормативы!$H$72, "КМС", IF(I291&lt;=Нормативы!$L$73, "КМС", IF(I291&lt;=Нормативы!$L$74, "I", IF(I291&lt;=Нормативы!$L$75, "II", IF(I291&lt;=Нормативы!$L$76, "III", IF(I291&lt;=Нормативы!$L$77, "I юн", IF(I291&lt;=Нормативы!$L$78, "II юн", IF(I291&lt;=Нормативы!$L$79, "III юн", "б/р")))))))))))</f>
        <v>III</v>
      </c>
    </row>
    <row r="292" spans="1:10" ht="15" customHeight="1" x14ac:dyDescent="0.25">
      <c r="A292" s="61">
        <v>10</v>
      </c>
      <c r="B292" s="62" t="s">
        <v>94</v>
      </c>
      <c r="C292" s="63" t="s">
        <v>221</v>
      </c>
      <c r="E292" s="64">
        <v>41196</v>
      </c>
      <c r="F292" s="65" t="s">
        <v>78</v>
      </c>
      <c r="G292" s="65"/>
      <c r="I292" s="66">
        <v>103.75</v>
      </c>
      <c r="J292" s="91" t="str">
        <f>IF(ISBLANK(I292), " ", IF(ISTEXT(I292), " ", IF(I292&lt;=Нормативы!$H$71, "КМС", IF(I292&lt;=Нормативы!$H$72, "КМС", IF(I292&lt;=Нормативы!$L$73, "КМС", IF(I292&lt;=Нормативы!$L$74, "I", IF(I292&lt;=Нормативы!$L$75, "II", IF(I292&lt;=Нормативы!$L$76, "III", IF(I292&lt;=Нормативы!$L$77, "I юн", IF(I292&lt;=Нормативы!$L$78, "II юн", IF(I292&lt;=Нормативы!$L$79, "III юн", "б/р")))))))))))</f>
        <v>III</v>
      </c>
    </row>
    <row r="293" spans="1:10" ht="15" customHeight="1" x14ac:dyDescent="0.25">
      <c r="A293" s="61">
        <v>11</v>
      </c>
      <c r="B293" s="63" t="s">
        <v>82</v>
      </c>
      <c r="C293" s="65" t="s">
        <v>116</v>
      </c>
      <c r="D293" s="103"/>
      <c r="E293" s="70">
        <v>41162</v>
      </c>
      <c r="F293" s="65" t="s">
        <v>78</v>
      </c>
      <c r="G293" s="104"/>
      <c r="I293" s="66">
        <v>104.11</v>
      </c>
      <c r="J293" s="91" t="str">
        <f>IF(ISBLANK(I293), " ", IF(ISTEXT(I293), " ", IF(I293&lt;=Нормативы!$H$71, "КМС", IF(I293&lt;=Нормативы!$H$72, "КМС", IF(I293&lt;=Нормативы!$L$73, "КМС", IF(I293&lt;=Нормативы!$L$74, "I", IF(I293&lt;=Нормативы!$L$75, "II", IF(I293&lt;=Нормативы!$L$76, "III", IF(I293&lt;=Нормативы!$L$77, "I юн", IF(I293&lt;=Нормативы!$L$78, "II юн", IF(I293&lt;=Нормативы!$L$79, "III юн", "б/р")))))))))))</f>
        <v>III</v>
      </c>
    </row>
    <row r="294" spans="1:10" ht="15" customHeight="1" x14ac:dyDescent="0.25">
      <c r="A294" s="61">
        <v>12</v>
      </c>
      <c r="B294" s="65" t="s">
        <v>117</v>
      </c>
      <c r="C294" s="65" t="s">
        <v>118</v>
      </c>
      <c r="E294" s="64">
        <v>41136</v>
      </c>
      <c r="F294" s="65" t="s">
        <v>92</v>
      </c>
      <c r="G294" s="46"/>
      <c r="I294" s="66">
        <v>106.13</v>
      </c>
      <c r="J294" s="91" t="str">
        <f>IF(ISBLANK(I294), " ", IF(ISTEXT(I294), " ", IF(I294&lt;=Нормативы!$H$71, "КМС", IF(I294&lt;=Нормативы!$H$72, "КМС", IF(I294&lt;=Нормативы!$L$73, "КМС", IF(I294&lt;=Нормативы!$L$74, "I", IF(I294&lt;=Нормативы!$L$75, "II", IF(I294&lt;=Нормативы!$L$76, "III", IF(I294&lt;=Нормативы!$L$77, "I юн", IF(I294&lt;=Нормативы!$L$78, "II юн", IF(I294&lt;=Нормативы!$L$79, "III юн", "б/р")))))))))))</f>
        <v>III</v>
      </c>
    </row>
    <row r="295" spans="1:10" ht="15" customHeight="1" x14ac:dyDescent="0.25">
      <c r="A295" s="61">
        <v>13</v>
      </c>
      <c r="B295" s="62" t="s">
        <v>94</v>
      </c>
      <c r="C295" s="63" t="s">
        <v>119</v>
      </c>
      <c r="E295" s="64">
        <v>41187</v>
      </c>
      <c r="F295" s="65" t="s">
        <v>92</v>
      </c>
      <c r="G295" s="46"/>
      <c r="I295" s="66">
        <v>108.26</v>
      </c>
      <c r="J295" s="91" t="str">
        <f>IF(ISBLANK(I295), " ", IF(ISTEXT(I295), " ", IF(I295&lt;=Нормативы!$H$71, "КМС", IF(I295&lt;=Нормативы!$H$72, "КМС", IF(I295&lt;=Нормативы!$L$73, "КМС", IF(I295&lt;=Нормативы!$L$74, "I", IF(I295&lt;=Нормативы!$L$75, "II", IF(I295&lt;=Нормативы!$L$76, "III", IF(I295&lt;=Нормативы!$L$77, "I юн", IF(I295&lt;=Нормативы!$L$78, "II юн", IF(I295&lt;=Нормативы!$L$79, "III юн", "б/р")))))))))))</f>
        <v>I юн</v>
      </c>
    </row>
    <row r="296" spans="1:10" ht="15" customHeight="1" x14ac:dyDescent="0.25">
      <c r="A296" s="61">
        <v>14</v>
      </c>
      <c r="B296" s="65" t="s">
        <v>100</v>
      </c>
      <c r="C296" s="65" t="s">
        <v>121</v>
      </c>
      <c r="E296" s="64">
        <v>40927</v>
      </c>
      <c r="F296" s="65" t="s">
        <v>87</v>
      </c>
      <c r="G296" s="65"/>
      <c r="I296" s="66">
        <v>111.57</v>
      </c>
      <c r="J296" s="91" t="str">
        <f>IF(ISBLANK(I296), " ", IF(ISTEXT(I296), " ", IF(I296&lt;=Нормативы!$H$71, "КМС", IF(I296&lt;=Нормативы!$H$72, "КМС", IF(I296&lt;=Нормативы!$L$73, "КМС", IF(I296&lt;=Нормативы!$L$74, "I", IF(I296&lt;=Нормативы!$L$75, "II", IF(I296&lt;=Нормативы!$L$76, "III", IF(I296&lt;=Нормативы!$L$77, "I юн", IF(I296&lt;=Нормативы!$L$78, "II юн", IF(I296&lt;=Нормативы!$L$79, "III юн", "б/р")))))))))))</f>
        <v>I юн</v>
      </c>
    </row>
    <row r="297" spans="1:10" ht="15" customHeight="1" x14ac:dyDescent="0.25">
      <c r="A297" s="61">
        <v>15</v>
      </c>
      <c r="B297" s="65" t="s">
        <v>117</v>
      </c>
      <c r="C297" s="65" t="s">
        <v>120</v>
      </c>
      <c r="E297" s="64">
        <v>41136</v>
      </c>
      <c r="F297" s="65" t="s">
        <v>92</v>
      </c>
      <c r="G297" s="46"/>
      <c r="I297" s="66">
        <v>113.64</v>
      </c>
      <c r="J297" s="91" t="str">
        <f>IF(ISBLANK(I297), " ", IF(ISTEXT(I297), " ", IF(I297&lt;=Нормативы!$H$71, "КМС", IF(I297&lt;=Нормативы!$H$72, "КМС", IF(I297&lt;=Нормативы!$L$73, "КМС", IF(I297&lt;=Нормативы!$L$74, "I", IF(I297&lt;=Нормативы!$L$75, "II", IF(I297&lt;=Нормативы!$L$76, "III", IF(I297&lt;=Нормативы!$L$77, "I юн", IF(I297&lt;=Нормативы!$L$78, "II юн", IF(I297&lt;=Нормативы!$L$79, "III юн", "б/р")))))))))))</f>
        <v>II юн</v>
      </c>
    </row>
    <row r="298" spans="1:10" ht="15" customHeight="1" x14ac:dyDescent="0.25">
      <c r="A298" s="73"/>
      <c r="B298" s="90"/>
      <c r="C298" s="86"/>
      <c r="D298" s="87"/>
      <c r="E298" s="88"/>
      <c r="F298" s="89"/>
      <c r="G298" s="90"/>
      <c r="I298" s="90"/>
    </row>
    <row r="299" spans="1:10" ht="15" customHeight="1" x14ac:dyDescent="0.25">
      <c r="A299" s="47"/>
      <c r="B299" s="47"/>
      <c r="C299" s="48" t="s">
        <v>222</v>
      </c>
      <c r="D299" s="47"/>
      <c r="E299" s="47"/>
      <c r="F299" s="47"/>
      <c r="G299" s="47"/>
      <c r="I299" s="47"/>
    </row>
    <row r="300" spans="1:10" ht="15" customHeight="1" x14ac:dyDescent="0.25">
      <c r="A300" s="57"/>
      <c r="B300" s="57"/>
      <c r="C300" s="58"/>
      <c r="D300" s="59"/>
      <c r="E300" s="60"/>
      <c r="F300" s="58"/>
      <c r="G300" s="47"/>
      <c r="I300" s="47"/>
    </row>
    <row r="301" spans="1:10" ht="15" customHeight="1" x14ac:dyDescent="0.25">
      <c r="A301" s="73">
        <v>1</v>
      </c>
      <c r="B301" s="62" t="s">
        <v>84</v>
      </c>
      <c r="C301" s="63" t="s">
        <v>223</v>
      </c>
      <c r="E301" s="64">
        <v>41302</v>
      </c>
      <c r="F301" s="65" t="s">
        <v>110</v>
      </c>
      <c r="G301" s="65"/>
      <c r="I301" s="66">
        <v>58.63</v>
      </c>
      <c r="J301" s="91" t="str">
        <f>IF(ISBLANK(I301), " ", IF(ISTEXT(I301), " ", IF(I301&lt;=Нормативы!$H$71, "КМС", IF(I301&lt;=Нормативы!$H$72, "КМС", IF(I301&lt;=Нормативы!$L$73, "КМС", IF(I301&lt;=Нормативы!$L$74, "I", IF(I301&lt;=Нормативы!$L$75, "II", IF(I301&lt;=Нормативы!$L$76, "III", IF(I301&lt;=Нормативы!$L$77, "I юн", IF(I301&lt;=Нормативы!$L$78, "II юн", IF(I301&lt;=Нормативы!$L$79, "III юн", "б/р")))))))))))</f>
        <v>II</v>
      </c>
    </row>
    <row r="302" spans="1:10" ht="15" customHeight="1" x14ac:dyDescent="0.25">
      <c r="A302" s="73">
        <v>2</v>
      </c>
      <c r="B302" s="65" t="s">
        <v>94</v>
      </c>
      <c r="C302" s="65" t="s">
        <v>126</v>
      </c>
      <c r="E302" s="64">
        <v>41306</v>
      </c>
      <c r="F302" s="65" t="s">
        <v>92</v>
      </c>
      <c r="G302" s="46"/>
      <c r="I302" s="66">
        <v>102.4</v>
      </c>
      <c r="J302" s="91" t="str">
        <f>IF(ISBLANK(I302), " ", IF(ISTEXT(I302), " ", IF(I302&lt;=Нормативы!$H$71, "КМС", IF(I302&lt;=Нормативы!$H$72, "КМС", IF(I302&lt;=Нормативы!$L$73, "КМС", IF(I302&lt;=Нормативы!$L$74, "I", IF(I302&lt;=Нормативы!$L$75, "II", IF(I302&lt;=Нормативы!$L$76, "III", IF(I302&lt;=Нормативы!$L$77, "I юн", IF(I302&lt;=Нормативы!$L$78, "II юн", IF(I302&lt;=Нормативы!$L$79, "III юн", "б/р")))))))))))</f>
        <v>III</v>
      </c>
    </row>
    <row r="303" spans="1:10" ht="15" customHeight="1" x14ac:dyDescent="0.25">
      <c r="A303" s="73">
        <v>3</v>
      </c>
      <c r="B303" s="65" t="s">
        <v>94</v>
      </c>
      <c r="C303" s="65" t="s">
        <v>209</v>
      </c>
      <c r="E303" s="64">
        <v>41284</v>
      </c>
      <c r="F303" s="65" t="s">
        <v>98</v>
      </c>
      <c r="G303" s="65"/>
      <c r="I303" s="66">
        <v>106.57</v>
      </c>
      <c r="J303" s="91" t="str">
        <f>IF(ISBLANK(I303), " ", IF(ISTEXT(I303), " ", IF(I303&lt;=Нормативы!$H$71, "КМС", IF(I303&lt;=Нормативы!$H$72, "КМС", IF(I303&lt;=Нормативы!$L$73, "КМС", IF(I303&lt;=Нормативы!$L$74, "I", IF(I303&lt;=Нормативы!$L$75, "II", IF(I303&lt;=Нормативы!$L$76, "III", IF(I303&lt;=Нормативы!$L$77, "I юн", IF(I303&lt;=Нормативы!$L$78, "II юн", IF(I303&lt;=Нормативы!$L$79, "III юн", "б/р")))))))))))</f>
        <v>III</v>
      </c>
    </row>
    <row r="304" spans="1:10" ht="15" customHeight="1" x14ac:dyDescent="0.25">
      <c r="A304" s="73">
        <v>4</v>
      </c>
      <c r="B304" s="65" t="s">
        <v>100</v>
      </c>
      <c r="C304" s="65" t="s">
        <v>224</v>
      </c>
      <c r="E304" s="64">
        <v>41487</v>
      </c>
      <c r="F304" s="65" t="s">
        <v>87</v>
      </c>
      <c r="G304" s="65"/>
      <c r="I304" s="66">
        <v>107.01</v>
      </c>
      <c r="J304" s="91" t="str">
        <f>IF(ISBLANK(I304), " ", IF(ISTEXT(I304), " ", IF(I304&lt;=Нормативы!$H$71, "КМС", IF(I304&lt;=Нормативы!$H$72, "КМС", IF(I304&lt;=Нормативы!$L$73, "КМС", IF(I304&lt;=Нормативы!$L$74, "I", IF(I304&lt;=Нормативы!$L$75, "II", IF(I304&lt;=Нормативы!$L$76, "III", IF(I304&lt;=Нормативы!$L$77, "I юн", IF(I304&lt;=Нормативы!$L$78, "II юн", IF(I304&lt;=Нормативы!$L$79, "III юн", "б/р")))))))))))</f>
        <v>III</v>
      </c>
    </row>
    <row r="305" spans="1:10" ht="15" customHeight="1" x14ac:dyDescent="0.25">
      <c r="A305" s="73">
        <v>5</v>
      </c>
      <c r="B305" s="62" t="s">
        <v>82</v>
      </c>
      <c r="C305" s="63" t="s">
        <v>128</v>
      </c>
      <c r="E305" s="64">
        <v>41470</v>
      </c>
      <c r="F305" s="65" t="s">
        <v>92</v>
      </c>
      <c r="G305" s="46"/>
      <c r="I305" s="66">
        <v>117.72</v>
      </c>
      <c r="J305" s="91" t="str">
        <f>IF(ISBLANK(I305), " ", IF(ISTEXT(I305), " ", IF(I305&lt;=Нормативы!$H$71, "КМС", IF(I305&lt;=Нормативы!$H$72, "КМС", IF(I305&lt;=Нормативы!$L$73, "КМС", IF(I305&lt;=Нормативы!$L$74, "I", IF(I305&lt;=Нормативы!$L$75, "II", IF(I305&lt;=Нормативы!$L$76, "III", IF(I305&lt;=Нормативы!$L$77, "I юн", IF(I305&lt;=Нормативы!$L$78, "II юн", IF(I305&lt;=Нормативы!$L$79, "III юн", "б/р")))))))))))</f>
        <v>II юн</v>
      </c>
    </row>
    <row r="306" spans="1:10" ht="15" customHeight="1" x14ac:dyDescent="0.25">
      <c r="A306" s="73">
        <v>6</v>
      </c>
      <c r="B306" s="65" t="s">
        <v>82</v>
      </c>
      <c r="C306" s="65" t="s">
        <v>130</v>
      </c>
      <c r="E306" s="64">
        <v>41470</v>
      </c>
      <c r="F306" s="65" t="s">
        <v>92</v>
      </c>
      <c r="G306" s="46"/>
      <c r="I306" s="66">
        <v>130.63</v>
      </c>
      <c r="J306" s="91" t="str">
        <f>IF(ISBLANK(I306), " ", IF(ISTEXT(I306), " ", IF(I306&lt;=Нормативы!$H$71, "КМС", IF(I306&lt;=Нормативы!$H$72, "КМС", IF(I306&lt;=Нормативы!$L$73, "КМС", IF(I306&lt;=Нормативы!$L$74, "I", IF(I306&lt;=Нормативы!$L$75, "II", IF(I306&lt;=Нормативы!$L$76, "III", IF(I306&lt;=Нормативы!$L$77, "I юн", IF(I306&lt;=Нормативы!$L$78, "II юн", IF(I306&lt;=Нормативы!$L$79, "III юн", "б/р")))))))))))</f>
        <v>б/р</v>
      </c>
    </row>
    <row r="307" spans="1:10" ht="15" customHeight="1" x14ac:dyDescent="0.25">
      <c r="A307" s="73"/>
      <c r="B307" s="74"/>
      <c r="C307" s="74"/>
      <c r="D307" s="47"/>
      <c r="E307" s="75"/>
      <c r="F307" s="74"/>
      <c r="G307" s="46"/>
      <c r="I307" s="76"/>
    </row>
    <row r="308" spans="1:10" ht="15" customHeight="1" x14ac:dyDescent="0.25">
      <c r="A308" s="47"/>
      <c r="C308" s="48" t="s">
        <v>225</v>
      </c>
      <c r="D308" s="47"/>
      <c r="E308" s="47"/>
      <c r="F308" s="47"/>
      <c r="G308" s="47"/>
      <c r="I308" s="47"/>
    </row>
    <row r="309" spans="1:10" ht="15" customHeight="1" x14ac:dyDescent="0.25">
      <c r="A309" s="57"/>
      <c r="B309" s="57"/>
      <c r="C309" s="58"/>
      <c r="D309" s="59"/>
      <c r="E309" s="60"/>
      <c r="F309" s="58"/>
      <c r="G309" s="47"/>
      <c r="I309" s="47"/>
    </row>
    <row r="310" spans="1:10" ht="15" customHeight="1" x14ac:dyDescent="0.25">
      <c r="A310" s="61">
        <v>1</v>
      </c>
      <c r="B310" s="65" t="s">
        <v>84</v>
      </c>
      <c r="C310" s="65" t="s">
        <v>134</v>
      </c>
      <c r="E310" s="64">
        <v>40686</v>
      </c>
      <c r="F310" s="65" t="s">
        <v>78</v>
      </c>
      <c r="G310" s="65"/>
      <c r="I310" s="66">
        <v>51.33</v>
      </c>
      <c r="J310" s="91" t="str">
        <f>IF(ISBLANK(I310), " ", IF(ISTEXT(I310), " ", IF(I310&lt;=Нормативы!$H$82, "КМС", IF(I310&lt;=Нормативы!$H$83, "КМС", IF(I310&lt;=Нормативы!$L$84, "КМС", IF(I310&lt;=Нормативы!$L$85, "I", IF(I310&lt;=Нормативы!$L$86, "II", IF(I310&lt;=Нормативы!$L$87, "III", IF(I310&lt;=Нормативы!$L$88, "I юн", IF(I310&lt;=Нормативы!$L$89, "II юн", IF(I310&lt;=Нормативы!$L$90, "III юн", "б/р")))))))))))</f>
        <v>II</v>
      </c>
    </row>
    <row r="311" spans="1:10" ht="15" customHeight="1" x14ac:dyDescent="0.25">
      <c r="A311" s="61">
        <v>2</v>
      </c>
      <c r="B311" s="63" t="s">
        <v>84</v>
      </c>
      <c r="C311" s="65" t="s">
        <v>132</v>
      </c>
      <c r="E311" s="70">
        <v>40569</v>
      </c>
      <c r="F311" s="65" t="s">
        <v>92</v>
      </c>
      <c r="G311" s="71"/>
      <c r="I311" s="66">
        <v>51.33</v>
      </c>
      <c r="J311" s="91" t="str">
        <f>IF(ISBLANK(I311), " ", IF(ISTEXT(I311), " ", IF(I311&lt;=Нормативы!$H$82, "КМС", IF(I311&lt;=Нормативы!$H$83, "КМС", IF(I311&lt;=Нормативы!$L$84, "КМС", IF(I311&lt;=Нормативы!$L$85, "I", IF(I311&lt;=Нормативы!$L$86, "II", IF(I311&lt;=Нормативы!$L$87, "III", IF(I311&lt;=Нормативы!$L$88, "I юн", IF(I311&lt;=Нормативы!$L$89, "II юн", IF(I311&lt;=Нормативы!$L$90, "III юн", "б/р")))))))))))</f>
        <v>II</v>
      </c>
    </row>
    <row r="312" spans="1:10" ht="15" customHeight="1" x14ac:dyDescent="0.25">
      <c r="A312" s="61">
        <v>3</v>
      </c>
      <c r="B312" s="63" t="s">
        <v>84</v>
      </c>
      <c r="C312" s="65" t="s">
        <v>133</v>
      </c>
      <c r="E312" s="64">
        <v>40660</v>
      </c>
      <c r="F312" s="63" t="s">
        <v>78</v>
      </c>
      <c r="G312" s="65"/>
      <c r="I312" s="66">
        <v>51.88</v>
      </c>
      <c r="J312" s="91" t="str">
        <f>IF(ISBLANK(I312), " ", IF(ISTEXT(I312), " ", IF(I312&lt;=Нормативы!$H$82, "КМС", IF(I312&lt;=Нормативы!$H$83, "КМС", IF(I312&lt;=Нормативы!$L$84, "КМС", IF(I312&lt;=Нормативы!$L$85, "I", IF(I312&lt;=Нормативы!$L$86, "II", IF(I312&lt;=Нормативы!$L$87, "III", IF(I312&lt;=Нормативы!$L$88, "I юн", IF(I312&lt;=Нормативы!$L$89, "II юн", IF(I312&lt;=Нормативы!$L$90, "III юн", "б/р")))))))))))</f>
        <v>II</v>
      </c>
    </row>
    <row r="313" spans="1:10" ht="15" customHeight="1" x14ac:dyDescent="0.25">
      <c r="A313" s="61">
        <v>4</v>
      </c>
      <c r="B313" s="63" t="s">
        <v>84</v>
      </c>
      <c r="C313" s="65" t="s">
        <v>137</v>
      </c>
      <c r="E313" s="64">
        <v>40703</v>
      </c>
      <c r="F313" s="65" t="s">
        <v>110</v>
      </c>
      <c r="G313" s="65"/>
      <c r="I313" s="66">
        <v>52.26</v>
      </c>
      <c r="J313" s="91" t="str">
        <f>IF(ISBLANK(I313), " ", IF(ISTEXT(I313), " ", IF(I313&lt;=Нормативы!$H$82, "КМС", IF(I313&lt;=Нормативы!$H$83, "КМС", IF(I313&lt;=Нормативы!$L$84, "КМС", IF(I313&lt;=Нормативы!$L$85, "I", IF(I313&lt;=Нормативы!$L$86, "II", IF(I313&lt;=Нормативы!$L$87, "III", IF(I313&lt;=Нормативы!$L$88, "I юн", IF(I313&lt;=Нормативы!$L$89, "II юн", IF(I313&lt;=Нормативы!$L$90, "III юн", "б/р")))))))))))</f>
        <v>II</v>
      </c>
    </row>
    <row r="314" spans="1:10" ht="15" customHeight="1" x14ac:dyDescent="0.25">
      <c r="A314" s="61">
        <v>5</v>
      </c>
      <c r="B314" s="63" t="s">
        <v>84</v>
      </c>
      <c r="C314" s="65" t="s">
        <v>135</v>
      </c>
      <c r="E314" s="70">
        <v>40563</v>
      </c>
      <c r="F314" s="65" t="s">
        <v>92</v>
      </c>
      <c r="G314" s="71"/>
      <c r="I314" s="66">
        <v>53.38</v>
      </c>
      <c r="J314" s="91" t="str">
        <f>IF(ISBLANK(I314), " ", IF(ISTEXT(I314), " ", IF(I314&lt;=Нормативы!$H$82, "КМС", IF(I314&lt;=Нормативы!$H$83, "КМС", IF(I314&lt;=Нормативы!$L$84, "КМС", IF(I314&lt;=Нормативы!$L$85, "I", IF(I314&lt;=Нормативы!$L$86, "II", IF(I314&lt;=Нормативы!$L$87, "III", IF(I314&lt;=Нормативы!$L$88, "I юн", IF(I314&lt;=Нормативы!$L$89, "II юн", IF(I314&lt;=Нормативы!$L$90, "III юн", "б/р")))))))))))</f>
        <v>II</v>
      </c>
    </row>
    <row r="315" spans="1:10" ht="15" customHeight="1" x14ac:dyDescent="0.25">
      <c r="A315" s="61">
        <v>6</v>
      </c>
      <c r="B315" s="65" t="s">
        <v>84</v>
      </c>
      <c r="C315" s="65" t="s">
        <v>136</v>
      </c>
      <c r="E315" s="64">
        <v>40624</v>
      </c>
      <c r="F315" s="65" t="s">
        <v>92</v>
      </c>
      <c r="G315" s="71"/>
      <c r="I315" s="66">
        <v>53.53</v>
      </c>
      <c r="J315" s="91" t="str">
        <f>IF(ISBLANK(I315), " ", IF(ISTEXT(I315), " ", IF(I315&lt;=Нормативы!$H$82, "КМС", IF(I315&lt;=Нормативы!$H$83, "КМС", IF(I315&lt;=Нормативы!$L$84, "КМС", IF(I315&lt;=Нормативы!$L$85, "I", IF(I315&lt;=Нормативы!$L$86, "II", IF(I315&lt;=Нормативы!$L$87, "III", IF(I315&lt;=Нормативы!$L$88, "I юн", IF(I315&lt;=Нормативы!$L$89, "II юн", IF(I315&lt;=Нормативы!$L$90, "III юн", "б/р")))))))))))</f>
        <v>II</v>
      </c>
    </row>
    <row r="316" spans="1:10" ht="15" customHeight="1" x14ac:dyDescent="0.25">
      <c r="A316" s="61">
        <v>7</v>
      </c>
      <c r="B316" s="65" t="s">
        <v>94</v>
      </c>
      <c r="C316" s="65" t="s">
        <v>138</v>
      </c>
      <c r="E316" s="64">
        <v>40828</v>
      </c>
      <c r="F316" s="65" t="s">
        <v>110</v>
      </c>
      <c r="G316" s="65"/>
      <c r="I316" s="66">
        <v>55.81</v>
      </c>
      <c r="J316" s="91" t="str">
        <f>IF(ISBLANK(I316), " ", IF(ISTEXT(I316), " ", IF(I316&lt;=Нормативы!$H$82, "КМС", IF(I316&lt;=Нормативы!$H$83, "КМС", IF(I316&lt;=Нормативы!$L$84, "КМС", IF(I316&lt;=Нормативы!$L$85, "I", IF(I316&lt;=Нормативы!$L$86, "II", IF(I316&lt;=Нормативы!$L$87, "III", IF(I316&lt;=Нормативы!$L$88, "I юн", IF(I316&lt;=Нормативы!$L$89, "II юн", IF(I316&lt;=Нормативы!$L$90, "III юн", "б/р")))))))))))</f>
        <v>III</v>
      </c>
    </row>
    <row r="317" spans="1:10" ht="15" customHeight="1" x14ac:dyDescent="0.25">
      <c r="A317" s="61">
        <v>8</v>
      </c>
      <c r="B317" s="63" t="s">
        <v>100</v>
      </c>
      <c r="C317" s="65" t="s">
        <v>139</v>
      </c>
      <c r="E317" s="64">
        <v>40908</v>
      </c>
      <c r="F317" s="65" t="s">
        <v>87</v>
      </c>
      <c r="G317" s="65"/>
      <c r="I317" s="66">
        <v>56.57</v>
      </c>
      <c r="J317" s="91" t="str">
        <f>IF(ISBLANK(I317), " ", IF(ISTEXT(I317), " ", IF(I317&lt;=Нормативы!$H$82, "КМС", IF(I317&lt;=Нормативы!$H$83, "КМС", IF(I317&lt;=Нормативы!$L$84, "КМС", IF(I317&lt;=Нормативы!$L$85, "I", IF(I317&lt;=Нормативы!$L$86, "II", IF(I317&lt;=Нормативы!$L$87, "III", IF(I317&lt;=Нормативы!$L$88, "I юн", IF(I317&lt;=Нормативы!$L$89, "II юн", IF(I317&lt;=Нормативы!$L$90, "III юн", "б/р")))))))))))</f>
        <v>III</v>
      </c>
    </row>
    <row r="318" spans="1:10" ht="15" customHeight="1" x14ac:dyDescent="0.25">
      <c r="A318" s="61">
        <v>9</v>
      </c>
      <c r="B318" s="62" t="s">
        <v>82</v>
      </c>
      <c r="C318" s="63" t="s">
        <v>140</v>
      </c>
      <c r="E318" s="64">
        <v>40551</v>
      </c>
      <c r="F318" s="65" t="s">
        <v>92</v>
      </c>
      <c r="G318" s="71"/>
      <c r="I318" s="66">
        <v>59.45</v>
      </c>
      <c r="J318" s="91" t="str">
        <f>IF(ISBLANK(I318), " ", IF(ISTEXT(I318), " ", IF(I318&lt;=Нормативы!$H$82, "КМС", IF(I318&lt;=Нормативы!$H$83, "КМС", IF(I318&lt;=Нормативы!$L$84, "КМС", IF(I318&lt;=Нормативы!$L$85, "I", IF(I318&lt;=Нормативы!$L$86, "II", IF(I318&lt;=Нормативы!$L$87, "III", IF(I318&lt;=Нормативы!$L$88, "I юн", IF(I318&lt;=Нормативы!$L$89, "II юн", IF(I318&lt;=Нормативы!$L$90, "III юн", "б/р")))))))))))</f>
        <v>III</v>
      </c>
    </row>
    <row r="319" spans="1:10" ht="15" customHeight="1" x14ac:dyDescent="0.25">
      <c r="A319" s="61">
        <v>10</v>
      </c>
      <c r="B319" s="65" t="s">
        <v>94</v>
      </c>
      <c r="C319" s="85" t="s">
        <v>145</v>
      </c>
      <c r="E319" s="64">
        <v>40778</v>
      </c>
      <c r="F319" s="63" t="s">
        <v>78</v>
      </c>
      <c r="G319" s="65"/>
      <c r="I319" s="66">
        <v>59.86</v>
      </c>
      <c r="J319" s="91" t="str">
        <f>IF(ISBLANK(I319), " ", IF(ISTEXT(I319), " ", IF(I319&lt;=Нормативы!$H$82, "КМС", IF(I319&lt;=Нормативы!$H$83, "КМС", IF(I319&lt;=Нормативы!$L$84, "КМС", IF(I319&lt;=Нормативы!$L$85, "I", IF(I319&lt;=Нормативы!$L$86, "II", IF(I319&lt;=Нормативы!$L$87, "III", IF(I319&lt;=Нормативы!$L$88, "I юн", IF(I319&lt;=Нормативы!$L$89, "II юн", IF(I319&lt;=Нормативы!$L$90, "III юн", "б/р")))))))))))</f>
        <v>III</v>
      </c>
    </row>
    <row r="320" spans="1:10" ht="15" customHeight="1" x14ac:dyDescent="0.25">
      <c r="A320" s="61">
        <v>11</v>
      </c>
      <c r="B320" s="65" t="s">
        <v>100</v>
      </c>
      <c r="C320" s="65" t="s">
        <v>146</v>
      </c>
      <c r="E320" s="70">
        <v>40697</v>
      </c>
      <c r="F320" s="65" t="s">
        <v>92</v>
      </c>
      <c r="G320" s="71"/>
      <c r="I320" s="66">
        <v>100.31</v>
      </c>
      <c r="J320" s="91" t="str">
        <f>IF(ISBLANK(I320), " ", IF(ISTEXT(I320), " ", IF(I320&lt;=Нормативы!$H$82, "КМС", IF(I320&lt;=Нормативы!$H$83, "КМС", IF(I320&lt;=Нормативы!$L$84, "КМС", IF(I320&lt;=Нормативы!$L$85, "I", IF(I320&lt;=Нормативы!$L$86, "II", IF(I320&lt;=Нормативы!$L$87, "III", IF(I320&lt;=Нормативы!$L$88, "I юн", IF(I320&lt;=Нормативы!$L$89, "II юн", IF(I320&lt;=Нормативы!$L$90, "III юн", "б/р")))))))))))</f>
        <v>I юн</v>
      </c>
    </row>
    <row r="321" spans="1:10" ht="15" customHeight="1" x14ac:dyDescent="0.25">
      <c r="A321" s="61">
        <v>12</v>
      </c>
      <c r="B321" s="65" t="s">
        <v>82</v>
      </c>
      <c r="C321" s="65" t="s">
        <v>143</v>
      </c>
      <c r="E321" s="70">
        <v>40835</v>
      </c>
      <c r="F321" s="65" t="s">
        <v>92</v>
      </c>
      <c r="G321" s="71"/>
      <c r="I321" s="66">
        <v>102.13</v>
      </c>
      <c r="J321" s="91" t="str">
        <f>IF(ISBLANK(I321), " ", IF(ISTEXT(I321), " ", IF(I321&lt;=Нормативы!$H$82, "КМС", IF(I321&lt;=Нормативы!$H$83, "КМС", IF(I321&lt;=Нормативы!$L$84, "КМС", IF(I321&lt;=Нормативы!$L$85, "I", IF(I321&lt;=Нормативы!$L$86, "II", IF(I321&lt;=Нормативы!$L$87, "III", IF(I321&lt;=Нормативы!$L$88, "I юн", IF(I321&lt;=Нормативы!$L$89, "II юн", IF(I321&lt;=Нормативы!$L$90, "III юн", "б/р")))))))))))</f>
        <v>I юн</v>
      </c>
    </row>
    <row r="322" spans="1:10" ht="15" customHeight="1" x14ac:dyDescent="0.25">
      <c r="A322" s="61">
        <v>13</v>
      </c>
      <c r="B322" s="65" t="s">
        <v>84</v>
      </c>
      <c r="C322" s="85" t="s">
        <v>141</v>
      </c>
      <c r="E322" s="70">
        <v>40874</v>
      </c>
      <c r="F322" s="65" t="s">
        <v>92</v>
      </c>
      <c r="G322" s="71"/>
      <c r="I322" s="66">
        <v>103.5</v>
      </c>
      <c r="J322" s="91" t="str">
        <f>IF(ISBLANK(I322), " ", IF(ISTEXT(I322), " ", IF(I322&lt;=Нормативы!$H$82, "КМС", IF(I322&lt;=Нормативы!$H$83, "КМС", IF(I322&lt;=Нормативы!$L$84, "КМС", IF(I322&lt;=Нормативы!$L$85, "I", IF(I322&lt;=Нормативы!$L$86, "II", IF(I322&lt;=Нормативы!$L$87, "III", IF(I322&lt;=Нормативы!$L$88, "I юн", IF(I322&lt;=Нормативы!$L$89, "II юн", IF(I322&lt;=Нормативы!$L$90, "III юн", "б/р")))))))))))</f>
        <v>I юн</v>
      </c>
    </row>
    <row r="323" spans="1:10" ht="15" customHeight="1" x14ac:dyDescent="0.25">
      <c r="A323" s="61">
        <v>14</v>
      </c>
      <c r="B323" s="62" t="s">
        <v>82</v>
      </c>
      <c r="C323" s="65" t="s">
        <v>142</v>
      </c>
      <c r="E323" s="64">
        <v>40613</v>
      </c>
      <c r="F323" s="65" t="s">
        <v>92</v>
      </c>
      <c r="G323" s="71"/>
      <c r="I323" s="66">
        <v>103.64</v>
      </c>
      <c r="J323" s="91" t="str">
        <f>IF(ISBLANK(I323), " ", IF(ISTEXT(I323), " ", IF(I323&lt;=Нормативы!$H$82, "КМС", IF(I323&lt;=Нормативы!$H$83, "КМС", IF(I323&lt;=Нормативы!$L$84, "КМС", IF(I323&lt;=Нормативы!$L$85, "I", IF(I323&lt;=Нормативы!$L$86, "II", IF(I323&lt;=Нормативы!$L$87, "III", IF(I323&lt;=Нормативы!$L$88, "I юн", IF(I323&lt;=Нормативы!$L$89, "II юн", IF(I323&lt;=Нормативы!$L$90, "III юн", "б/р")))))))))))</f>
        <v>I юн</v>
      </c>
    </row>
    <row r="324" spans="1:10" ht="15" customHeight="1" x14ac:dyDescent="0.25">
      <c r="A324" s="61">
        <v>15</v>
      </c>
      <c r="B324" s="65" t="s">
        <v>82</v>
      </c>
      <c r="C324" s="65" t="s">
        <v>148</v>
      </c>
      <c r="E324" s="64">
        <v>40818</v>
      </c>
      <c r="F324" s="65" t="s">
        <v>92</v>
      </c>
      <c r="G324" s="71"/>
      <c r="I324" s="66">
        <v>104.28</v>
      </c>
      <c r="J324" s="91" t="str">
        <f>IF(ISBLANK(I324), " ", IF(ISTEXT(I324), " ", IF(I324&lt;=Нормативы!$H$82, "КМС", IF(I324&lt;=Нормативы!$H$83, "КМС", IF(I324&lt;=Нормативы!$L$84, "КМС", IF(I324&lt;=Нормативы!$L$85, "I", IF(I324&lt;=Нормативы!$L$86, "II", IF(I324&lt;=Нормативы!$L$87, "III", IF(I324&lt;=Нормативы!$L$88, "I юн", IF(I324&lt;=Нормативы!$L$89, "II юн", IF(I324&lt;=Нормативы!$L$90, "III юн", "б/р")))))))))))</f>
        <v>I юн</v>
      </c>
    </row>
    <row r="325" spans="1:10" ht="15" customHeight="1" x14ac:dyDescent="0.25">
      <c r="A325" s="61">
        <v>16</v>
      </c>
      <c r="B325" s="63" t="s">
        <v>100</v>
      </c>
      <c r="C325" s="65" t="s">
        <v>149</v>
      </c>
      <c r="E325" s="64">
        <v>40691</v>
      </c>
      <c r="F325" s="65" t="s">
        <v>87</v>
      </c>
      <c r="G325" s="65"/>
      <c r="I325" s="66">
        <v>108.01</v>
      </c>
      <c r="J325" s="91" t="str">
        <f>IF(ISBLANK(I325), " ", IF(ISTEXT(I325), " ", IF(I325&lt;=Нормативы!$H$82, "КМС", IF(I325&lt;=Нормативы!$H$83, "КМС", IF(I325&lt;=Нормативы!$L$84, "КМС", IF(I325&lt;=Нормативы!$L$85, "I", IF(I325&lt;=Нормативы!$L$86, "II", IF(I325&lt;=Нормативы!$L$87, "III", IF(I325&lt;=Нормативы!$L$88, "I юн", IF(I325&lt;=Нормативы!$L$89, "II юн", IF(I325&lt;=Нормативы!$L$90, "III юн", "б/р")))))))))))</f>
        <v>II юн</v>
      </c>
    </row>
    <row r="326" spans="1:10" ht="15" customHeight="1" x14ac:dyDescent="0.25">
      <c r="A326" s="61">
        <v>17</v>
      </c>
      <c r="B326" s="62" t="s">
        <v>84</v>
      </c>
      <c r="C326" s="63" t="s">
        <v>152</v>
      </c>
      <c r="E326" s="64">
        <v>40668</v>
      </c>
      <c r="F326" s="65" t="s">
        <v>92</v>
      </c>
      <c r="G326" s="71"/>
      <c r="I326" s="66">
        <v>109.56</v>
      </c>
      <c r="J326" s="91" t="str">
        <f>IF(ISBLANK(I326), " ", IF(ISTEXT(I326), " ", IF(I326&lt;=Нормативы!$H$82, "КМС", IF(I326&lt;=Нормативы!$H$83, "КМС", IF(I326&lt;=Нормативы!$L$84, "КМС", IF(I326&lt;=Нормативы!$L$85, "I", IF(I326&lt;=Нормативы!$L$86, "II", IF(I326&lt;=Нормативы!$L$87, "III", IF(I326&lt;=Нормативы!$L$88, "I юн", IF(I326&lt;=Нормативы!$L$89, "II юн", IF(I326&lt;=Нормативы!$L$90, "III юн", "б/р")))))))))))</f>
        <v>II юн</v>
      </c>
    </row>
    <row r="327" spans="1:10" ht="15" customHeight="1" x14ac:dyDescent="0.25">
      <c r="A327" s="61">
        <v>18</v>
      </c>
      <c r="B327" s="62" t="s">
        <v>117</v>
      </c>
      <c r="C327" s="63" t="s">
        <v>151</v>
      </c>
      <c r="E327" s="64">
        <v>40562</v>
      </c>
      <c r="F327" s="65" t="s">
        <v>81</v>
      </c>
      <c r="G327" s="65"/>
      <c r="I327" s="66">
        <v>110.81</v>
      </c>
      <c r="J327" s="91" t="str">
        <f>IF(ISBLANK(I327), " ", IF(ISTEXT(I327), " ", IF(I327&lt;=Нормативы!$H$82, "КМС", IF(I327&lt;=Нормативы!$H$83, "КМС", IF(I327&lt;=Нормативы!$L$84, "КМС", IF(I327&lt;=Нормативы!$L$85, "I", IF(I327&lt;=Нормативы!$L$86, "II", IF(I327&lt;=Нормативы!$L$87, "III", IF(I327&lt;=Нормативы!$L$88, "I юн", IF(I327&lt;=Нормативы!$L$89, "II юн", IF(I327&lt;=Нормативы!$L$90, "III юн", "б/р")))))))))))</f>
        <v>II юн</v>
      </c>
    </row>
    <row r="328" spans="1:10" ht="15" customHeight="1" x14ac:dyDescent="0.25">
      <c r="A328" s="61">
        <v>19</v>
      </c>
      <c r="B328" s="62" t="s">
        <v>82</v>
      </c>
      <c r="C328" s="63" t="s">
        <v>147</v>
      </c>
      <c r="E328" s="64">
        <v>40844</v>
      </c>
      <c r="F328" s="65" t="s">
        <v>81</v>
      </c>
      <c r="G328" s="65"/>
      <c r="I328" s="66">
        <v>110.84</v>
      </c>
      <c r="J328" s="91" t="str">
        <f>IF(ISBLANK(I328), " ", IF(ISTEXT(I328), " ", IF(I328&lt;=Нормативы!$H$82, "КМС", IF(I328&lt;=Нормативы!$H$83, "КМС", IF(I328&lt;=Нормативы!$L$84, "КМС", IF(I328&lt;=Нормативы!$L$85, "I", IF(I328&lt;=Нормативы!$L$86, "II", IF(I328&lt;=Нормативы!$L$87, "III", IF(I328&lt;=Нормативы!$L$88, "I юн", IF(I328&lt;=Нормативы!$L$89, "II юн", IF(I328&lt;=Нормативы!$L$90, "III юн", "б/р")))))))))))</f>
        <v>II юн</v>
      </c>
    </row>
    <row r="329" spans="1:10" ht="15" customHeight="1" x14ac:dyDescent="0.25">
      <c r="A329" s="73"/>
      <c r="B329" s="96"/>
      <c r="C329" s="86"/>
      <c r="D329" s="87"/>
      <c r="E329" s="90"/>
      <c r="F329" s="89"/>
      <c r="G329" s="90"/>
      <c r="I329" s="97"/>
    </row>
    <row r="330" spans="1:10" ht="15" customHeight="1" x14ac:dyDescent="0.25">
      <c r="A330" s="47"/>
      <c r="C330" s="48" t="s">
        <v>226</v>
      </c>
      <c r="D330" s="47"/>
      <c r="E330" s="47"/>
      <c r="F330" s="47"/>
      <c r="G330" s="47"/>
      <c r="I330" s="47"/>
    </row>
    <row r="331" spans="1:10" ht="15" customHeight="1" x14ac:dyDescent="0.25">
      <c r="A331" s="105"/>
      <c r="B331" s="106"/>
      <c r="C331" s="58"/>
      <c r="D331" s="59"/>
      <c r="E331" s="60"/>
      <c r="F331" s="58"/>
      <c r="G331" s="47"/>
      <c r="I331" s="47"/>
    </row>
    <row r="332" spans="1:10" ht="15" customHeight="1" x14ac:dyDescent="0.25">
      <c r="A332" s="61">
        <v>1</v>
      </c>
      <c r="B332" s="62" t="s">
        <v>94</v>
      </c>
      <c r="C332" s="63" t="s">
        <v>227</v>
      </c>
      <c r="E332" s="64">
        <v>41066</v>
      </c>
      <c r="F332" s="65" t="s">
        <v>112</v>
      </c>
      <c r="G332" s="65"/>
      <c r="I332" s="66">
        <v>54.32</v>
      </c>
      <c r="J332" s="91" t="str">
        <f>IF(ISBLANK(I332), " ", IF(ISTEXT(I332), " ", IF(I332&lt;=Нормативы!$H$82, "КМС", IF(I332&lt;=Нормативы!$H$83, "КМС", IF(I332&lt;=Нормативы!$L$84, "КМС", IF(I332&lt;=Нормативы!$L$85, "I", IF(I332&lt;=Нормативы!$L$86, "II", IF(I332&lt;=Нормативы!$L$87, "III", IF(I332&lt;=Нормативы!$L$88, "I юн", IF(I332&lt;=Нормативы!$L$89, "II юн", IF(I332&lt;=Нормативы!$L$90, "III юн", "б/р")))))))))))</f>
        <v>II</v>
      </c>
    </row>
    <row r="333" spans="1:10" ht="15" customHeight="1" x14ac:dyDescent="0.25">
      <c r="A333" s="61">
        <v>2</v>
      </c>
      <c r="B333" s="62" t="s">
        <v>100</v>
      </c>
      <c r="C333" s="63" t="s">
        <v>156</v>
      </c>
      <c r="E333" s="70">
        <v>41166</v>
      </c>
      <c r="F333" s="63" t="s">
        <v>112</v>
      </c>
      <c r="G333" s="65"/>
      <c r="I333" s="66">
        <v>100.88</v>
      </c>
      <c r="J333" s="91" t="str">
        <f>IF(ISBLANK(I333), " ", IF(ISTEXT(I333), " ", IF(I333&lt;=Нормативы!$H$82, "КМС", IF(I333&lt;=Нормативы!$H$83, "КМС", IF(I333&lt;=Нормативы!$L$84, "КМС", IF(I333&lt;=Нормативы!$L$85, "I", IF(I333&lt;=Нормативы!$L$86, "II", IF(I333&lt;=Нормативы!$L$87, "III", IF(I333&lt;=Нормативы!$L$88, "I юн", IF(I333&lt;=Нормативы!$L$89, "II юн", IF(I333&lt;=Нормативы!$L$90, "III юн", "б/р")))))))))))</f>
        <v>I юн</v>
      </c>
    </row>
    <row r="334" spans="1:10" ht="15" customHeight="1" x14ac:dyDescent="0.25">
      <c r="A334" s="61">
        <v>3</v>
      </c>
      <c r="B334" s="63" t="s">
        <v>100</v>
      </c>
      <c r="C334" s="65" t="s">
        <v>155</v>
      </c>
      <c r="E334" s="64">
        <v>40970</v>
      </c>
      <c r="F334" s="65" t="s">
        <v>87</v>
      </c>
      <c r="G334" s="65"/>
      <c r="I334" s="66">
        <v>101.76</v>
      </c>
      <c r="J334" s="91" t="str">
        <f>IF(ISBLANK(I334), " ", IF(ISTEXT(I334), " ", IF(I334&lt;=Нормативы!$H$82, "КМС", IF(I334&lt;=Нормативы!$H$83, "КМС", IF(I334&lt;=Нормативы!$L$84, "КМС", IF(I334&lt;=Нормативы!$L$85, "I", IF(I334&lt;=Нормативы!$L$86, "II", IF(I334&lt;=Нормативы!$L$87, "III", IF(I334&lt;=Нормативы!$L$88, "I юн", IF(I334&lt;=Нормативы!$L$89, "II юн", IF(I334&lt;=Нормативы!$L$90, "III юн", "б/р")))))))))))</f>
        <v>I юн</v>
      </c>
    </row>
    <row r="335" spans="1:10" ht="15" customHeight="1" x14ac:dyDescent="0.25">
      <c r="A335" s="61">
        <v>4</v>
      </c>
      <c r="B335" s="62" t="s">
        <v>100</v>
      </c>
      <c r="C335" s="63" t="s">
        <v>162</v>
      </c>
      <c r="E335" s="64">
        <v>41126</v>
      </c>
      <c r="F335" s="65" t="s">
        <v>78</v>
      </c>
      <c r="G335" s="65"/>
      <c r="I335" s="66">
        <v>104.26</v>
      </c>
      <c r="J335" s="91" t="str">
        <f>IF(ISBLANK(I335), " ", IF(ISTEXT(I335), " ", IF(I335&lt;=Нормативы!$H$82, "КМС", IF(I335&lt;=Нормативы!$H$83, "КМС", IF(I335&lt;=Нормативы!$L$84, "КМС", IF(I335&lt;=Нормативы!$L$85, "I", IF(I335&lt;=Нормативы!$L$86, "II", IF(I335&lt;=Нормативы!$L$87, "III", IF(I335&lt;=Нормативы!$L$88, "I юн", IF(I335&lt;=Нормативы!$L$89, "II юн", IF(I335&lt;=Нормативы!$L$90, "III юн", "б/р")))))))))))</f>
        <v>I юн</v>
      </c>
    </row>
    <row r="336" spans="1:10" ht="15" customHeight="1" x14ac:dyDescent="0.25">
      <c r="A336" s="61">
        <v>5</v>
      </c>
      <c r="B336" s="63" t="s">
        <v>82</v>
      </c>
      <c r="C336" s="65" t="s">
        <v>157</v>
      </c>
      <c r="E336" s="70">
        <v>41139</v>
      </c>
      <c r="F336" s="65" t="s">
        <v>92</v>
      </c>
      <c r="G336" s="71"/>
      <c r="I336" s="66">
        <v>104.36</v>
      </c>
      <c r="J336" s="91" t="str">
        <f>IF(ISBLANK(I336), " ", IF(ISTEXT(I336), " ", IF(I336&lt;=Нормативы!$H$82, "КМС", IF(I336&lt;=Нормативы!$H$83, "КМС", IF(I336&lt;=Нормативы!$L$84, "КМС", IF(I336&lt;=Нормативы!$L$85, "I", IF(I336&lt;=Нормативы!$L$86, "II", IF(I336&lt;=Нормативы!$L$87, "III", IF(I336&lt;=Нормативы!$L$88, "I юн", IF(I336&lt;=Нормативы!$L$89, "II юн", IF(I336&lt;=Нормативы!$L$90, "III юн", "б/р")))))))))))</f>
        <v>I юн</v>
      </c>
    </row>
    <row r="337" spans="1:10" ht="15" customHeight="1" x14ac:dyDescent="0.25">
      <c r="A337" s="61">
        <v>6</v>
      </c>
      <c r="B337" s="65" t="s">
        <v>117</v>
      </c>
      <c r="C337" s="65" t="s">
        <v>165</v>
      </c>
      <c r="E337" s="64">
        <v>41059</v>
      </c>
      <c r="F337" s="63" t="s">
        <v>78</v>
      </c>
      <c r="G337" s="65"/>
      <c r="I337" s="66">
        <v>104.36</v>
      </c>
      <c r="J337" s="91" t="str">
        <f>IF(ISBLANK(I337), " ", IF(ISTEXT(I337), " ", IF(I337&lt;=Нормативы!$H$82, "КМС", IF(I337&lt;=Нормативы!$H$83, "КМС", IF(I337&lt;=Нормативы!$L$84, "КМС", IF(I337&lt;=Нормативы!$L$85, "I", IF(I337&lt;=Нормативы!$L$86, "II", IF(I337&lt;=Нормативы!$L$87, "III", IF(I337&lt;=Нормативы!$L$88, "I юн", IF(I337&lt;=Нормативы!$L$89, "II юн", IF(I337&lt;=Нормативы!$L$90, "III юн", "б/р")))))))))))</f>
        <v>I юн</v>
      </c>
    </row>
    <row r="338" spans="1:10" ht="15" customHeight="1" x14ac:dyDescent="0.25">
      <c r="A338" s="61">
        <v>7</v>
      </c>
      <c r="B338" s="62" t="s">
        <v>117</v>
      </c>
      <c r="C338" s="63" t="s">
        <v>228</v>
      </c>
      <c r="E338" s="70">
        <v>41021</v>
      </c>
      <c r="F338" s="65" t="s">
        <v>78</v>
      </c>
      <c r="G338" s="65"/>
      <c r="I338" s="66">
        <v>105.01</v>
      </c>
      <c r="J338" s="91" t="str">
        <f>IF(ISBLANK(I338), " ", IF(ISTEXT(I338), " ", IF(I338&lt;=Нормативы!$H$82, "КМС", IF(I338&lt;=Нормативы!$H$83, "КМС", IF(I338&lt;=Нормативы!$L$84, "КМС", IF(I338&lt;=Нормативы!$L$85, "I", IF(I338&lt;=Нормативы!$L$86, "II", IF(I338&lt;=Нормативы!$L$87, "III", IF(I338&lt;=Нормативы!$L$88, "I юн", IF(I338&lt;=Нормативы!$L$89, "II юн", IF(I338&lt;=Нормативы!$L$90, "III юн", "б/р")))))))))))</f>
        <v>I юн</v>
      </c>
    </row>
    <row r="339" spans="1:10" ht="15" customHeight="1" x14ac:dyDescent="0.25">
      <c r="A339" s="61">
        <v>8</v>
      </c>
      <c r="B339" s="63" t="s">
        <v>158</v>
      </c>
      <c r="C339" s="65" t="s">
        <v>159</v>
      </c>
      <c r="E339" s="64">
        <v>41130</v>
      </c>
      <c r="F339" s="65" t="s">
        <v>87</v>
      </c>
      <c r="G339" s="65"/>
      <c r="I339" s="66">
        <v>105.26</v>
      </c>
      <c r="J339" s="91" t="str">
        <f>IF(ISBLANK(I339), " ", IF(ISTEXT(I339), " ", IF(I339&lt;=Нормативы!$H$82, "КМС", IF(I339&lt;=Нормативы!$H$83, "КМС", IF(I339&lt;=Нормативы!$L$84, "КМС", IF(I339&lt;=Нормативы!$L$85, "I", IF(I339&lt;=Нормативы!$L$86, "II", IF(I339&lt;=Нормативы!$L$87, "III", IF(I339&lt;=Нормативы!$L$88, "I юн", IF(I339&lt;=Нормативы!$L$89, "II юн", IF(I339&lt;=Нормативы!$L$90, "III юн", "б/р")))))))))))</f>
        <v>I юн</v>
      </c>
    </row>
    <row r="340" spans="1:10" ht="15" customHeight="1" x14ac:dyDescent="0.25">
      <c r="A340" s="61">
        <v>9</v>
      </c>
      <c r="B340" s="62" t="s">
        <v>117</v>
      </c>
      <c r="C340" s="63" t="s">
        <v>161</v>
      </c>
      <c r="E340" s="64">
        <v>41258</v>
      </c>
      <c r="F340" s="65" t="s">
        <v>81</v>
      </c>
      <c r="G340" s="65"/>
      <c r="I340" s="66">
        <v>105.63</v>
      </c>
      <c r="J340" s="91" t="str">
        <f>IF(ISBLANK(I340), " ", IF(ISTEXT(I340), " ", IF(I340&lt;=Нормативы!$H$82, "КМС", IF(I340&lt;=Нормативы!$H$83, "КМС", IF(I340&lt;=Нормативы!$L$84, "КМС", IF(I340&lt;=Нормативы!$L$85, "I", IF(I340&lt;=Нормативы!$L$86, "II", IF(I340&lt;=Нормативы!$L$87, "III", IF(I340&lt;=Нормативы!$L$88, "I юн", IF(I340&lt;=Нормативы!$L$89, "II юн", IF(I340&lt;=Нормативы!$L$90, "III юн", "б/р")))))))))))</f>
        <v>II юн</v>
      </c>
    </row>
    <row r="341" spans="1:10" ht="15" customHeight="1" x14ac:dyDescent="0.25">
      <c r="A341" s="61">
        <v>10</v>
      </c>
      <c r="B341" s="63" t="s">
        <v>117</v>
      </c>
      <c r="C341" s="65" t="s">
        <v>166</v>
      </c>
      <c r="E341" s="70">
        <v>41210</v>
      </c>
      <c r="F341" s="65" t="s">
        <v>87</v>
      </c>
      <c r="G341" s="65"/>
      <c r="I341" s="66">
        <v>108.38</v>
      </c>
      <c r="J341" s="91" t="str">
        <f>IF(ISBLANK(I341), " ", IF(ISTEXT(I341), " ", IF(I341&lt;=Нормативы!$H$82, "КМС", IF(I341&lt;=Нормативы!$H$83, "КМС", IF(I341&lt;=Нормативы!$L$84, "КМС", IF(I341&lt;=Нормативы!$L$85, "I", IF(I341&lt;=Нормативы!$L$86, "II", IF(I341&lt;=Нормативы!$L$87, "III", IF(I341&lt;=Нормативы!$L$88, "I юн", IF(I341&lt;=Нормативы!$L$89, "II юн", IF(I341&lt;=Нормативы!$L$90, "III юн", "б/р")))))))))))</f>
        <v>II юн</v>
      </c>
    </row>
    <row r="342" spans="1:10" ht="15" customHeight="1" x14ac:dyDescent="0.25">
      <c r="A342" s="61">
        <v>11</v>
      </c>
      <c r="B342" s="63" t="s">
        <v>158</v>
      </c>
      <c r="C342" s="65" t="s">
        <v>168</v>
      </c>
      <c r="E342" s="64">
        <v>41114</v>
      </c>
      <c r="F342" s="65" t="s">
        <v>87</v>
      </c>
      <c r="G342" s="65"/>
      <c r="I342" s="66">
        <v>108.57</v>
      </c>
      <c r="J342" s="91" t="str">
        <f>IF(ISBLANK(I342), " ", IF(ISTEXT(I342), " ", IF(I342&lt;=Нормативы!$H$82, "КМС", IF(I342&lt;=Нормативы!$H$83, "КМС", IF(I342&lt;=Нормативы!$L$84, "КМС", IF(I342&lt;=Нормативы!$L$85, "I", IF(I342&lt;=Нормативы!$L$86, "II", IF(I342&lt;=Нормативы!$L$87, "III", IF(I342&lt;=Нормативы!$L$88, "I юн", IF(I342&lt;=Нормативы!$L$89, "II юн", IF(I342&lt;=Нормативы!$L$90, "III юн", "б/р")))))))))))</f>
        <v>II юн</v>
      </c>
    </row>
    <row r="343" spans="1:10" ht="15" customHeight="1" x14ac:dyDescent="0.25">
      <c r="A343" s="61">
        <v>12</v>
      </c>
      <c r="B343" s="63" t="s">
        <v>117</v>
      </c>
      <c r="C343" s="65" t="s">
        <v>164</v>
      </c>
      <c r="E343" s="64">
        <v>41088</v>
      </c>
      <c r="F343" s="65" t="s">
        <v>87</v>
      </c>
      <c r="G343" s="65"/>
      <c r="I343" s="66">
        <v>111.47</v>
      </c>
      <c r="J343" s="91" t="str">
        <f>IF(ISBLANK(I343), " ", IF(ISTEXT(I343), " ", IF(I343&lt;=Нормативы!$H$82, "КМС", IF(I343&lt;=Нормативы!$H$83, "КМС", IF(I343&lt;=Нормативы!$L$84, "КМС", IF(I343&lt;=Нормативы!$L$85, "I", IF(I343&lt;=Нормативы!$L$86, "II", IF(I343&lt;=Нормативы!$L$87, "III", IF(I343&lt;=Нормативы!$L$88, "I юн", IF(I343&lt;=Нормативы!$L$89, "II юн", IF(I343&lt;=Нормативы!$L$90, "III юн", "б/р")))))))))))</f>
        <v>III юн</v>
      </c>
    </row>
    <row r="344" spans="1:10" ht="15" customHeight="1" x14ac:dyDescent="0.25">
      <c r="A344" s="61">
        <v>13</v>
      </c>
      <c r="B344" s="62" t="s">
        <v>100</v>
      </c>
      <c r="C344" s="63" t="s">
        <v>160</v>
      </c>
      <c r="E344" s="64">
        <v>41200</v>
      </c>
      <c r="F344" s="65" t="s">
        <v>110</v>
      </c>
      <c r="G344" s="65"/>
      <c r="I344" s="66">
        <v>112.13</v>
      </c>
      <c r="J344" s="91" t="str">
        <f>IF(ISBLANK(I344), " ", IF(ISTEXT(I344), " ", IF(I344&lt;=Нормативы!$H$82, "КМС", IF(I344&lt;=Нормативы!$H$83, "КМС", IF(I344&lt;=Нормативы!$L$84, "КМС", IF(I344&lt;=Нормативы!$L$85, "I", IF(I344&lt;=Нормативы!$L$86, "II", IF(I344&lt;=Нормативы!$L$87, "III", IF(I344&lt;=Нормативы!$L$88, "I юн", IF(I344&lt;=Нормативы!$L$89, "II юн", IF(I344&lt;=Нормативы!$L$90, "III юн", "б/р")))))))))))</f>
        <v>III юн</v>
      </c>
    </row>
    <row r="345" spans="1:10" ht="15" customHeight="1" x14ac:dyDescent="0.25">
      <c r="A345" s="61">
        <v>14</v>
      </c>
      <c r="B345" s="63" t="s">
        <v>82</v>
      </c>
      <c r="C345" s="65" t="s">
        <v>167</v>
      </c>
      <c r="E345" s="70">
        <v>41124</v>
      </c>
      <c r="F345" s="65" t="s">
        <v>92</v>
      </c>
      <c r="G345" s="71"/>
      <c r="I345" s="66">
        <v>113.76</v>
      </c>
      <c r="J345" s="91" t="str">
        <f>IF(ISBLANK(I345), " ", IF(ISTEXT(I345), " ", IF(I345&lt;=Нормативы!$H$82, "КМС", IF(I345&lt;=Нормативы!$H$83, "КМС", IF(I345&lt;=Нормативы!$L$84, "КМС", IF(I345&lt;=Нормативы!$L$85, "I", IF(I345&lt;=Нормативы!$L$86, "II", IF(I345&lt;=Нормативы!$L$87, "III", IF(I345&lt;=Нормативы!$L$88, "I юн", IF(I345&lt;=Нормативы!$L$89, "II юн", IF(I345&lt;=Нормативы!$L$90, "III юн", "б/р")))))))))))</f>
        <v>III юн</v>
      </c>
    </row>
    <row r="346" spans="1:10" ht="15" customHeight="1" x14ac:dyDescent="0.25">
      <c r="A346" s="61">
        <v>15</v>
      </c>
      <c r="B346" s="63" t="s">
        <v>82</v>
      </c>
      <c r="C346" s="65" t="s">
        <v>169</v>
      </c>
      <c r="E346" s="70">
        <v>41261</v>
      </c>
      <c r="F346" s="65" t="s">
        <v>92</v>
      </c>
      <c r="G346" s="71"/>
      <c r="I346" s="66">
        <v>120.4</v>
      </c>
      <c r="J346" s="91" t="str">
        <f>IF(ISBLANK(I346), " ", IF(ISTEXT(I346), " ", IF(I346&lt;=Нормативы!$H$82, "КМС", IF(I346&lt;=Нормативы!$H$83, "КМС", IF(I346&lt;=Нормативы!$L$84, "КМС", IF(I346&lt;=Нормативы!$L$85, "I", IF(I346&lt;=Нормативы!$L$86, "II", IF(I346&lt;=Нормативы!$L$87, "III", IF(I346&lt;=Нормативы!$L$88, "I юн", IF(I346&lt;=Нормативы!$L$89, "II юн", IF(I346&lt;=Нормативы!$L$90, "III юн", "б/р")))))))))))</f>
        <v>б/р</v>
      </c>
    </row>
    <row r="347" spans="1:10" ht="15" customHeight="1" x14ac:dyDescent="0.25">
      <c r="A347" s="61"/>
      <c r="B347" s="65" t="s">
        <v>82</v>
      </c>
      <c r="C347" s="85" t="s">
        <v>170</v>
      </c>
      <c r="E347" s="70">
        <v>41147</v>
      </c>
      <c r="F347" s="65" t="s">
        <v>92</v>
      </c>
      <c r="G347" s="71"/>
      <c r="I347" s="66" t="s">
        <v>196</v>
      </c>
    </row>
    <row r="348" spans="1:10" ht="15" customHeight="1" x14ac:dyDescent="0.25">
      <c r="A348" s="73"/>
      <c r="B348" s="94"/>
      <c r="C348" s="95"/>
      <c r="E348" s="75"/>
      <c r="F348" s="74"/>
      <c r="G348" s="74"/>
      <c r="I348" s="76"/>
    </row>
    <row r="349" spans="1:10" ht="15" customHeight="1" x14ac:dyDescent="0.25">
      <c r="A349" s="47"/>
      <c r="C349" s="48" t="s">
        <v>229</v>
      </c>
      <c r="D349" s="47"/>
      <c r="E349" s="47"/>
      <c r="F349" s="47"/>
      <c r="G349" s="47"/>
      <c r="I349" s="47"/>
    </row>
    <row r="350" spans="1:10" ht="15" customHeight="1" x14ac:dyDescent="0.25">
      <c r="A350" s="57"/>
      <c r="B350" s="57"/>
      <c r="C350" s="58"/>
      <c r="D350" s="59"/>
      <c r="E350" s="60"/>
      <c r="F350" s="58"/>
      <c r="G350" s="47"/>
      <c r="I350" s="47"/>
    </row>
    <row r="351" spans="1:10" ht="15" customHeight="1" x14ac:dyDescent="0.25">
      <c r="A351" s="61">
        <v>1</v>
      </c>
      <c r="B351" s="62" t="s">
        <v>84</v>
      </c>
      <c r="C351" s="63" t="s">
        <v>230</v>
      </c>
      <c r="E351" s="64">
        <v>41319</v>
      </c>
      <c r="F351" s="65" t="s">
        <v>112</v>
      </c>
      <c r="G351" s="65"/>
      <c r="I351" s="66">
        <v>54.32</v>
      </c>
      <c r="J351" s="91" t="str">
        <f>IF(ISBLANK(I351), " ", IF(ISTEXT(I351), " ", IF(I351&lt;=Нормативы!$H$82, "КМС", IF(I351&lt;=Нормативы!$H$83, "КМС", IF(I351&lt;=Нормативы!$L$84, "КМС", IF(I351&lt;=Нормативы!$L$85, "I", IF(I351&lt;=Нормативы!$L$86, "II", IF(I351&lt;=Нормативы!$L$87, "III", IF(I351&lt;=Нормативы!$L$88, "I юн", IF(I351&lt;=Нормативы!$L$89, "II юн", IF(I351&lt;=Нормативы!$L$90, "III юн", "б/р")))))))))))</f>
        <v>II</v>
      </c>
    </row>
    <row r="352" spans="1:10" ht="15" customHeight="1" x14ac:dyDescent="0.25">
      <c r="A352" s="61">
        <v>2</v>
      </c>
      <c r="B352" s="65" t="s">
        <v>100</v>
      </c>
      <c r="C352" s="65" t="s">
        <v>172</v>
      </c>
      <c r="E352" s="64">
        <v>41375</v>
      </c>
      <c r="F352" s="65" t="s">
        <v>78</v>
      </c>
      <c r="G352" s="65"/>
      <c r="I352" s="66">
        <v>54.35</v>
      </c>
      <c r="J352" s="91" t="str">
        <f>IF(ISBLANK(I352), " ", IF(ISTEXT(I352), " ", IF(I352&lt;=Нормативы!$H$82, "КМС", IF(I352&lt;=Нормативы!$H$83, "КМС", IF(I352&lt;=Нормативы!$L$84, "КМС", IF(I352&lt;=Нормативы!$L$85, "I", IF(I352&lt;=Нормативы!$L$86, "II", IF(I352&lt;=Нормативы!$L$87, "III", IF(I352&lt;=Нормативы!$L$88, "I юн", IF(I352&lt;=Нормативы!$L$89, "II юн", IF(I352&lt;=Нормативы!$L$90, "III юн", "б/р")))))))))))</f>
        <v>II</v>
      </c>
    </row>
    <row r="353" spans="1:10" ht="15" customHeight="1" x14ac:dyDescent="0.25">
      <c r="A353" s="61">
        <v>3</v>
      </c>
      <c r="B353" s="63" t="s">
        <v>84</v>
      </c>
      <c r="C353" s="65" t="s">
        <v>173</v>
      </c>
      <c r="E353" s="64">
        <v>41455</v>
      </c>
      <c r="F353" s="65" t="s">
        <v>78</v>
      </c>
      <c r="G353" s="65"/>
      <c r="I353" s="66">
        <v>56.26</v>
      </c>
      <c r="J353" s="91" t="str">
        <f>IF(ISBLANK(I353), " ", IF(ISTEXT(I353), " ", IF(I353&lt;=Нормативы!$H$82, "КМС", IF(I353&lt;=Нормативы!$H$83, "КМС", IF(I353&lt;=Нормативы!$L$84, "КМС", IF(I353&lt;=Нормативы!$L$85, "I", IF(I353&lt;=Нормативы!$L$86, "II", IF(I353&lt;=Нормативы!$L$87, "III", IF(I353&lt;=Нормативы!$L$88, "I юн", IF(I353&lt;=Нормативы!$L$89, "II юн", IF(I353&lt;=Нормативы!$L$90, "III юн", "б/р")))))))))))</f>
        <v>III</v>
      </c>
    </row>
    <row r="354" spans="1:10" ht="15" customHeight="1" x14ac:dyDescent="0.25">
      <c r="A354" s="61">
        <v>4</v>
      </c>
      <c r="B354" s="63" t="s">
        <v>94</v>
      </c>
      <c r="C354" s="65" t="s">
        <v>175</v>
      </c>
      <c r="E354" s="64">
        <v>41376</v>
      </c>
      <c r="F354" s="65" t="s">
        <v>110</v>
      </c>
      <c r="G354" s="65"/>
      <c r="I354" s="66">
        <v>57.26</v>
      </c>
      <c r="J354" s="91" t="str">
        <f>IF(ISBLANK(I354), " ", IF(ISTEXT(I354), " ", IF(I354&lt;=Нормативы!$H$82, "КМС", IF(I354&lt;=Нормативы!$H$83, "КМС", IF(I354&lt;=Нормативы!$L$84, "КМС", IF(I354&lt;=Нормативы!$L$85, "I", IF(I354&lt;=Нормативы!$L$86, "II", IF(I354&lt;=Нормативы!$L$87, "III", IF(I354&lt;=Нормативы!$L$88, "I юн", IF(I354&lt;=Нормативы!$L$89, "II юн", IF(I354&lt;=Нормативы!$L$90, "III юн", "б/р")))))))))))</f>
        <v>III</v>
      </c>
    </row>
    <row r="355" spans="1:10" ht="15" customHeight="1" x14ac:dyDescent="0.25">
      <c r="A355" s="61">
        <v>5</v>
      </c>
      <c r="B355" s="63" t="s">
        <v>117</v>
      </c>
      <c r="C355" s="65" t="s">
        <v>179</v>
      </c>
      <c r="E355" s="64">
        <v>41473</v>
      </c>
      <c r="F355" s="65" t="s">
        <v>87</v>
      </c>
      <c r="G355" s="65"/>
      <c r="I355" s="66">
        <v>101.88</v>
      </c>
      <c r="J355" s="91" t="str">
        <f>IF(ISBLANK(I355), " ", IF(ISTEXT(I355), " ", IF(I355&lt;=Нормативы!$H$82, "КМС", IF(I355&lt;=Нормативы!$H$83, "КМС", IF(I355&lt;=Нормативы!$L$84, "КМС", IF(I355&lt;=Нормативы!$L$85, "I", IF(I355&lt;=Нормативы!$L$86, "II", IF(I355&lt;=Нормативы!$L$87, "III", IF(I355&lt;=Нормативы!$L$88, "I юн", IF(I355&lt;=Нормативы!$L$89, "II юн", IF(I355&lt;=Нормативы!$L$90, "III юн", "б/р")))))))))))</f>
        <v>I юн</v>
      </c>
    </row>
    <row r="356" spans="1:10" ht="15" customHeight="1" x14ac:dyDescent="0.25">
      <c r="A356" s="61">
        <v>6</v>
      </c>
      <c r="B356" s="63" t="s">
        <v>100</v>
      </c>
      <c r="C356" s="65" t="s">
        <v>231</v>
      </c>
      <c r="E356" s="64">
        <v>41462</v>
      </c>
      <c r="F356" s="65" t="s">
        <v>110</v>
      </c>
      <c r="G356" s="65"/>
      <c r="I356" s="66">
        <v>101.89</v>
      </c>
      <c r="J356" s="91" t="str">
        <f>IF(ISBLANK(I356), " ", IF(ISTEXT(I356), " ", IF(I356&lt;=Нормативы!$H$82, "КМС", IF(I356&lt;=Нормативы!$H$83, "КМС", IF(I356&lt;=Нормативы!$L$84, "КМС", IF(I356&lt;=Нормативы!$L$85, "I", IF(I356&lt;=Нормативы!$L$86, "II", IF(I356&lt;=Нормативы!$L$87, "III", IF(I356&lt;=Нормативы!$L$88, "I юн", IF(I356&lt;=Нормативы!$L$89, "II юн", IF(I356&lt;=Нормативы!$L$90, "III юн", "б/р")))))))))))</f>
        <v>I юн</v>
      </c>
    </row>
    <row r="357" spans="1:10" ht="15" customHeight="1" x14ac:dyDescent="0.25">
      <c r="A357" s="61">
        <v>7</v>
      </c>
      <c r="B357" s="62" t="s">
        <v>88</v>
      </c>
      <c r="C357" s="63" t="s">
        <v>178</v>
      </c>
      <c r="E357" s="64">
        <v>41363</v>
      </c>
      <c r="F357" s="65" t="s">
        <v>90</v>
      </c>
      <c r="G357" s="65"/>
      <c r="I357" s="66">
        <v>102.37</v>
      </c>
      <c r="J357" s="91" t="str">
        <f>IF(ISBLANK(I357), " ", IF(ISTEXT(I357), " ", IF(I357&lt;=Нормативы!$H$82, "КМС", IF(I357&lt;=Нормативы!$H$83, "КМС", IF(I357&lt;=Нормативы!$L$84, "КМС", IF(I357&lt;=Нормативы!$L$85, "I", IF(I357&lt;=Нормативы!$L$86, "II", IF(I357&lt;=Нормативы!$L$87, "III", IF(I357&lt;=Нормативы!$L$88, "I юн", IF(I357&lt;=Нормативы!$L$89, "II юн", IF(I357&lt;=Нормативы!$L$90, "III юн", "б/р")))))))))))</f>
        <v>I юн</v>
      </c>
    </row>
    <row r="358" spans="1:10" ht="15" customHeight="1" x14ac:dyDescent="0.25">
      <c r="A358" s="61">
        <v>8</v>
      </c>
      <c r="B358" s="63" t="s">
        <v>100</v>
      </c>
      <c r="C358" s="65" t="s">
        <v>182</v>
      </c>
      <c r="E358" s="64">
        <v>41488</v>
      </c>
      <c r="F358" s="65" t="s">
        <v>78</v>
      </c>
      <c r="G358" s="65"/>
      <c r="I358" s="66">
        <v>103</v>
      </c>
      <c r="J358" s="91" t="str">
        <f>IF(ISBLANK(I358), " ", IF(ISTEXT(I358), " ", IF(I358&lt;=Нормативы!$H$82, "КМС", IF(I358&lt;=Нормативы!$H$83, "КМС", IF(I358&lt;=Нормативы!$L$84, "КМС", IF(I358&lt;=Нормативы!$L$85, "I", IF(I358&lt;=Нормативы!$L$86, "II", IF(I358&lt;=Нормативы!$L$87, "III", IF(I358&lt;=Нормативы!$L$88, "I юн", IF(I358&lt;=Нормативы!$L$89, "II юн", IF(I358&lt;=Нормативы!$L$90, "III юн", "б/р")))))))))))</f>
        <v>I юн</v>
      </c>
    </row>
    <row r="359" spans="1:10" ht="15" customHeight="1" x14ac:dyDescent="0.25">
      <c r="A359" s="61">
        <v>9</v>
      </c>
      <c r="B359" s="63" t="s">
        <v>100</v>
      </c>
      <c r="C359" s="65" t="s">
        <v>183</v>
      </c>
      <c r="E359" s="70">
        <v>41539</v>
      </c>
      <c r="F359" s="65" t="s">
        <v>87</v>
      </c>
      <c r="G359" s="65"/>
      <c r="I359" s="66">
        <v>104.81</v>
      </c>
      <c r="J359" s="91" t="str">
        <f>IF(ISBLANK(I359), " ", IF(ISTEXT(I359), " ", IF(I359&lt;=Нормативы!$H$82, "КМС", IF(I359&lt;=Нормативы!$H$83, "КМС", IF(I359&lt;=Нормативы!$L$84, "КМС", IF(I359&lt;=Нормативы!$L$85, "I", IF(I359&lt;=Нормативы!$L$86, "II", IF(I359&lt;=Нормативы!$L$87, "III", IF(I359&lt;=Нормативы!$L$88, "I юн", IF(I359&lt;=Нормативы!$L$89, "II юн", IF(I359&lt;=Нормативы!$L$90, "III юн", "б/р")))))))))))</f>
        <v>I юн</v>
      </c>
    </row>
    <row r="360" spans="1:10" ht="15" customHeight="1" x14ac:dyDescent="0.25">
      <c r="A360" s="61">
        <v>10</v>
      </c>
      <c r="B360" s="62" t="s">
        <v>100</v>
      </c>
      <c r="C360" s="63" t="s">
        <v>180</v>
      </c>
      <c r="E360" s="64">
        <v>41478</v>
      </c>
      <c r="F360" s="65" t="s">
        <v>81</v>
      </c>
      <c r="G360" s="65"/>
      <c r="I360" s="66">
        <v>105.32</v>
      </c>
      <c r="J360" s="91" t="str">
        <f>IF(ISBLANK(I360), " ", IF(ISTEXT(I360), " ", IF(I360&lt;=Нормативы!$H$82, "КМС", IF(I360&lt;=Нормативы!$H$83, "КМС", IF(I360&lt;=Нормативы!$L$84, "КМС", IF(I360&lt;=Нормативы!$L$85, "I", IF(I360&lt;=Нормативы!$L$86, "II", IF(I360&lt;=Нормативы!$L$87, "III", IF(I360&lt;=Нормативы!$L$88, "I юн", IF(I360&lt;=Нормативы!$L$89, "II юн", IF(I360&lt;=Нормативы!$L$90, "III юн", "б/р")))))))))))</f>
        <v>II юн</v>
      </c>
    </row>
    <row r="361" spans="1:10" ht="15" customHeight="1" x14ac:dyDescent="0.25">
      <c r="A361" s="61">
        <v>11</v>
      </c>
      <c r="B361" s="63" t="s">
        <v>100</v>
      </c>
      <c r="C361" s="65" t="s">
        <v>181</v>
      </c>
      <c r="E361" s="64">
        <v>41415</v>
      </c>
      <c r="F361" s="65" t="s">
        <v>87</v>
      </c>
      <c r="G361" s="65"/>
      <c r="I361" s="66">
        <v>108.19</v>
      </c>
      <c r="J361" s="91" t="str">
        <f>IF(ISBLANK(I361), " ", IF(ISTEXT(I361), " ", IF(I361&lt;=Нормативы!$H$82, "КМС", IF(I361&lt;=Нормативы!$H$83, "КМС", IF(I361&lt;=Нормативы!$L$84, "КМС", IF(I361&lt;=Нормативы!$L$85, "I", IF(I361&lt;=Нормативы!$L$86, "II", IF(I361&lt;=Нормативы!$L$87, "III", IF(I361&lt;=Нормативы!$L$88, "I юн", IF(I361&lt;=Нормативы!$L$89, "II юн", IF(I361&lt;=Нормативы!$L$90, "III юн", "б/р")))))))))))</f>
        <v>II юн</v>
      </c>
    </row>
    <row r="362" spans="1:10" ht="15" customHeight="1" x14ac:dyDescent="0.25">
      <c r="A362" s="61">
        <v>12</v>
      </c>
      <c r="B362" s="65" t="s">
        <v>100</v>
      </c>
      <c r="C362" s="65" t="s">
        <v>176</v>
      </c>
      <c r="E362" s="64">
        <v>41633</v>
      </c>
      <c r="F362" s="65" t="s">
        <v>78</v>
      </c>
      <c r="G362" s="65"/>
      <c r="I362" s="66">
        <v>108.26</v>
      </c>
      <c r="J362" s="91" t="str">
        <f>IF(ISBLANK(I362), " ", IF(ISTEXT(I362), " ", IF(I362&lt;=Нормативы!$H$82, "КМС", IF(I362&lt;=Нормативы!$H$83, "КМС", IF(I362&lt;=Нормативы!$L$84, "КМС", IF(I362&lt;=Нормативы!$L$85, "I", IF(I362&lt;=Нормативы!$L$86, "II", IF(I362&lt;=Нормативы!$L$87, "III", IF(I362&lt;=Нормативы!$L$88, "I юн", IF(I362&lt;=Нормативы!$L$89, "II юн", IF(I362&lt;=Нормативы!$L$90, "III юн", "б/р")))))))))))</f>
        <v>II юн</v>
      </c>
    </row>
    <row r="363" spans="1:10" ht="15" customHeight="1" x14ac:dyDescent="0.25">
      <c r="A363" s="61">
        <v>13</v>
      </c>
      <c r="B363" s="65" t="s">
        <v>117</v>
      </c>
      <c r="C363" s="65" t="s">
        <v>186</v>
      </c>
      <c r="E363" s="70">
        <v>41418</v>
      </c>
      <c r="F363" s="65" t="s">
        <v>87</v>
      </c>
      <c r="G363" s="65"/>
      <c r="I363" s="66">
        <v>108.75</v>
      </c>
      <c r="J363" s="91" t="str">
        <f>IF(ISBLANK(I363), " ", IF(ISTEXT(I363), " ", IF(I363&lt;=Нормативы!$H$82, "КМС", IF(I363&lt;=Нормативы!$H$83, "КМС", IF(I363&lt;=Нормативы!$L$84, "КМС", IF(I363&lt;=Нормативы!$L$85, "I", IF(I363&lt;=Нормативы!$L$86, "II", IF(I363&lt;=Нормативы!$L$87, "III", IF(I363&lt;=Нормативы!$L$88, "I юн", IF(I363&lt;=Нормативы!$L$89, "II юн", IF(I363&lt;=Нормативы!$L$90, "III юн", "б/р")))))))))))</f>
        <v>II юн</v>
      </c>
    </row>
    <row r="364" spans="1:10" ht="15" customHeight="1" x14ac:dyDescent="0.25">
      <c r="A364" s="61">
        <v>14</v>
      </c>
      <c r="B364" s="65" t="s">
        <v>117</v>
      </c>
      <c r="C364" s="65" t="s">
        <v>184</v>
      </c>
      <c r="E364" s="64">
        <v>41553</v>
      </c>
      <c r="F364" s="65" t="s">
        <v>87</v>
      </c>
      <c r="G364" s="65"/>
      <c r="I364" s="66">
        <v>109.13</v>
      </c>
      <c r="J364" s="91" t="str">
        <f>IF(ISBLANK(I364), " ", IF(ISTEXT(I364), " ", IF(I364&lt;=Нормативы!$H$82, "КМС", IF(I364&lt;=Нормативы!$H$83, "КМС", IF(I364&lt;=Нормативы!$L$84, "КМС", IF(I364&lt;=Нормативы!$L$85, "I", IF(I364&lt;=Нормативы!$L$86, "II", IF(I364&lt;=Нормативы!$L$87, "III", IF(I364&lt;=Нормативы!$L$88, "I юн", IF(I364&lt;=Нормативы!$L$89, "II юн", IF(I364&lt;=Нормативы!$L$90, "III юн", "б/р")))))))))))</f>
        <v>II юн</v>
      </c>
    </row>
    <row r="365" spans="1:10" ht="15" customHeight="1" x14ac:dyDescent="0.25">
      <c r="A365" s="61">
        <v>15</v>
      </c>
      <c r="B365" s="65" t="s">
        <v>82</v>
      </c>
      <c r="C365" s="65" t="s">
        <v>185</v>
      </c>
      <c r="E365" s="70">
        <v>41335</v>
      </c>
      <c r="F365" s="65" t="s">
        <v>92</v>
      </c>
      <c r="G365" s="71"/>
      <c r="I365" s="66">
        <v>109.42</v>
      </c>
      <c r="J365" s="91" t="str">
        <f>IF(ISBLANK(I365), " ", IF(ISTEXT(I365), " ", IF(I365&lt;=Нормативы!$H$82, "КМС", IF(I365&lt;=Нормативы!$H$83, "КМС", IF(I365&lt;=Нормативы!$L$84, "КМС", IF(I365&lt;=Нормативы!$L$85, "I", IF(I365&lt;=Нормативы!$L$86, "II", IF(I365&lt;=Нормативы!$L$87, "III", IF(I365&lt;=Нормативы!$L$88, "I юн", IF(I365&lt;=Нормативы!$L$89, "II юн", IF(I365&lt;=Нормативы!$L$90, "III юн", "б/р")))))))))))</f>
        <v>II юн</v>
      </c>
    </row>
    <row r="366" spans="1:10" ht="15" customHeight="1" x14ac:dyDescent="0.25">
      <c r="A366" s="61">
        <v>16</v>
      </c>
      <c r="B366" s="63" t="s">
        <v>158</v>
      </c>
      <c r="C366" s="65" t="s">
        <v>197</v>
      </c>
      <c r="E366" s="64">
        <v>41463</v>
      </c>
      <c r="F366" s="65" t="s">
        <v>87</v>
      </c>
      <c r="G366" s="65"/>
      <c r="I366" s="66">
        <v>113.19</v>
      </c>
      <c r="J366" s="91" t="str">
        <f>IF(ISBLANK(I366), " ", IF(ISTEXT(I366), " ", IF(I366&lt;=Нормативы!$H$82, "КМС", IF(I366&lt;=Нормативы!$H$83, "КМС", IF(I366&lt;=Нормативы!$L$84, "КМС", IF(I366&lt;=Нормативы!$L$85, "I", IF(I366&lt;=Нормативы!$L$86, "II", IF(I366&lt;=Нормативы!$L$87, "III", IF(I366&lt;=Нормативы!$L$88, "I юн", IF(I366&lt;=Нормативы!$L$89, "II юн", IF(I366&lt;=Нормативы!$L$90, "III юн", "б/р")))))))))))</f>
        <v>III юн</v>
      </c>
    </row>
    <row r="367" spans="1:10" ht="15" customHeight="1" x14ac:dyDescent="0.25">
      <c r="A367" s="61">
        <v>17</v>
      </c>
      <c r="B367" s="62" t="s">
        <v>158</v>
      </c>
      <c r="C367" s="63" t="s">
        <v>195</v>
      </c>
      <c r="E367" s="64">
        <v>41552</v>
      </c>
      <c r="F367" s="65" t="s">
        <v>87</v>
      </c>
      <c r="G367" s="65"/>
      <c r="I367" s="66">
        <v>113.5</v>
      </c>
      <c r="J367" s="91" t="str">
        <f>IF(ISBLANK(I367), " ", IF(ISTEXT(I367), " ", IF(I367&lt;=Нормативы!$H$82, "КМС", IF(I367&lt;=Нормативы!$H$83, "КМС", IF(I367&lt;=Нормативы!$L$84, "КМС", IF(I367&lt;=Нормативы!$L$85, "I", IF(I367&lt;=Нормативы!$L$86, "II", IF(I367&lt;=Нормативы!$L$87, "III", IF(I367&lt;=Нормативы!$L$88, "I юн", IF(I367&lt;=Нормативы!$L$89, "II юн", IF(I367&lt;=Нормативы!$L$90, "III юн", "б/р")))))))))))</f>
        <v>III юн</v>
      </c>
    </row>
    <row r="368" spans="1:10" ht="15" customHeight="1" x14ac:dyDescent="0.25">
      <c r="A368" s="61">
        <v>18</v>
      </c>
      <c r="B368" s="63" t="s">
        <v>82</v>
      </c>
      <c r="C368" s="65" t="s">
        <v>190</v>
      </c>
      <c r="E368" s="70">
        <v>41562</v>
      </c>
      <c r="F368" s="65" t="s">
        <v>92</v>
      </c>
      <c r="G368" s="71"/>
      <c r="I368" s="66">
        <v>113.87</v>
      </c>
      <c r="J368" s="91" t="str">
        <f>IF(ISBLANK(I368), " ", IF(ISTEXT(I368), " ", IF(I368&lt;=Нормативы!$H$82, "КМС", IF(I368&lt;=Нормативы!$H$83, "КМС", IF(I368&lt;=Нормативы!$L$84, "КМС", IF(I368&lt;=Нормативы!$L$85, "I", IF(I368&lt;=Нормативы!$L$86, "II", IF(I368&lt;=Нормативы!$L$87, "III", IF(I368&lt;=Нормативы!$L$88, "I юн", IF(I368&lt;=Нормативы!$L$89, "II юн", IF(I368&lt;=Нормативы!$L$90, "III юн", "б/р")))))))))))</f>
        <v>III юн</v>
      </c>
    </row>
    <row r="369" spans="1:10" ht="15" customHeight="1" x14ac:dyDescent="0.25">
      <c r="A369" s="61">
        <v>19</v>
      </c>
      <c r="B369" s="62" t="s">
        <v>82</v>
      </c>
      <c r="C369" s="63" t="s">
        <v>191</v>
      </c>
      <c r="E369" s="64">
        <v>41281</v>
      </c>
      <c r="F369" s="65" t="s">
        <v>92</v>
      </c>
      <c r="G369" s="71"/>
      <c r="I369" s="66">
        <v>118.83</v>
      </c>
      <c r="J369" s="91" t="str">
        <f>IF(ISBLANK(I369), " ", IF(ISTEXT(I369), " ", IF(I369&lt;=Нормативы!$H$82, "КМС", IF(I369&lt;=Нормативы!$H$83, "КМС", IF(I369&lt;=Нормативы!$L$84, "КМС", IF(I369&lt;=Нормативы!$L$85, "I", IF(I369&lt;=Нормативы!$L$86, "II", IF(I369&lt;=Нормативы!$L$87, "III", IF(I369&lt;=Нормативы!$L$88, "I юн", IF(I369&lt;=Нормативы!$L$89, "II юн", IF(I369&lt;=Нормативы!$L$90, "III юн", "б/р")))))))))))</f>
        <v>б/р</v>
      </c>
    </row>
    <row r="370" spans="1:10" ht="15" customHeight="1" x14ac:dyDescent="0.25">
      <c r="A370" s="61">
        <v>20</v>
      </c>
      <c r="B370" s="62" t="s">
        <v>82</v>
      </c>
      <c r="C370" s="63" t="s">
        <v>192</v>
      </c>
      <c r="E370" s="64">
        <v>41505</v>
      </c>
      <c r="F370" s="65" t="s">
        <v>81</v>
      </c>
      <c r="G370" s="65"/>
      <c r="I370" s="66">
        <v>126.81</v>
      </c>
      <c r="J370" s="91" t="str">
        <f>IF(ISBLANK(I370), " ", IF(ISTEXT(I370), " ", IF(I370&lt;=Нормативы!$H$82, "КМС", IF(I370&lt;=Нормативы!$H$83, "КМС", IF(I370&lt;=Нормативы!$L$84, "КМС", IF(I370&lt;=Нормативы!$L$85, "I", IF(I370&lt;=Нормативы!$L$86, "II", IF(I370&lt;=Нормативы!$L$87, "III", IF(I370&lt;=Нормативы!$L$88, "I юн", IF(I370&lt;=Нормативы!$L$89, "II юн", IF(I370&lt;=Нормативы!$L$90, "III юн", "б/р")))))))))))</f>
        <v>б/р</v>
      </c>
    </row>
    <row r="371" spans="1:10" ht="15" customHeight="1" x14ac:dyDescent="0.25">
      <c r="A371" s="61"/>
      <c r="B371" s="62"/>
      <c r="C371" s="63"/>
      <c r="E371" s="64"/>
      <c r="F371" s="65"/>
      <c r="G371" s="65"/>
      <c r="I371" s="66"/>
      <c r="J371" s="91"/>
    </row>
    <row r="372" spans="1:10" ht="15" customHeight="1" x14ac:dyDescent="0.25">
      <c r="A372" s="47"/>
      <c r="C372" s="48" t="s">
        <v>232</v>
      </c>
      <c r="D372" s="47"/>
      <c r="E372" s="47"/>
      <c r="F372" s="47"/>
      <c r="G372" s="47"/>
      <c r="I372" s="47"/>
    </row>
    <row r="373" spans="1:10" ht="15" customHeight="1" x14ac:dyDescent="0.25">
      <c r="A373" s="57"/>
      <c r="B373" s="57"/>
      <c r="C373" s="58"/>
      <c r="D373" s="59"/>
      <c r="E373" s="60"/>
      <c r="F373" s="58"/>
      <c r="G373" s="47"/>
    </row>
    <row r="374" spans="1:10" ht="15" customHeight="1" x14ac:dyDescent="0.25">
      <c r="A374" s="61">
        <v>1</v>
      </c>
      <c r="B374" s="62" t="s">
        <v>79</v>
      </c>
      <c r="C374" s="63" t="s">
        <v>199</v>
      </c>
      <c r="E374" s="64">
        <v>40731</v>
      </c>
      <c r="F374" s="65" t="s">
        <v>78</v>
      </c>
      <c r="G374" s="65"/>
      <c r="I374" s="66">
        <v>46.47</v>
      </c>
      <c r="J374" s="91" t="str">
        <f>IF(ISBLANK(I374), " ", IF(ISTEXT(I374), " ", IF(I374&lt;=Нормативы!$H$49, "КМС", IF(I374&lt;=Нормативы!$H$50, "КМС", IF(I374&lt;=Нормативы!$L$51, "КМС", IF(I374&lt;=Нормативы!$L$52, "I", IF(I374&lt;=Нормативы!$L$53, "II", IF(I374&lt;=Нормативы!$L$54, "III", IF(I374&lt;=Нормативы!$L$55, "I юн", IF(I374&lt;=Нормативы!$L$56, "II юн", IF(I374&lt;=Нормативы!$L$57, "III юн", "б/р")))))))))))</f>
        <v>I</v>
      </c>
    </row>
    <row r="375" spans="1:10" ht="15" customHeight="1" x14ac:dyDescent="0.25">
      <c r="A375" s="61">
        <v>2</v>
      </c>
      <c r="B375" s="62" t="s">
        <v>84</v>
      </c>
      <c r="C375" s="63" t="s">
        <v>200</v>
      </c>
      <c r="E375" s="64">
        <v>40734</v>
      </c>
      <c r="F375" s="65" t="s">
        <v>78</v>
      </c>
      <c r="G375" s="65"/>
      <c r="I375" s="66">
        <v>49.75</v>
      </c>
      <c r="J375" s="91" t="str">
        <f>IF(ISBLANK(I375), " ", IF(ISTEXT(I375), " ", IF(I375&lt;=Нормативы!$H$49, "КМС", IF(I375&lt;=Нормативы!$H$50, "КМС", IF(I375&lt;=Нормативы!$L$51, "КМС", IF(I375&lt;=Нормативы!$L$52, "I", IF(I375&lt;=Нормативы!$L$53, "II", IF(I375&lt;=Нормативы!$L$54, "III", IF(I375&lt;=Нормативы!$L$55, "I юн", IF(I375&lt;=Нормативы!$L$56, "II юн", IF(I375&lt;=Нормативы!$L$57, "III юн", "б/р")))))))))))</f>
        <v>II</v>
      </c>
    </row>
    <row r="376" spans="1:10" ht="15" customHeight="1" x14ac:dyDescent="0.25">
      <c r="A376" s="61">
        <v>3</v>
      </c>
      <c r="B376" s="62" t="s">
        <v>84</v>
      </c>
      <c r="C376" s="63" t="s">
        <v>201</v>
      </c>
      <c r="E376" s="64">
        <v>40854</v>
      </c>
      <c r="F376" s="65" t="s">
        <v>110</v>
      </c>
      <c r="G376" s="65"/>
      <c r="I376" s="66">
        <v>51.84</v>
      </c>
      <c r="J376" s="91" t="str">
        <f>IF(ISBLANK(I376), " ", IF(ISTEXT(I376), " ", IF(I376&lt;=Нормативы!$H$49, "КМС", IF(I376&lt;=Нормативы!$H$50, "КМС", IF(I376&lt;=Нормативы!$L$51, "КМС", IF(I376&lt;=Нормативы!$L$52, "I", IF(I376&lt;=Нормативы!$L$53, "II", IF(I376&lt;=Нормативы!$L$54, "III", IF(I376&lt;=Нормативы!$L$55, "I юн", IF(I376&lt;=Нормативы!$L$56, "II юн", IF(I376&lt;=Нормативы!$L$57, "III юн", "б/р")))))))))))</f>
        <v>III</v>
      </c>
    </row>
    <row r="377" spans="1:10" ht="15" customHeight="1" x14ac:dyDescent="0.25">
      <c r="A377" s="61">
        <v>4</v>
      </c>
      <c r="B377" s="62" t="s">
        <v>84</v>
      </c>
      <c r="C377" s="63" t="s">
        <v>85</v>
      </c>
      <c r="E377" s="64">
        <v>40691</v>
      </c>
      <c r="F377" s="65" t="s">
        <v>78</v>
      </c>
      <c r="G377" s="65"/>
      <c r="I377" s="66">
        <v>52.88</v>
      </c>
      <c r="J377" s="91" t="str">
        <f>IF(ISBLANK(I377), " ", IF(ISTEXT(I377), " ", IF(I377&lt;=Нормативы!$H$49, "КМС", IF(I377&lt;=Нормативы!$H$50, "КМС", IF(I377&lt;=Нормативы!$L$51, "КМС", IF(I377&lt;=Нормативы!$L$52, "I", IF(I377&lt;=Нормативы!$L$53, "II", IF(I377&lt;=Нормативы!$L$54, "III", IF(I377&lt;=Нормативы!$L$55, "I юн", IF(I377&lt;=Нормативы!$L$56, "II юн", IF(I377&lt;=Нормативы!$L$57, "III юн", "б/р")))))))))))</f>
        <v>III</v>
      </c>
    </row>
    <row r="378" spans="1:10" ht="15" customHeight="1" x14ac:dyDescent="0.25">
      <c r="A378" s="61">
        <v>5</v>
      </c>
      <c r="B378" s="63" t="s">
        <v>84</v>
      </c>
      <c r="C378" s="65" t="s">
        <v>219</v>
      </c>
      <c r="E378" s="64">
        <v>40816</v>
      </c>
      <c r="F378" s="65" t="s">
        <v>110</v>
      </c>
      <c r="G378" s="65"/>
      <c r="I378" s="66">
        <v>53.38</v>
      </c>
      <c r="J378" s="91" t="str">
        <f>IF(ISBLANK(I378), " ", IF(ISTEXT(I378), " ", IF(I378&lt;=Нормативы!$H$49, "КМС", IF(I378&lt;=Нормативы!$H$50, "КМС", IF(I378&lt;=Нормативы!$L$51, "КМС", IF(I378&lt;=Нормативы!$L$52, "I", IF(I378&lt;=Нормативы!$L$53, "II", IF(I378&lt;=Нормативы!$L$54, "III", IF(I378&lt;=Нормативы!$L$55, "I юн", IF(I378&lt;=Нормативы!$L$56, "II юн", IF(I378&lt;=Нормативы!$L$57, "III юн", "б/р")))))))))))</f>
        <v>III</v>
      </c>
    </row>
    <row r="379" spans="1:10" ht="15" customHeight="1" x14ac:dyDescent="0.25">
      <c r="A379" s="73"/>
      <c r="B379" s="90"/>
      <c r="C379" s="86"/>
      <c r="D379" s="87"/>
      <c r="E379" s="88"/>
      <c r="F379" s="89"/>
      <c r="G379" s="90"/>
      <c r="I379" s="90"/>
    </row>
    <row r="380" spans="1:10" ht="15" customHeight="1" x14ac:dyDescent="0.25">
      <c r="A380" s="47"/>
      <c r="C380" s="48" t="s">
        <v>233</v>
      </c>
      <c r="D380" s="47"/>
      <c r="E380" s="47"/>
      <c r="F380" s="47"/>
      <c r="G380" s="47"/>
      <c r="I380" s="47"/>
    </row>
    <row r="381" spans="1:10" ht="15" customHeight="1" x14ac:dyDescent="0.25">
      <c r="A381" s="73"/>
      <c r="B381" s="96"/>
      <c r="C381" s="86"/>
      <c r="D381" s="87"/>
      <c r="E381" s="88"/>
      <c r="F381" s="89"/>
      <c r="G381" s="90"/>
      <c r="I381" s="97"/>
    </row>
    <row r="382" spans="1:10" ht="15" customHeight="1" x14ac:dyDescent="0.25">
      <c r="A382" s="61">
        <v>1</v>
      </c>
      <c r="B382" s="63" t="s">
        <v>76</v>
      </c>
      <c r="C382" s="65" t="s">
        <v>39</v>
      </c>
      <c r="E382" s="64">
        <v>41177</v>
      </c>
      <c r="F382" s="65" t="s">
        <v>112</v>
      </c>
      <c r="G382" s="65"/>
      <c r="I382" s="66">
        <v>48.36</v>
      </c>
      <c r="J382" s="91" t="str">
        <f>IF(ISBLANK(I382), " ", IF(ISTEXT(I382), " ", IF(I382&lt;=Нормативы!$H$49, "КМС", IF(I382&lt;=Нормативы!$H$50, "КМС", IF(I382&lt;=Нормативы!$L$51, "КМС", IF(I382&lt;=Нормативы!$L$52, "I", IF(I382&lt;=Нормативы!$L$53, "II", IF(I382&lt;=Нормативы!$L$54, "III", IF(I382&lt;=Нормативы!$L$55, "I юн", IF(I382&lt;=Нормативы!$L$56, "II юн", IF(I382&lt;=Нормативы!$L$57, "III юн", "б/р")))))))))))</f>
        <v>II</v>
      </c>
    </row>
    <row r="383" spans="1:10" ht="15" customHeight="1" x14ac:dyDescent="0.25">
      <c r="A383" s="61">
        <v>2</v>
      </c>
      <c r="B383" s="62" t="s">
        <v>84</v>
      </c>
      <c r="C383" s="63" t="s">
        <v>203</v>
      </c>
      <c r="E383" s="64">
        <v>41064</v>
      </c>
      <c r="F383" s="65" t="s">
        <v>78</v>
      </c>
      <c r="G383" s="65"/>
      <c r="I383" s="66">
        <v>50.32</v>
      </c>
      <c r="J383" s="91" t="str">
        <f>IF(ISBLANK(I383), " ", IF(ISTEXT(I383), " ", IF(I383&lt;=Нормативы!$H$49, "КМС", IF(I383&lt;=Нормативы!$H$50, "КМС", IF(I383&lt;=Нормативы!$L$51, "КМС", IF(I383&lt;=Нормативы!$L$52, "I", IF(I383&lt;=Нормативы!$L$53, "II", IF(I383&lt;=Нормативы!$L$54, "III", IF(I383&lt;=Нормативы!$L$55, "I юн", IF(I383&lt;=Нормативы!$L$56, "II юн", IF(I383&lt;=Нормативы!$L$57, "III юн", "б/р")))))))))))</f>
        <v>II</v>
      </c>
    </row>
    <row r="384" spans="1:10" ht="15" customHeight="1" x14ac:dyDescent="0.25">
      <c r="A384" s="61">
        <v>3</v>
      </c>
      <c r="B384" s="62" t="s">
        <v>94</v>
      </c>
      <c r="C384" s="63" t="s">
        <v>221</v>
      </c>
      <c r="E384" s="64">
        <v>41196</v>
      </c>
      <c r="F384" s="65" t="s">
        <v>78</v>
      </c>
      <c r="G384" s="65"/>
      <c r="I384" s="66">
        <v>54.72</v>
      </c>
      <c r="J384" s="91" t="str">
        <f>IF(ISBLANK(I384), " ", IF(ISTEXT(I384), " ", IF(I384&lt;=Нормативы!$H$49, "КМС", IF(I384&lt;=Нормативы!$H$50, "КМС", IF(I384&lt;=Нормативы!$L$51, "КМС", IF(I384&lt;=Нормативы!$L$52, "I", IF(I384&lt;=Нормативы!$L$53, "II", IF(I384&lt;=Нормативы!$L$54, "III", IF(I384&lt;=Нормативы!$L$55, "I юн", IF(I384&lt;=Нормативы!$L$56, "II юн", IF(I384&lt;=Нормативы!$L$57, "III юн", "б/р")))))))))))</f>
        <v>III</v>
      </c>
    </row>
    <row r="385" spans="1:10" ht="15" customHeight="1" x14ac:dyDescent="0.25">
      <c r="A385" s="73"/>
      <c r="B385" s="90"/>
      <c r="C385" s="86"/>
      <c r="D385" s="87"/>
      <c r="E385" s="88"/>
      <c r="F385" s="89"/>
      <c r="G385" s="90"/>
      <c r="I385" s="90"/>
    </row>
    <row r="386" spans="1:10" ht="15" customHeight="1" x14ac:dyDescent="0.25">
      <c r="A386" s="47"/>
      <c r="C386" s="48" t="s">
        <v>234</v>
      </c>
      <c r="D386" s="47"/>
      <c r="E386" s="47"/>
      <c r="F386" s="47"/>
      <c r="G386" s="47"/>
      <c r="I386" s="47"/>
    </row>
    <row r="387" spans="1:10" ht="15" customHeight="1" x14ac:dyDescent="0.25">
      <c r="A387" s="57"/>
      <c r="B387" s="57"/>
      <c r="C387" s="58"/>
      <c r="D387" s="59"/>
      <c r="E387" s="60"/>
      <c r="F387" s="58"/>
      <c r="G387" s="47"/>
    </row>
    <row r="388" spans="1:10" ht="15" customHeight="1" x14ac:dyDescent="0.25">
      <c r="A388" s="61">
        <v>1</v>
      </c>
      <c r="B388" s="63" t="s">
        <v>76</v>
      </c>
      <c r="C388" s="65" t="s">
        <v>206</v>
      </c>
      <c r="E388" s="64">
        <v>41296</v>
      </c>
      <c r="F388" s="65" t="s">
        <v>112</v>
      </c>
      <c r="G388" s="65"/>
      <c r="I388" s="66">
        <v>49.81</v>
      </c>
      <c r="J388" s="91" t="str">
        <f>IF(ISBLANK(I388), " ", IF(ISTEXT(I388), " ", IF(I388&lt;=Нормативы!$H$49, "КМС", IF(I388&lt;=Нормативы!$H$50, "КМС", IF(I388&lt;=Нормативы!$L$51, "КМС", IF(I388&lt;=Нормативы!$L$52, "I", IF(I388&lt;=Нормативы!$L$53, "II", IF(I388&lt;=Нормативы!$L$54, "III", IF(I388&lt;=Нормативы!$L$55, "I юн", IF(I388&lt;=Нормативы!$L$56, "II юн", IF(I388&lt;=Нормативы!$L$57, "III юн", "б/р")))))))))))</f>
        <v>II</v>
      </c>
    </row>
    <row r="389" spans="1:10" ht="15" customHeight="1" x14ac:dyDescent="0.25">
      <c r="A389" s="61">
        <v>2</v>
      </c>
      <c r="B389" s="65" t="s">
        <v>84</v>
      </c>
      <c r="C389" s="65" t="s">
        <v>207</v>
      </c>
      <c r="E389" s="64">
        <v>41626</v>
      </c>
      <c r="F389" s="65" t="s">
        <v>112</v>
      </c>
      <c r="G389" s="65"/>
      <c r="I389" s="66">
        <v>50.43</v>
      </c>
      <c r="J389" s="91" t="str">
        <f>IF(ISBLANK(I389), " ", IF(ISTEXT(I389), " ", IF(I389&lt;=Нормативы!$H$49, "КМС", IF(I389&lt;=Нормативы!$H$50, "КМС", IF(I389&lt;=Нормативы!$L$51, "КМС", IF(I389&lt;=Нормативы!$L$52, "I", IF(I389&lt;=Нормативы!$L$53, "II", IF(I389&lt;=Нормативы!$L$54, "III", IF(I389&lt;=Нормативы!$L$55, "I юн", IF(I389&lt;=Нормативы!$L$56, "II юн", IF(I389&lt;=Нормативы!$L$57, "III юн", "б/р")))))))))))</f>
        <v>II</v>
      </c>
    </row>
    <row r="390" spans="1:10" ht="15" customHeight="1" x14ac:dyDescent="0.25">
      <c r="A390" s="61">
        <v>3</v>
      </c>
      <c r="B390" s="62" t="s">
        <v>84</v>
      </c>
      <c r="C390" s="63" t="s">
        <v>223</v>
      </c>
      <c r="E390" s="64">
        <v>41302</v>
      </c>
      <c r="F390" s="65" t="s">
        <v>110</v>
      </c>
      <c r="G390" s="65"/>
      <c r="I390" s="66">
        <v>54.96</v>
      </c>
      <c r="J390" s="91" t="str">
        <f>IF(ISBLANK(I390), " ", IF(ISTEXT(I390), " ", IF(I390&lt;=Нормативы!$H$49, "КМС", IF(I390&lt;=Нормативы!$H$50, "КМС", IF(I390&lt;=Нормативы!$L$51, "КМС", IF(I390&lt;=Нормативы!$L$52, "I", IF(I390&lt;=Нормативы!$L$53, "II", IF(I390&lt;=Нормативы!$L$54, "III", IF(I390&lt;=Нормативы!$L$55, "I юн", IF(I390&lt;=Нормативы!$L$56, "II юн", IF(I390&lt;=Нормативы!$L$57, "III юн", "б/р")))))))))))</f>
        <v>III</v>
      </c>
    </row>
    <row r="391" spans="1:10" ht="15" customHeight="1" x14ac:dyDescent="0.25">
      <c r="A391" s="61">
        <v>4</v>
      </c>
      <c r="B391" s="63" t="s">
        <v>84</v>
      </c>
      <c r="C391" s="65" t="s">
        <v>124</v>
      </c>
      <c r="E391" s="64">
        <v>41346</v>
      </c>
      <c r="F391" s="65" t="s">
        <v>112</v>
      </c>
      <c r="G391" s="65"/>
      <c r="I391" s="66">
        <v>55.13</v>
      </c>
      <c r="J391" s="91" t="str">
        <f>IF(ISBLANK(I391), " ", IF(ISTEXT(I391), " ", IF(I391&lt;=Нормативы!$H$49, "КМС", IF(I391&lt;=Нормативы!$H$50, "КМС", IF(I391&lt;=Нормативы!$L$51, "КМС", IF(I391&lt;=Нормативы!$L$52, "I", IF(I391&lt;=Нормативы!$L$53, "II", IF(I391&lt;=Нормативы!$L$54, "III", IF(I391&lt;=Нормативы!$L$55, "I юн", IF(I391&lt;=Нормативы!$L$56, "II юн", IF(I391&lt;=Нормативы!$L$57, "III юн", "б/р")))))))))))</f>
        <v>III</v>
      </c>
    </row>
    <row r="392" spans="1:10" ht="15" customHeight="1" x14ac:dyDescent="0.25">
      <c r="A392" s="61">
        <v>5</v>
      </c>
      <c r="B392" s="62" t="s">
        <v>84</v>
      </c>
      <c r="C392" s="63" t="s">
        <v>208</v>
      </c>
      <c r="E392" s="64">
        <v>41550</v>
      </c>
      <c r="F392" s="65" t="s">
        <v>78</v>
      </c>
      <c r="G392" s="65"/>
      <c r="I392" s="66">
        <v>100.07</v>
      </c>
      <c r="J392" s="91" t="str">
        <f>IF(ISBLANK(I392), " ", IF(ISTEXT(I392), " ", IF(I392&lt;=Нормативы!$H$49, "КМС", IF(I392&lt;=Нормативы!$H$50, "КМС", IF(I392&lt;=Нормативы!$L$51, "КМС", IF(I392&lt;=Нормативы!$L$52, "I", IF(I392&lt;=Нормативы!$L$53, "II", IF(I392&lt;=Нормативы!$L$54, "III", IF(I392&lt;=Нормативы!$L$55, "I юн", IF(I392&lt;=Нормативы!$L$56, "II юн", IF(I392&lt;=Нормативы!$L$57, "III юн", "б/р")))))))))))</f>
        <v>II юн</v>
      </c>
    </row>
    <row r="393" spans="1:10" ht="15" customHeight="1" x14ac:dyDescent="0.25">
      <c r="A393" s="61"/>
      <c r="B393" s="62" t="s">
        <v>94</v>
      </c>
      <c r="C393" s="63" t="s">
        <v>125</v>
      </c>
      <c r="E393" s="64">
        <v>41347</v>
      </c>
      <c r="F393" s="65" t="s">
        <v>110</v>
      </c>
      <c r="G393" s="65"/>
      <c r="I393" s="66" t="s">
        <v>196</v>
      </c>
    </row>
    <row r="394" spans="1:10" ht="15" customHeight="1" x14ac:dyDescent="0.25">
      <c r="A394" s="73"/>
      <c r="B394" s="107"/>
      <c r="C394" s="108"/>
      <c r="D394" s="108"/>
      <c r="E394" s="108"/>
      <c r="F394" s="108"/>
      <c r="G394" s="108"/>
    </row>
    <row r="395" spans="1:10" ht="15" customHeight="1" x14ac:dyDescent="0.25">
      <c r="A395" s="47"/>
      <c r="C395" s="48" t="s">
        <v>235</v>
      </c>
      <c r="D395" s="47"/>
      <c r="E395" s="47"/>
      <c r="F395" s="47"/>
      <c r="G395" s="47"/>
      <c r="I395" s="47"/>
    </row>
    <row r="396" spans="1:10" ht="15" customHeight="1" x14ac:dyDescent="0.25">
      <c r="A396" s="57"/>
      <c r="B396" s="57"/>
      <c r="C396" s="58"/>
      <c r="D396" s="59"/>
      <c r="E396" s="60"/>
      <c r="F396" s="58"/>
      <c r="G396" s="47"/>
      <c r="I396" s="47"/>
    </row>
    <row r="397" spans="1:10" ht="15" customHeight="1" x14ac:dyDescent="0.25">
      <c r="A397" s="61">
        <v>1</v>
      </c>
      <c r="B397" s="65" t="s">
        <v>94</v>
      </c>
      <c r="C397" s="65" t="s">
        <v>211</v>
      </c>
      <c r="E397" s="64">
        <v>40867</v>
      </c>
      <c r="F397" s="65" t="s">
        <v>78</v>
      </c>
      <c r="G397" s="65"/>
      <c r="I397" s="66">
        <v>49.54</v>
      </c>
      <c r="J397" s="91" t="str">
        <f>IF(ISBLANK(I397), " ", IF(ISTEXT(I397), " ", IF(I397&lt;=Нормативы!$H$60, "КМС", IF(I397&lt;=Нормативы!$H$61, "КМС", IF(I397&lt;=Нормативы!$L$62, "КМС", IF(I397&lt;=Нормативы!$L$63, "I", IF(I397&lt;=Нормативы!$L$64, "II", IF(I397&lt;=Нормативы!$L$65, "III", IF(I397&lt;=Нормативы!$L$66, "I юн", IF(I397&lt;=Нормативы!$L$67, "II юн", IF(I397&lt;=Нормативы!$L$68, "III юн", "б/р")))))))))))</f>
        <v>I юн</v>
      </c>
    </row>
    <row r="398" spans="1:10" ht="15" customHeight="1" x14ac:dyDescent="0.25">
      <c r="A398" s="73"/>
      <c r="B398" s="74"/>
      <c r="C398" s="74"/>
      <c r="E398" s="75"/>
      <c r="F398" s="74"/>
      <c r="G398" s="74"/>
      <c r="I398" s="76"/>
    </row>
    <row r="399" spans="1:10" ht="15" customHeight="1" x14ac:dyDescent="0.25">
      <c r="A399" s="47"/>
      <c r="C399" s="48" t="s">
        <v>236</v>
      </c>
      <c r="D399" s="47"/>
      <c r="E399" s="47"/>
      <c r="F399" s="47"/>
      <c r="G399" s="47"/>
      <c r="I399" s="47"/>
    </row>
    <row r="400" spans="1:10" ht="15" customHeight="1" x14ac:dyDescent="0.25">
      <c r="A400" s="47"/>
      <c r="C400" s="48"/>
      <c r="D400" s="47"/>
      <c r="E400" s="47"/>
      <c r="F400" s="47"/>
      <c r="G400" s="47"/>
      <c r="I400" s="47"/>
    </row>
    <row r="401" spans="1:10" ht="15" customHeight="1" x14ac:dyDescent="0.25">
      <c r="A401" s="61">
        <v>1</v>
      </c>
      <c r="B401" s="63" t="s">
        <v>84</v>
      </c>
      <c r="C401" s="65" t="s">
        <v>213</v>
      </c>
      <c r="E401" s="64">
        <v>40986</v>
      </c>
      <c r="F401" s="65" t="s">
        <v>78</v>
      </c>
      <c r="G401" s="65"/>
      <c r="I401" s="66">
        <v>46.96</v>
      </c>
      <c r="J401" s="91" t="str">
        <f>IF(ISBLANK(I401), " ", IF(ISTEXT(I401), " ", IF(I401&lt;=Нормативы!$H$60, "КМС", IF(I401&lt;=Нормативы!$H$61, "КМС", IF(I401&lt;=Нормативы!$L$62, "КМС", IF(I401&lt;=Нормативы!$L$63, "I", IF(I401&lt;=Нормативы!$L$64, "II", IF(I401&lt;=Нормативы!$L$65, "III", IF(I401&lt;=Нормативы!$L$66, "I юн", IF(I401&lt;=Нормативы!$L$67, "II юн", IF(I401&lt;=Нормативы!$L$68, "III юн", "б/р")))))))))))</f>
        <v>III</v>
      </c>
    </row>
    <row r="402" spans="1:10" ht="15" customHeight="1" x14ac:dyDescent="0.25">
      <c r="A402" s="61">
        <v>2</v>
      </c>
      <c r="B402" s="62" t="s">
        <v>84</v>
      </c>
      <c r="C402" s="63" t="s">
        <v>214</v>
      </c>
      <c r="E402" s="64">
        <v>41061</v>
      </c>
      <c r="F402" s="65" t="s">
        <v>78</v>
      </c>
      <c r="G402" s="65"/>
      <c r="I402" s="66">
        <v>49.54</v>
      </c>
      <c r="J402" s="91" t="str">
        <f>IF(ISBLANK(I402), " ", IF(ISTEXT(I402), " ", IF(I402&lt;=Нормативы!$H$60, "КМС", IF(I402&lt;=Нормативы!$H$61, "КМС", IF(I402&lt;=Нормативы!$L$62, "КМС", IF(I402&lt;=Нормативы!$L$63, "I", IF(I402&lt;=Нормативы!$L$64, "II", IF(I402&lt;=Нормативы!$L$65, "III", IF(I402&lt;=Нормативы!$L$66, "I юн", IF(I402&lt;=Нормативы!$L$67, "II юн", IF(I402&lt;=Нормативы!$L$68, "III юн", "б/р")))))))))))</f>
        <v>I юн</v>
      </c>
    </row>
    <row r="403" spans="1:10" ht="15" customHeight="1" x14ac:dyDescent="0.25">
      <c r="A403" s="61">
        <v>3</v>
      </c>
      <c r="B403" s="62" t="s">
        <v>94</v>
      </c>
      <c r="C403" s="63" t="s">
        <v>227</v>
      </c>
      <c r="E403" s="64">
        <v>41066</v>
      </c>
      <c r="F403" s="65" t="s">
        <v>112</v>
      </c>
      <c r="G403" s="65"/>
      <c r="I403" s="66">
        <v>52.32</v>
      </c>
      <c r="J403" s="91" t="str">
        <f>IF(ISBLANK(I403), " ", IF(ISTEXT(I403), " ", IF(I403&lt;=Нормативы!$H$60, "КМС", IF(I403&lt;=Нормативы!$H$61, "КМС", IF(I403&lt;=Нормативы!$L$62, "КМС", IF(I403&lt;=Нормативы!$L$63, "I", IF(I403&lt;=Нормативы!$L$64, "II", IF(I403&lt;=Нормативы!$L$65, "III", IF(I403&lt;=Нормативы!$L$66, "I юн", IF(I403&lt;=Нормативы!$L$67, "II юн", IF(I403&lt;=Нормативы!$L$68, "III юн", "б/р")))))))))))</f>
        <v>I юн</v>
      </c>
    </row>
    <row r="404" spans="1:10" ht="15" customHeight="1" x14ac:dyDescent="0.25">
      <c r="A404" s="73"/>
      <c r="B404" s="90"/>
      <c r="C404" s="86"/>
      <c r="D404" s="87"/>
      <c r="E404" s="88"/>
      <c r="F404" s="89"/>
      <c r="G404" s="90"/>
      <c r="I404" s="90"/>
    </row>
    <row r="405" spans="1:10" ht="15" customHeight="1" x14ac:dyDescent="0.25">
      <c r="A405" s="47"/>
      <c r="C405" s="48" t="s">
        <v>237</v>
      </c>
      <c r="D405" s="47"/>
      <c r="E405" s="47"/>
      <c r="F405" s="47"/>
      <c r="G405" s="47"/>
      <c r="I405" s="47"/>
    </row>
    <row r="406" spans="1:10" ht="15" customHeight="1" x14ac:dyDescent="0.25">
      <c r="A406" s="57"/>
      <c r="B406" s="57"/>
      <c r="C406" s="58"/>
      <c r="D406" s="59"/>
      <c r="E406" s="60"/>
      <c r="F406" s="58"/>
      <c r="G406" s="47"/>
      <c r="I406" s="47"/>
    </row>
    <row r="407" spans="1:10" ht="15" customHeight="1" x14ac:dyDescent="0.25">
      <c r="A407" s="61">
        <v>1</v>
      </c>
      <c r="B407" s="62" t="s">
        <v>94</v>
      </c>
      <c r="C407" s="63" t="s">
        <v>177</v>
      </c>
      <c r="E407" s="64">
        <v>41521</v>
      </c>
      <c r="F407" s="65" t="s">
        <v>112</v>
      </c>
      <c r="G407" s="65"/>
      <c r="I407" s="66">
        <v>52.2</v>
      </c>
      <c r="J407" s="91" t="str">
        <f>IF(ISBLANK(I407), " ", IF(ISTEXT(I407), " ", IF(I407&lt;=Нормативы!$H$60, "КМС", IF(I407&lt;=Нормативы!$H$61, "КМС", IF(I407&lt;=Нормативы!$L$62, "КМС", IF(I407&lt;=Нормативы!$L$63, "I", IF(I407&lt;=Нормативы!$L$64, "II", IF(I407&lt;=Нормативы!$L$65, "III", IF(I407&lt;=Нормативы!$L$66, "I юн", IF(I407&lt;=Нормативы!$L$67, "II юн", IF(I407&lt;=Нормативы!$L$68, "III юн", "б/р")))))))))))</f>
        <v>I юн</v>
      </c>
    </row>
    <row r="408" spans="1:10" ht="15" customHeight="1" x14ac:dyDescent="0.25">
      <c r="A408" s="61">
        <v>2</v>
      </c>
      <c r="B408" s="65" t="s">
        <v>100</v>
      </c>
      <c r="C408" s="65" t="s">
        <v>216</v>
      </c>
      <c r="E408" s="70">
        <v>41584</v>
      </c>
      <c r="F408" s="65" t="s">
        <v>98</v>
      </c>
      <c r="G408" s="65"/>
      <c r="I408" s="66">
        <v>52.53</v>
      </c>
      <c r="J408" s="91" t="str">
        <f>IF(ISBLANK(I408), " ", IF(ISTEXT(I408), " ", IF(I408&lt;=Нормативы!$H$60, "КМС", IF(I408&lt;=Нормативы!$H$61, "КМС", IF(I408&lt;=Нормативы!$L$62, "КМС", IF(I408&lt;=Нормативы!$L$63, "I", IF(I408&lt;=Нормативы!$L$64, "II", IF(I408&lt;=Нормативы!$L$65, "III", IF(I408&lt;=Нормативы!$L$66, "I юн", IF(I408&lt;=Нормативы!$L$67, "II юн", IF(I408&lt;=Нормативы!$L$68, "III юн", "б/р")))))))))))</f>
        <v>I юн</v>
      </c>
    </row>
    <row r="409" spans="1:10" ht="15" customHeight="1" x14ac:dyDescent="0.25">
      <c r="A409" s="61">
        <v>3</v>
      </c>
      <c r="B409" s="62" t="s">
        <v>84</v>
      </c>
      <c r="C409" s="63" t="s">
        <v>230</v>
      </c>
      <c r="E409" s="64">
        <v>41319</v>
      </c>
      <c r="F409" s="65" t="s">
        <v>112</v>
      </c>
      <c r="G409" s="65"/>
      <c r="I409" s="66">
        <v>52.55</v>
      </c>
      <c r="J409" s="91" t="str">
        <f>IF(ISBLANK(I409), " ", IF(ISTEXT(I409), " ", IF(I409&lt;=Нормативы!$H$60, "КМС", IF(I409&lt;=Нормативы!$H$61, "КМС", IF(I409&lt;=Нормативы!$L$62, "КМС", IF(I409&lt;=Нормативы!$L$63, "I", IF(I409&lt;=Нормативы!$L$64, "II", IF(I409&lt;=Нормативы!$L$65, "III", IF(I409&lt;=Нормативы!$L$66, "I юн", IF(I409&lt;=Нормативы!$L$67, "II юн", IF(I409&lt;=Нормативы!$L$68, "III юн", "б/р")))))))))))</f>
        <v>I юн</v>
      </c>
    </row>
    <row r="410" spans="1:10" ht="15" customHeight="1" x14ac:dyDescent="0.25">
      <c r="A410" s="61">
        <v>4</v>
      </c>
      <c r="B410" s="63" t="s">
        <v>88</v>
      </c>
      <c r="C410" s="65" t="s">
        <v>217</v>
      </c>
      <c r="E410" s="64">
        <v>41452</v>
      </c>
      <c r="F410" s="65" t="s">
        <v>90</v>
      </c>
      <c r="G410" s="65"/>
      <c r="I410" s="66">
        <v>57.59</v>
      </c>
      <c r="J410" s="91" t="str">
        <f>IF(ISBLANK(I410), " ", IF(ISTEXT(I410), " ", IF(I410&lt;=Нормативы!$H$60, "КМС", IF(I410&lt;=Нормативы!$H$61, "КМС", IF(I410&lt;=Нормативы!$L$62, "КМС", IF(I410&lt;=Нормативы!$L$63, "I", IF(I410&lt;=Нормативы!$L$64, "II", IF(I410&lt;=Нормативы!$L$65, "III", IF(I410&lt;=Нормативы!$L$66, "I юн", IF(I410&lt;=Нормативы!$L$67, "II юн", IF(I410&lt;=Нормативы!$L$68, "III юн", "б/р")))))))))))</f>
        <v>II юн</v>
      </c>
    </row>
    <row r="411" spans="1:10" ht="15" customHeight="1" x14ac:dyDescent="0.25">
      <c r="A411" s="61">
        <v>5</v>
      </c>
      <c r="B411" s="63" t="s">
        <v>100</v>
      </c>
      <c r="C411" s="65" t="s">
        <v>231</v>
      </c>
      <c r="E411" s="64">
        <v>41462</v>
      </c>
      <c r="F411" s="65" t="s">
        <v>110</v>
      </c>
      <c r="G411" s="65"/>
      <c r="I411" s="66">
        <v>108.34</v>
      </c>
      <c r="J411" s="91" t="str">
        <f>IF(ISBLANK(I411), " ", IF(ISTEXT(I411), " ", IF(I411&lt;=Нормативы!$H$60, "КМС", IF(I411&lt;=Нормативы!$H$61, "КМС", IF(I411&lt;=Нормативы!$L$62, "КМС", IF(I411&lt;=Нормативы!$L$63, "I", IF(I411&lt;=Нормативы!$L$64, "II", IF(I411&lt;=Нормативы!$L$65, "III", IF(I411&lt;=Нормативы!$L$66, "I юн", IF(I411&lt;=Нормативы!$L$67, "II юн", IF(I411&lt;=Нормативы!$L$68, "III юн", "б/р")))))))))))</f>
        <v>б/р</v>
      </c>
    </row>
    <row r="412" spans="1:10" ht="15" customHeight="1" x14ac:dyDescent="0.25">
      <c r="A412" s="61">
        <v>6</v>
      </c>
      <c r="B412" s="62" t="s">
        <v>117</v>
      </c>
      <c r="C412" s="63" t="s">
        <v>187</v>
      </c>
      <c r="E412" s="64">
        <v>41607</v>
      </c>
      <c r="F412" s="65" t="s">
        <v>112</v>
      </c>
      <c r="G412" s="65"/>
      <c r="I412" s="66">
        <v>112.64</v>
      </c>
      <c r="J412" s="91" t="str">
        <f>IF(ISBLANK(I412), " ", IF(ISTEXT(I412), " ", IF(I412&lt;=Нормативы!$H$60, "КМС", IF(I412&lt;=Нормативы!$H$61, "КМС", IF(I412&lt;=Нормативы!$L$62, "КМС", IF(I412&lt;=Нормативы!$L$63, "I", IF(I412&lt;=Нормативы!$L$64, "II", IF(I412&lt;=Нормативы!$L$65, "III", IF(I412&lt;=Нормативы!$L$66, "I юн", IF(I412&lt;=Нормативы!$L$67, "II юн", IF(I412&lt;=Нормативы!$L$68, "III юн", "б/р")))))))))))</f>
        <v>б/р</v>
      </c>
    </row>
    <row r="413" spans="1:10" ht="15" customHeight="1" x14ac:dyDescent="0.25">
      <c r="A413" s="47"/>
      <c r="C413" s="48"/>
      <c r="D413" s="47"/>
      <c r="E413" s="47"/>
      <c r="F413" s="47"/>
      <c r="G413" s="47"/>
      <c r="I413" s="47"/>
    </row>
    <row r="414" spans="1:10" ht="15" customHeight="1" x14ac:dyDescent="0.25">
      <c r="A414" s="57"/>
      <c r="B414" s="57"/>
      <c r="C414" s="58"/>
      <c r="D414" s="59"/>
      <c r="E414" s="60"/>
      <c r="F414" s="58"/>
      <c r="G414" s="47"/>
      <c r="I414" s="47"/>
    </row>
    <row r="415" spans="1:10" ht="15" customHeight="1" x14ac:dyDescent="0.25">
      <c r="A415" s="73"/>
      <c r="B415" s="4"/>
      <c r="C415" s="86"/>
      <c r="D415" s="87"/>
      <c r="E415" s="88"/>
      <c r="F415" s="89"/>
      <c r="G415" s="90"/>
      <c r="I415" s="90"/>
    </row>
    <row r="416" spans="1:10" ht="15" customHeight="1" x14ac:dyDescent="0.25">
      <c r="A416" s="73"/>
      <c r="B416" s="90"/>
      <c r="C416" s="86"/>
      <c r="D416" s="87"/>
      <c r="E416" s="88"/>
      <c r="F416" s="89"/>
      <c r="G416" s="90"/>
      <c r="I416" s="90"/>
    </row>
    <row r="417" spans="1:9" ht="15" customHeight="1" x14ac:dyDescent="0.25">
      <c r="A417" s="73"/>
      <c r="B417" s="4"/>
      <c r="C417" s="86"/>
      <c r="D417" s="87"/>
      <c r="E417" s="88"/>
      <c r="F417" s="89"/>
      <c r="G417" s="90"/>
      <c r="I417" s="90"/>
    </row>
    <row r="418" spans="1:9" ht="15" customHeight="1" x14ac:dyDescent="0.25">
      <c r="A418" s="73"/>
      <c r="B418" s="4"/>
      <c r="C418" s="86"/>
      <c r="D418" s="87"/>
      <c r="E418" s="88"/>
      <c r="F418" s="89"/>
      <c r="G418" s="90"/>
      <c r="I418" s="90"/>
    </row>
    <row r="419" spans="1:9" ht="15" customHeight="1" x14ac:dyDescent="0.25">
      <c r="A419" s="73"/>
      <c r="B419" s="90"/>
      <c r="C419" s="86"/>
      <c r="D419" s="87"/>
      <c r="E419" s="88"/>
      <c r="F419" s="89"/>
      <c r="G419" s="90"/>
      <c r="I419" s="90"/>
    </row>
    <row r="420" spans="1:9" ht="15" customHeight="1" x14ac:dyDescent="0.25">
      <c r="A420" s="73"/>
      <c r="B420" s="4"/>
      <c r="C420" s="86"/>
      <c r="D420" s="87"/>
      <c r="E420" s="88"/>
      <c r="F420" s="89"/>
      <c r="G420" s="90"/>
      <c r="I420" s="90"/>
    </row>
    <row r="421" spans="1:9" ht="15" customHeight="1" x14ac:dyDescent="0.25">
      <c r="A421" s="47"/>
      <c r="B421" s="47"/>
      <c r="C421" s="48"/>
      <c r="D421" s="47"/>
      <c r="E421" s="47"/>
      <c r="F421" s="47"/>
      <c r="G421" s="47"/>
    </row>
    <row r="422" spans="1:9" ht="15" customHeight="1" x14ac:dyDescent="0.25">
      <c r="A422" s="47"/>
      <c r="C422" s="48"/>
      <c r="D422" s="47"/>
      <c r="E422" s="47"/>
      <c r="F422" s="47"/>
      <c r="G422" s="47"/>
      <c r="I422" s="47"/>
    </row>
    <row r="423" spans="1:9" ht="15" customHeight="1" x14ac:dyDescent="0.25">
      <c r="A423" s="57"/>
      <c r="B423" s="57"/>
      <c r="C423" s="58"/>
      <c r="D423" s="59"/>
      <c r="E423" s="60"/>
      <c r="F423" s="58"/>
      <c r="G423" s="47"/>
      <c r="I423" s="47"/>
    </row>
    <row r="424" spans="1:9" ht="15" customHeight="1" x14ac:dyDescent="0.25">
      <c r="A424" s="73"/>
      <c r="B424" s="96"/>
      <c r="C424" s="86"/>
      <c r="D424" s="87"/>
      <c r="E424" s="88"/>
      <c r="F424" s="89"/>
      <c r="G424" s="90"/>
      <c r="I424" s="97"/>
    </row>
    <row r="425" spans="1:9" ht="15" customHeight="1" x14ac:dyDescent="0.25">
      <c r="A425" s="73"/>
      <c r="B425" s="4"/>
      <c r="C425" s="86"/>
      <c r="D425" s="87"/>
      <c r="E425" s="88"/>
      <c r="F425" s="89"/>
      <c r="G425" s="90"/>
      <c r="I425" s="90"/>
    </row>
    <row r="426" spans="1:9" ht="15" customHeight="1" x14ac:dyDescent="0.25">
      <c r="A426" s="73"/>
      <c r="B426" s="90"/>
      <c r="C426" s="86"/>
      <c r="D426" s="87"/>
      <c r="E426" s="88"/>
      <c r="F426" s="89"/>
      <c r="G426" s="90"/>
      <c r="I426" s="90"/>
    </row>
    <row r="427" spans="1:9" ht="15" customHeight="1" x14ac:dyDescent="0.25">
      <c r="A427" s="73"/>
      <c r="B427" s="4"/>
      <c r="C427" s="86"/>
      <c r="D427" s="87"/>
      <c r="E427" s="88"/>
      <c r="F427" s="89"/>
      <c r="G427" s="90"/>
      <c r="I427" s="90"/>
    </row>
    <row r="428" spans="1:9" ht="15" customHeight="1" x14ac:dyDescent="0.25">
      <c r="A428" s="73"/>
      <c r="B428" s="90"/>
      <c r="C428" s="86"/>
      <c r="D428" s="87"/>
      <c r="E428" s="88"/>
      <c r="F428" s="89"/>
      <c r="G428" s="90"/>
      <c r="I428" s="90"/>
    </row>
    <row r="429" spans="1:9" ht="15" customHeight="1" x14ac:dyDescent="0.25">
      <c r="A429" s="73"/>
      <c r="B429" s="96"/>
      <c r="C429" s="86"/>
      <c r="D429" s="87"/>
      <c r="E429" s="88"/>
      <c r="F429" s="89"/>
      <c r="G429" s="90"/>
      <c r="I429" s="97"/>
    </row>
    <row r="430" spans="1:9" ht="15" customHeight="1" x14ac:dyDescent="0.25">
      <c r="A430" s="57"/>
      <c r="B430" s="57"/>
      <c r="C430" s="58"/>
      <c r="D430" s="59"/>
      <c r="E430" s="60"/>
      <c r="F430" s="58"/>
      <c r="G430" s="47"/>
      <c r="I430" s="47"/>
    </row>
    <row r="431" spans="1:9" ht="15" customHeight="1" x14ac:dyDescent="0.25">
      <c r="A431" s="73"/>
      <c r="B431" s="96"/>
      <c r="C431" s="86"/>
      <c r="D431" s="87"/>
      <c r="E431" s="88"/>
      <c r="F431" s="89"/>
      <c r="G431" s="90"/>
      <c r="I431" s="97"/>
    </row>
    <row r="432" spans="1:9" ht="15" customHeight="1" x14ac:dyDescent="0.25">
      <c r="A432" s="73"/>
      <c r="B432" s="90"/>
      <c r="C432" s="86"/>
      <c r="D432" s="87"/>
      <c r="E432" s="88"/>
      <c r="F432" s="89"/>
      <c r="G432" s="90"/>
      <c r="I432" s="90"/>
    </row>
    <row r="433" spans="1:9" ht="15" customHeight="1" x14ac:dyDescent="0.25">
      <c r="A433" s="73"/>
      <c r="B433" s="90"/>
      <c r="C433" s="86"/>
      <c r="D433" s="87"/>
      <c r="E433" s="88"/>
      <c r="F433" s="89"/>
      <c r="G433" s="90"/>
      <c r="I433" s="90"/>
    </row>
    <row r="434" spans="1:9" ht="15" customHeight="1" x14ac:dyDescent="0.25">
      <c r="A434" s="73"/>
      <c r="B434" s="90"/>
      <c r="C434" s="86"/>
      <c r="D434" s="87"/>
      <c r="E434" s="88"/>
      <c r="F434" s="89"/>
      <c r="G434" s="90"/>
      <c r="I434" s="90"/>
    </row>
    <row r="435" spans="1:9" ht="15" customHeight="1" x14ac:dyDescent="0.25">
      <c r="A435" s="73"/>
      <c r="B435" s="96"/>
      <c r="C435" s="86"/>
      <c r="D435" s="87"/>
      <c r="E435" s="88"/>
      <c r="F435" s="89"/>
      <c r="G435" s="90"/>
      <c r="I435" s="97"/>
    </row>
    <row r="436" spans="1:9" ht="15" customHeight="1" x14ac:dyDescent="0.25">
      <c r="A436" s="73"/>
      <c r="B436" s="96"/>
      <c r="C436" s="86"/>
      <c r="D436" s="87"/>
      <c r="E436" s="88"/>
      <c r="F436" s="89"/>
      <c r="G436" s="90"/>
      <c r="I436" s="97"/>
    </row>
    <row r="437" spans="1:9" ht="15" customHeight="1" x14ac:dyDescent="0.25">
      <c r="A437" s="47"/>
      <c r="C437" s="48"/>
      <c r="D437" s="47"/>
      <c r="E437" s="47"/>
      <c r="F437" s="47"/>
      <c r="G437" s="47"/>
      <c r="I437" s="47"/>
    </row>
    <row r="438" spans="1:9" ht="15" customHeight="1" x14ac:dyDescent="0.25">
      <c r="A438" s="57"/>
      <c r="B438" s="57"/>
      <c r="C438" s="58"/>
      <c r="D438" s="59"/>
      <c r="E438" s="60"/>
      <c r="F438" s="58"/>
      <c r="G438" s="47"/>
      <c r="I438" s="47"/>
    </row>
    <row r="439" spans="1:9" ht="15" customHeight="1" x14ac:dyDescent="0.25">
      <c r="A439" s="73"/>
      <c r="B439" s="90"/>
      <c r="C439" s="86"/>
      <c r="D439" s="87"/>
      <c r="E439" s="88"/>
      <c r="F439" s="89"/>
      <c r="G439" s="90"/>
      <c r="I439" s="90"/>
    </row>
    <row r="440" spans="1:9" ht="15" customHeight="1" x14ac:dyDescent="0.25">
      <c r="A440" s="73"/>
      <c r="B440" s="90"/>
      <c r="C440" s="86"/>
      <c r="D440" s="87"/>
      <c r="E440" s="88"/>
      <c r="F440" s="89"/>
      <c r="G440" s="90"/>
      <c r="I440" s="90"/>
    </row>
    <row r="441" spans="1:9" ht="15" customHeight="1" x14ac:dyDescent="0.25">
      <c r="A441" s="73"/>
      <c r="B441" s="90"/>
      <c r="C441" s="86"/>
      <c r="D441" s="87"/>
      <c r="E441" s="88"/>
      <c r="F441" s="89"/>
      <c r="G441" s="90"/>
      <c r="I441" s="90"/>
    </row>
    <row r="442" spans="1:9" ht="15" customHeight="1" x14ac:dyDescent="0.25">
      <c r="A442" s="73"/>
      <c r="B442" s="90"/>
      <c r="C442" s="86"/>
      <c r="D442" s="87"/>
      <c r="E442" s="88"/>
      <c r="F442" s="89"/>
      <c r="G442" s="90"/>
      <c r="I442" s="90"/>
    </row>
    <row r="443" spans="1:9" ht="15" customHeight="1" x14ac:dyDescent="0.25">
      <c r="A443" s="73"/>
      <c r="B443" s="90"/>
      <c r="C443" s="86"/>
      <c r="D443" s="87"/>
      <c r="E443" s="88"/>
      <c r="F443" s="89"/>
      <c r="G443" s="90"/>
      <c r="I443" s="90"/>
    </row>
    <row r="444" spans="1:9" ht="15" customHeight="1" x14ac:dyDescent="0.25">
      <c r="A444" s="73"/>
      <c r="B444" s="90"/>
      <c r="C444" s="86"/>
      <c r="D444" s="87"/>
      <c r="E444" s="88"/>
      <c r="F444" s="89"/>
      <c r="G444" s="90"/>
      <c r="I444" s="90"/>
    </row>
    <row r="445" spans="1:9" ht="15" customHeight="1" x14ac:dyDescent="0.25">
      <c r="A445" s="73"/>
      <c r="B445" s="90"/>
      <c r="C445" s="86"/>
      <c r="D445" s="87"/>
      <c r="E445" s="88"/>
      <c r="F445" s="89"/>
      <c r="G445" s="90"/>
      <c r="I445" s="90"/>
    </row>
    <row r="446" spans="1:9" ht="15" customHeight="1" x14ac:dyDescent="0.25">
      <c r="A446" s="47"/>
      <c r="C446" s="48"/>
      <c r="D446" s="47"/>
      <c r="E446" s="47"/>
      <c r="F446" s="47"/>
      <c r="G446" s="47"/>
      <c r="I446" s="47"/>
    </row>
    <row r="447" spans="1:9" ht="15" customHeight="1" x14ac:dyDescent="0.25">
      <c r="A447" s="57"/>
      <c r="B447" s="57"/>
      <c r="C447" s="58"/>
      <c r="D447" s="59"/>
      <c r="E447" s="60"/>
      <c r="F447" s="58"/>
      <c r="G447" s="47"/>
      <c r="I447" s="47"/>
    </row>
    <row r="448" spans="1:9" ht="15" customHeight="1" x14ac:dyDescent="0.25">
      <c r="A448" s="73"/>
      <c r="B448" s="90"/>
      <c r="C448" s="86"/>
      <c r="D448" s="87"/>
      <c r="E448" s="88"/>
      <c r="F448" s="89"/>
      <c r="G448" s="90"/>
      <c r="I448" s="90"/>
    </row>
    <row r="449" spans="1:9" ht="15" customHeight="1" x14ac:dyDescent="0.25">
      <c r="A449" s="73"/>
      <c r="B449" s="90"/>
      <c r="C449" s="86"/>
      <c r="D449" s="87"/>
      <c r="E449" s="88"/>
      <c r="F449" s="89"/>
      <c r="G449" s="90"/>
      <c r="I449" s="90"/>
    </row>
    <row r="450" spans="1:9" ht="15" customHeight="1" x14ac:dyDescent="0.25">
      <c r="A450" s="73"/>
      <c r="B450" s="90"/>
      <c r="C450" s="86"/>
      <c r="D450" s="87"/>
      <c r="E450" s="88"/>
      <c r="F450" s="89"/>
      <c r="G450" s="90"/>
      <c r="I450" s="90"/>
    </row>
    <row r="451" spans="1:9" ht="15" customHeight="1" x14ac:dyDescent="0.25">
      <c r="A451" s="73"/>
      <c r="B451" s="90"/>
      <c r="C451" s="86"/>
      <c r="D451" s="87"/>
      <c r="E451" s="88"/>
      <c r="F451" s="89"/>
      <c r="G451" s="90"/>
      <c r="I451" s="90"/>
    </row>
    <row r="452" spans="1:9" ht="15" customHeight="1" x14ac:dyDescent="0.25">
      <c r="A452" s="73"/>
      <c r="B452" s="4"/>
      <c r="C452" s="86"/>
      <c r="D452" s="87"/>
      <c r="E452" s="88"/>
      <c r="F452" s="89"/>
      <c r="G452" s="90"/>
      <c r="I452" s="90"/>
    </row>
    <row r="453" spans="1:9" ht="15" customHeight="1" x14ac:dyDescent="0.25">
      <c r="A453" s="73"/>
      <c r="B453" s="90"/>
      <c r="C453" s="86"/>
      <c r="D453" s="87"/>
      <c r="E453" s="88"/>
      <c r="F453" s="89"/>
      <c r="G453" s="90"/>
      <c r="I453" s="90"/>
    </row>
    <row r="454" spans="1:9" ht="15" customHeight="1" x14ac:dyDescent="0.25">
      <c r="A454" s="73"/>
      <c r="B454" s="57"/>
      <c r="C454" s="109"/>
      <c r="D454" s="109"/>
      <c r="E454" s="109"/>
      <c r="F454" s="109"/>
      <c r="G454" s="109"/>
    </row>
    <row r="455" spans="1:9" ht="15" customHeight="1" x14ac:dyDescent="0.25">
      <c r="A455" s="47"/>
      <c r="B455" s="47"/>
      <c r="C455" s="48"/>
      <c r="D455" s="47"/>
      <c r="E455" s="47"/>
      <c r="F455" s="47"/>
      <c r="G455" s="47"/>
      <c r="I455" s="47"/>
    </row>
    <row r="456" spans="1:9" ht="15" customHeight="1" x14ac:dyDescent="0.25">
      <c r="A456" s="57"/>
      <c r="B456" s="57"/>
      <c r="C456" s="58"/>
      <c r="D456" s="59"/>
      <c r="E456" s="60"/>
      <c r="F456" s="58"/>
      <c r="G456" s="47"/>
      <c r="I456" s="47"/>
    </row>
    <row r="457" spans="1:9" ht="15" customHeight="1" x14ac:dyDescent="0.25">
      <c r="A457" s="73"/>
      <c r="B457" s="96"/>
      <c r="C457" s="86"/>
      <c r="D457" s="87"/>
      <c r="E457" s="90"/>
      <c r="F457" s="89"/>
      <c r="G457" s="90"/>
      <c r="I457" s="97"/>
    </row>
    <row r="458" spans="1:9" ht="15" customHeight="1" x14ac:dyDescent="0.25">
      <c r="A458" s="73"/>
      <c r="B458" s="96"/>
      <c r="C458" s="86"/>
      <c r="D458" s="87"/>
      <c r="E458" s="88"/>
      <c r="F458" s="89"/>
      <c r="G458" s="90"/>
      <c r="I458" s="97"/>
    </row>
    <row r="459" spans="1:9" ht="15" customHeight="1" x14ac:dyDescent="0.25">
      <c r="A459" s="73"/>
      <c r="B459" s="4"/>
      <c r="C459" s="86"/>
      <c r="D459" s="87"/>
      <c r="E459" s="88"/>
      <c r="F459" s="89"/>
      <c r="G459" s="90"/>
      <c r="I459" s="97"/>
    </row>
    <row r="460" spans="1:9" ht="15" customHeight="1" x14ac:dyDescent="0.25">
      <c r="A460" s="73"/>
      <c r="B460" s="4"/>
      <c r="C460" s="86"/>
      <c r="D460" s="87"/>
      <c r="E460" s="88"/>
      <c r="F460" s="89"/>
      <c r="G460" s="90"/>
      <c r="I460" s="97"/>
    </row>
    <row r="461" spans="1:9" ht="15" customHeight="1" x14ac:dyDescent="0.25">
      <c r="A461" s="73"/>
      <c r="B461" s="96"/>
      <c r="C461" s="86"/>
      <c r="D461" s="87"/>
      <c r="E461" s="88"/>
      <c r="F461" s="89"/>
      <c r="G461" s="90"/>
      <c r="I461" s="97"/>
    </row>
    <row r="462" spans="1:9" ht="15" customHeight="1" x14ac:dyDescent="0.25">
      <c r="A462" s="73"/>
      <c r="B462" s="96"/>
      <c r="C462" s="86"/>
      <c r="D462" s="87"/>
      <c r="E462" s="88"/>
      <c r="F462" s="89"/>
      <c r="G462" s="90"/>
      <c r="I462" s="97"/>
    </row>
    <row r="463" spans="1:9" ht="15" customHeight="1" x14ac:dyDescent="0.25">
      <c r="A463" s="47"/>
      <c r="B463" s="47"/>
      <c r="C463" s="48"/>
      <c r="D463" s="47"/>
      <c r="E463" s="47"/>
      <c r="F463" s="47"/>
      <c r="G463" s="47"/>
      <c r="I463" s="47"/>
    </row>
    <row r="464" spans="1:9" ht="15" customHeight="1" x14ac:dyDescent="0.25">
      <c r="A464" s="57"/>
      <c r="B464" s="57"/>
      <c r="C464" s="58"/>
      <c r="D464" s="59"/>
      <c r="E464" s="60"/>
      <c r="F464" s="58"/>
      <c r="G464" s="47"/>
      <c r="I464" s="47"/>
    </row>
    <row r="465" spans="1:9" ht="15" customHeight="1" x14ac:dyDescent="0.25">
      <c r="A465" s="73"/>
      <c r="B465" s="96"/>
      <c r="C465" s="86"/>
      <c r="D465" s="87"/>
      <c r="E465" s="88"/>
      <c r="F465" s="89"/>
      <c r="G465" s="90"/>
      <c r="I465" s="97"/>
    </row>
    <row r="466" spans="1:9" ht="15" customHeight="1" x14ac:dyDescent="0.25">
      <c r="A466" s="73"/>
      <c r="B466" s="96"/>
      <c r="C466" s="86"/>
      <c r="D466" s="87"/>
      <c r="E466" s="88"/>
      <c r="F466" s="89"/>
      <c r="G466" s="90"/>
      <c r="I466" s="97"/>
    </row>
    <row r="467" spans="1:9" ht="15" customHeight="1" x14ac:dyDescent="0.25">
      <c r="A467" s="73"/>
      <c r="B467" s="96"/>
      <c r="C467" s="86"/>
      <c r="D467" s="87"/>
      <c r="E467" s="88"/>
      <c r="F467" s="89"/>
      <c r="G467" s="90"/>
      <c r="I467" s="97"/>
    </row>
    <row r="468" spans="1:9" ht="15" customHeight="1" x14ac:dyDescent="0.25">
      <c r="A468" s="73"/>
      <c r="B468" s="96"/>
      <c r="C468" s="86"/>
      <c r="D468" s="87"/>
      <c r="E468" s="88"/>
      <c r="F468" s="89"/>
      <c r="G468" s="90"/>
      <c r="I468" s="97"/>
    </row>
    <row r="469" spans="1:9" ht="15" customHeight="1" x14ac:dyDescent="0.25">
      <c r="A469" s="73"/>
      <c r="B469" s="96"/>
      <c r="C469" s="86"/>
      <c r="D469" s="87"/>
      <c r="E469" s="88"/>
      <c r="F469" s="89"/>
      <c r="G469" s="90"/>
      <c r="I469" s="97"/>
    </row>
    <row r="470" spans="1:9" ht="15" customHeight="1" x14ac:dyDescent="0.25">
      <c r="A470" s="73"/>
      <c r="B470" s="96"/>
      <c r="C470" s="86"/>
      <c r="D470" s="87"/>
      <c r="E470" s="88"/>
      <c r="F470" s="89"/>
      <c r="G470" s="90"/>
      <c r="I470" s="97"/>
    </row>
    <row r="471" spans="1:9" ht="15" customHeight="1" x14ac:dyDescent="0.25">
      <c r="A471" s="73"/>
      <c r="B471" s="57"/>
      <c r="C471" s="109"/>
      <c r="D471" s="109"/>
      <c r="E471" s="109"/>
      <c r="F471" s="109"/>
      <c r="G471" s="109"/>
    </row>
    <row r="472" spans="1:9" ht="15" customHeight="1" x14ac:dyDescent="0.25">
      <c r="A472" s="57"/>
      <c r="B472" s="57"/>
      <c r="C472" s="58"/>
      <c r="D472" s="59"/>
      <c r="E472" s="60"/>
      <c r="F472" s="58"/>
      <c r="G472" s="47"/>
      <c r="I472" s="47"/>
    </row>
    <row r="473" spans="1:9" ht="15" customHeight="1" x14ac:dyDescent="0.25">
      <c r="A473" s="73"/>
      <c r="B473" s="96"/>
      <c r="C473" s="86"/>
      <c r="D473" s="87"/>
      <c r="E473" s="88"/>
      <c r="F473" s="89"/>
      <c r="G473" s="90"/>
      <c r="I473" s="97"/>
    </row>
    <row r="474" spans="1:9" ht="15" customHeight="1" x14ac:dyDescent="0.25">
      <c r="A474" s="73"/>
      <c r="B474" s="4"/>
      <c r="C474" s="86"/>
      <c r="D474" s="87"/>
      <c r="E474" s="88"/>
      <c r="F474" s="89"/>
      <c r="G474" s="90"/>
      <c r="I474" s="97"/>
    </row>
    <row r="475" spans="1:9" ht="15" customHeight="1" x14ac:dyDescent="0.25">
      <c r="A475" s="73"/>
      <c r="B475" s="96"/>
      <c r="C475" s="86"/>
      <c r="D475" s="87"/>
      <c r="E475" s="88"/>
      <c r="F475" s="89"/>
      <c r="G475" s="90"/>
      <c r="I475" s="97"/>
    </row>
    <row r="476" spans="1:9" ht="15" customHeight="1" x14ac:dyDescent="0.25">
      <c r="A476" s="73"/>
      <c r="B476" s="96"/>
      <c r="C476" s="86"/>
      <c r="D476" s="87"/>
      <c r="E476" s="88"/>
      <c r="F476" s="89"/>
      <c r="G476" s="90"/>
      <c r="I476" s="97"/>
    </row>
    <row r="477" spans="1:9" ht="15" customHeight="1" x14ac:dyDescent="0.25">
      <c r="A477" s="73"/>
      <c r="B477" s="96"/>
      <c r="C477" s="86"/>
      <c r="D477" s="87"/>
      <c r="E477" s="88"/>
      <c r="F477" s="89"/>
      <c r="G477" s="90"/>
      <c r="I477" s="97"/>
    </row>
    <row r="478" spans="1:9" ht="15" customHeight="1" x14ac:dyDescent="0.25">
      <c r="A478" s="73"/>
      <c r="B478" s="4"/>
      <c r="C478" s="86"/>
      <c r="D478" s="87"/>
      <c r="E478" s="88"/>
      <c r="F478" s="89"/>
      <c r="G478" s="90"/>
      <c r="I478" s="97"/>
    </row>
    <row r="479" spans="1:9" ht="15" customHeight="1" x14ac:dyDescent="0.25">
      <c r="A479" s="73"/>
      <c r="B479" s="57"/>
      <c r="C479" s="109"/>
      <c r="D479" s="109"/>
      <c r="E479" s="109"/>
      <c r="F479" s="109"/>
      <c r="G479" s="109"/>
    </row>
    <row r="480" spans="1:9" ht="15" customHeight="1" x14ac:dyDescent="0.25">
      <c r="A480" s="47"/>
      <c r="B480" s="47"/>
      <c r="C480" s="48"/>
      <c r="D480" s="47"/>
      <c r="E480" s="47"/>
      <c r="F480" s="47"/>
      <c r="G480" s="47"/>
      <c r="I480" s="47"/>
    </row>
    <row r="481" spans="1:9" ht="15" customHeight="1" x14ac:dyDescent="0.25">
      <c r="A481" s="57"/>
      <c r="B481" s="57"/>
      <c r="C481" s="58"/>
      <c r="D481" s="59"/>
      <c r="E481" s="60"/>
      <c r="F481" s="58"/>
      <c r="G481" s="47"/>
      <c r="I481" s="47"/>
    </row>
    <row r="482" spans="1:9" ht="15" customHeight="1" x14ac:dyDescent="0.25">
      <c r="A482" s="73"/>
      <c r="B482" s="96"/>
      <c r="C482" s="86"/>
      <c r="D482" s="87"/>
      <c r="E482" s="88"/>
      <c r="F482" s="89"/>
      <c r="G482" s="90"/>
      <c r="I482" s="97"/>
    </row>
    <row r="483" spans="1:9" ht="15" customHeight="1" x14ac:dyDescent="0.25">
      <c r="A483" s="73"/>
      <c r="B483" s="96"/>
      <c r="C483" s="86"/>
      <c r="D483" s="87"/>
      <c r="E483" s="88"/>
      <c r="F483" s="89"/>
      <c r="G483" s="90"/>
      <c r="I483" s="97"/>
    </row>
    <row r="484" spans="1:9" ht="15" customHeight="1" x14ac:dyDescent="0.25">
      <c r="A484" s="73"/>
      <c r="B484" s="96"/>
      <c r="C484" s="86"/>
      <c r="D484" s="87"/>
      <c r="E484" s="88"/>
      <c r="F484" s="89"/>
      <c r="G484" s="90"/>
      <c r="I484" s="97"/>
    </row>
    <row r="485" spans="1:9" ht="15" customHeight="1" x14ac:dyDescent="0.25">
      <c r="A485" s="73"/>
      <c r="B485" s="96"/>
      <c r="C485" s="86"/>
      <c r="D485" s="87"/>
      <c r="E485" s="88"/>
      <c r="F485" s="89"/>
      <c r="G485" s="90"/>
      <c r="I485" s="97"/>
    </row>
    <row r="486" spans="1:9" ht="15" customHeight="1" x14ac:dyDescent="0.25">
      <c r="A486" s="73"/>
      <c r="B486" s="96"/>
      <c r="C486" s="86"/>
      <c r="D486" s="87"/>
      <c r="E486" s="88"/>
      <c r="F486" s="89"/>
      <c r="G486" s="90"/>
      <c r="I486" s="97"/>
    </row>
    <row r="487" spans="1:9" ht="15" customHeight="1" x14ac:dyDescent="0.25">
      <c r="A487" s="73"/>
      <c r="B487" s="96"/>
      <c r="C487" s="86"/>
      <c r="D487" s="87"/>
      <c r="E487" s="88"/>
      <c r="F487" s="89"/>
      <c r="G487" s="90"/>
      <c r="I487" s="97"/>
    </row>
    <row r="488" spans="1:9" ht="15" customHeight="1" x14ac:dyDescent="0.25">
      <c r="A488" s="73"/>
      <c r="B488" s="57"/>
      <c r="C488" s="109"/>
      <c r="D488" s="109"/>
      <c r="E488" s="109"/>
      <c r="F488" s="109"/>
      <c r="G488" s="109"/>
    </row>
    <row r="489" spans="1:9" ht="15" customHeight="1" x14ac:dyDescent="0.25">
      <c r="A489" s="73"/>
      <c r="B489" s="57"/>
      <c r="C489" s="109"/>
      <c r="D489" s="109"/>
      <c r="E489" s="109"/>
      <c r="F489" s="109"/>
      <c r="G489" s="109"/>
    </row>
    <row r="490" spans="1:9" ht="15" customHeight="1" x14ac:dyDescent="0.25">
      <c r="A490" s="73"/>
      <c r="B490" s="57"/>
      <c r="C490" s="109"/>
      <c r="D490" s="109"/>
      <c r="E490" s="109"/>
      <c r="F490" s="109"/>
      <c r="G490" s="109"/>
    </row>
    <row r="491" spans="1:9" ht="15" customHeight="1" x14ac:dyDescent="0.25">
      <c r="A491" s="73"/>
      <c r="B491" s="57"/>
      <c r="C491" s="109"/>
      <c r="D491" s="109"/>
      <c r="E491" s="109"/>
      <c r="F491" s="109"/>
      <c r="G491" s="109"/>
    </row>
    <row r="492" spans="1:9" ht="15" customHeight="1" x14ac:dyDescent="0.25">
      <c r="A492" s="73"/>
      <c r="B492" s="57"/>
      <c r="C492" s="109"/>
      <c r="D492" s="109"/>
      <c r="E492" s="109"/>
      <c r="F492" s="109"/>
      <c r="G492" s="109"/>
    </row>
    <row r="493" spans="1:9" ht="15" customHeight="1" x14ac:dyDescent="0.25">
      <c r="A493" s="73"/>
      <c r="B493" s="57"/>
      <c r="C493" s="109"/>
      <c r="D493" s="109"/>
      <c r="E493" s="109"/>
      <c r="F493" s="109"/>
      <c r="G493" s="109"/>
    </row>
    <row r="494" spans="1:9" ht="15" customHeight="1" x14ac:dyDescent="0.25">
      <c r="A494" s="73"/>
      <c r="B494" s="74"/>
      <c r="C494" s="74"/>
      <c r="D494" s="17"/>
      <c r="E494" s="74"/>
      <c r="F494" s="74"/>
      <c r="G494" s="74"/>
      <c r="I494" s="74"/>
    </row>
    <row r="495" spans="1:9" ht="15" customHeight="1" x14ac:dyDescent="0.25">
      <c r="A495" s="57"/>
      <c r="B495" s="57"/>
      <c r="C495" s="58"/>
      <c r="D495" s="59"/>
      <c r="E495" s="60"/>
      <c r="F495" s="58"/>
      <c r="G495" s="47"/>
      <c r="I495" s="47"/>
    </row>
    <row r="496" spans="1:9" ht="15" customHeight="1" x14ac:dyDescent="0.25">
      <c r="A496" s="73"/>
      <c r="B496" s="57"/>
      <c r="C496" s="109"/>
      <c r="D496" s="109"/>
      <c r="E496" s="108"/>
      <c r="F496" s="108"/>
      <c r="G496" s="108"/>
      <c r="I496" s="110"/>
    </row>
    <row r="497" spans="1:9" ht="15" customHeight="1" x14ac:dyDescent="0.25">
      <c r="A497" s="73"/>
      <c r="B497" s="57"/>
      <c r="C497" s="109"/>
      <c r="D497" s="109"/>
      <c r="E497" s="108"/>
      <c r="F497" s="108"/>
      <c r="G497" s="108"/>
      <c r="I497" s="110"/>
    </row>
    <row r="498" spans="1:9" ht="15" customHeight="1" x14ac:dyDescent="0.25">
      <c r="A498" s="73"/>
      <c r="B498" s="57"/>
      <c r="C498" s="109"/>
      <c r="D498" s="109"/>
      <c r="E498" s="108"/>
      <c r="F498" s="108"/>
      <c r="G498" s="108"/>
      <c r="I498" s="110"/>
    </row>
    <row r="499" spans="1:9" ht="15" customHeight="1" x14ac:dyDescent="0.25">
      <c r="A499" s="73"/>
      <c r="B499" s="57"/>
      <c r="C499" s="109"/>
      <c r="D499" s="109"/>
      <c r="E499" s="108"/>
      <c r="F499" s="108"/>
      <c r="G499" s="108"/>
      <c r="I499" s="110"/>
    </row>
    <row r="500" spans="1:9" ht="15" customHeight="1" x14ac:dyDescent="0.25">
      <c r="A500" s="73"/>
      <c r="B500" s="57"/>
      <c r="C500" s="109"/>
      <c r="D500" s="109"/>
      <c r="E500" s="108"/>
      <c r="F500" s="108"/>
      <c r="G500" s="108"/>
      <c r="I500" s="110"/>
    </row>
    <row r="501" spans="1:9" ht="15" customHeight="1" x14ac:dyDescent="0.25">
      <c r="A501" s="73"/>
      <c r="B501" s="57"/>
      <c r="C501" s="109"/>
      <c r="D501" s="109"/>
      <c r="E501" s="108"/>
      <c r="F501" s="108"/>
      <c r="G501" s="108"/>
      <c r="I501" s="110"/>
    </row>
    <row r="502" spans="1:9" ht="15" customHeight="1" x14ac:dyDescent="0.25">
      <c r="A502" s="73"/>
      <c r="B502" s="57"/>
      <c r="C502" s="109"/>
      <c r="D502" s="109"/>
      <c r="E502" s="108"/>
      <c r="F502" s="108"/>
      <c r="G502" s="108"/>
      <c r="I502" s="110"/>
    </row>
    <row r="503" spans="1:9" ht="15" customHeight="1" x14ac:dyDescent="0.25">
      <c r="A503" s="73"/>
      <c r="B503" s="57"/>
      <c r="C503" s="109"/>
      <c r="D503" s="109"/>
      <c r="E503" s="108"/>
      <c r="F503" s="108"/>
      <c r="G503" s="108"/>
      <c r="I503" s="110"/>
    </row>
    <row r="504" spans="1:9" ht="15" customHeight="1" x14ac:dyDescent="0.25">
      <c r="A504" s="47"/>
      <c r="B504" s="47"/>
      <c r="C504" s="47"/>
      <c r="D504" s="47"/>
      <c r="E504" s="47"/>
      <c r="F504" s="47"/>
      <c r="G504" s="47"/>
      <c r="I504" s="47"/>
    </row>
    <row r="505" spans="1:9" ht="15" customHeight="1" x14ac:dyDescent="0.25">
      <c r="A505" s="47"/>
      <c r="B505" s="47"/>
      <c r="C505" s="48"/>
      <c r="D505" s="47"/>
      <c r="E505" s="47"/>
      <c r="F505" s="47"/>
      <c r="G505" s="47"/>
    </row>
    <row r="506" spans="1:9" ht="15" customHeight="1" x14ac:dyDescent="0.25">
      <c r="A506" s="57"/>
      <c r="B506" s="57"/>
      <c r="C506" s="58"/>
      <c r="D506" s="59"/>
      <c r="E506" s="60"/>
      <c r="F506" s="58"/>
      <c r="G506" s="47"/>
      <c r="I506" s="47"/>
    </row>
    <row r="507" spans="1:9" ht="15" customHeight="1" x14ac:dyDescent="0.25">
      <c r="A507" s="73"/>
      <c r="B507" s="107"/>
      <c r="C507" s="108"/>
      <c r="D507" s="108"/>
      <c r="E507" s="108"/>
      <c r="F507" s="108"/>
      <c r="G507" s="108"/>
    </row>
    <row r="508" spans="1:9" ht="15" customHeight="1" x14ac:dyDescent="0.25">
      <c r="A508" s="73"/>
      <c r="B508" s="107"/>
      <c r="C508" s="108"/>
      <c r="D508" s="108"/>
      <c r="E508" s="108"/>
      <c r="F508" s="108"/>
      <c r="G508" s="108"/>
    </row>
    <row r="509" spans="1:9" ht="15" customHeight="1" x14ac:dyDescent="0.25">
      <c r="A509" s="73"/>
      <c r="B509" s="107"/>
      <c r="C509" s="108"/>
      <c r="D509" s="108"/>
      <c r="E509" s="108"/>
      <c r="F509" s="108"/>
      <c r="G509" s="108"/>
    </row>
    <row r="510" spans="1:9" ht="15" customHeight="1" x14ac:dyDescent="0.25">
      <c r="A510" s="73"/>
      <c r="B510" s="107"/>
      <c r="C510" s="108"/>
      <c r="D510" s="108"/>
      <c r="E510" s="108"/>
      <c r="F510" s="108"/>
      <c r="G510" s="108"/>
    </row>
    <row r="511" spans="1:9" ht="15" customHeight="1" x14ac:dyDescent="0.25">
      <c r="A511" s="73"/>
      <c r="B511" s="107"/>
      <c r="C511" s="108"/>
      <c r="D511" s="108"/>
      <c r="E511" s="108"/>
      <c r="F511" s="108"/>
      <c r="G511" s="108"/>
    </row>
    <row r="512" spans="1:9" ht="15" customHeight="1" x14ac:dyDescent="0.25">
      <c r="A512" s="73"/>
      <c r="B512" s="107"/>
      <c r="C512" s="108"/>
      <c r="D512" s="108"/>
      <c r="E512" s="108"/>
      <c r="F512" s="108"/>
      <c r="G512" s="108"/>
    </row>
    <row r="513" spans="1:9" ht="15" customHeight="1" x14ac:dyDescent="0.25">
      <c r="A513" s="73"/>
      <c r="B513" s="107"/>
      <c r="C513" s="108"/>
      <c r="D513" s="108"/>
      <c r="E513" s="108"/>
      <c r="F513" s="108"/>
      <c r="G513" s="108"/>
    </row>
    <row r="514" spans="1:9" ht="15" customHeight="1" x14ac:dyDescent="0.25">
      <c r="A514" s="73"/>
      <c r="B514" s="107"/>
      <c r="C514" s="108"/>
      <c r="D514" s="108"/>
      <c r="E514" s="108"/>
      <c r="F514" s="108"/>
      <c r="G514" s="108"/>
    </row>
    <row r="515" spans="1:9" ht="15" customHeight="1" x14ac:dyDescent="0.25">
      <c r="A515" s="47"/>
      <c r="B515" s="47"/>
      <c r="C515" s="47"/>
      <c r="D515" s="47"/>
      <c r="E515" s="47"/>
      <c r="F515" s="47"/>
      <c r="G515" s="47"/>
      <c r="I515" s="47"/>
    </row>
    <row r="516" spans="1:9" ht="15" customHeight="1" x14ac:dyDescent="0.25">
      <c r="A516" s="57"/>
      <c r="B516" s="57"/>
      <c r="C516" s="58"/>
      <c r="D516" s="59"/>
      <c r="E516" s="60"/>
      <c r="F516" s="58"/>
      <c r="G516" s="47"/>
      <c r="I516" s="47"/>
    </row>
    <row r="517" spans="1:9" ht="15" customHeight="1" x14ac:dyDescent="0.25">
      <c r="A517" s="73"/>
    </row>
    <row r="518" spans="1:9" ht="15" customHeight="1" x14ac:dyDescent="0.25">
      <c r="A518" s="73"/>
      <c r="B518" s="107"/>
      <c r="C518" s="108"/>
      <c r="D518" s="108"/>
      <c r="E518" s="108"/>
      <c r="F518" s="108"/>
      <c r="G518" s="108"/>
    </row>
    <row r="519" spans="1:9" ht="15" customHeight="1" x14ac:dyDescent="0.25">
      <c r="A519" s="73"/>
      <c r="B519" s="107"/>
      <c r="C519" s="108"/>
      <c r="D519" s="108"/>
      <c r="E519" s="108"/>
      <c r="F519" s="108"/>
      <c r="G519" s="108"/>
    </row>
    <row r="520" spans="1:9" ht="15" customHeight="1" x14ac:dyDescent="0.25">
      <c r="A520" s="73"/>
      <c r="B520" s="107"/>
      <c r="C520" s="108"/>
      <c r="D520" s="108"/>
      <c r="E520" s="108"/>
      <c r="F520" s="108"/>
      <c r="G520" s="108"/>
    </row>
    <row r="521" spans="1:9" ht="15" customHeight="1" x14ac:dyDescent="0.25">
      <c r="A521" s="73"/>
      <c r="B521" s="107"/>
      <c r="C521" s="108"/>
      <c r="D521" s="108"/>
      <c r="E521" s="108"/>
      <c r="F521" s="108"/>
      <c r="G521" s="108"/>
    </row>
    <row r="522" spans="1:9" ht="15" customHeight="1" x14ac:dyDescent="0.25">
      <c r="A522" s="73"/>
      <c r="B522" s="107"/>
      <c r="C522" s="108"/>
      <c r="D522" s="108"/>
      <c r="E522" s="108"/>
      <c r="F522" s="108"/>
      <c r="G522" s="108"/>
    </row>
    <row r="523" spans="1:9" ht="15" customHeight="1" x14ac:dyDescent="0.25">
      <c r="A523" s="73"/>
      <c r="B523" s="107"/>
      <c r="C523" s="108"/>
      <c r="D523" s="108"/>
      <c r="E523" s="108"/>
      <c r="F523" s="108"/>
      <c r="G523" s="108"/>
    </row>
    <row r="524" spans="1:9" ht="15" customHeight="1" x14ac:dyDescent="0.25">
      <c r="A524" s="73"/>
      <c r="B524" s="107"/>
      <c r="C524" s="108"/>
      <c r="D524" s="108"/>
      <c r="E524" s="108"/>
      <c r="F524" s="108"/>
      <c r="G524" s="108"/>
    </row>
    <row r="525" spans="1:9" ht="15" customHeight="1" x14ac:dyDescent="0.25">
      <c r="A525" s="47"/>
      <c r="B525" s="47"/>
      <c r="C525" s="47"/>
      <c r="D525" s="47"/>
      <c r="E525" s="47"/>
      <c r="F525" s="47"/>
      <c r="G525" s="47"/>
      <c r="I525" s="47"/>
    </row>
    <row r="526" spans="1:9" ht="15" customHeight="1" x14ac:dyDescent="0.25">
      <c r="A526" s="57"/>
      <c r="B526" s="57"/>
      <c r="C526" s="58"/>
      <c r="D526" s="59"/>
      <c r="E526" s="60"/>
      <c r="F526" s="58"/>
      <c r="G526" s="47"/>
      <c r="I526" s="47"/>
    </row>
    <row r="527" spans="1:9" ht="15" customHeight="1" x14ac:dyDescent="0.25">
      <c r="A527" s="73"/>
      <c r="B527" s="74"/>
      <c r="C527" s="74"/>
      <c r="D527" s="17"/>
      <c r="E527" s="74"/>
      <c r="F527" s="74"/>
      <c r="G527" s="74"/>
      <c r="I527" s="74"/>
    </row>
    <row r="528" spans="1:9" ht="15" customHeight="1" x14ac:dyDescent="0.25">
      <c r="A528" s="73"/>
      <c r="B528" s="107"/>
      <c r="C528" s="108"/>
      <c r="D528" s="108"/>
      <c r="E528" s="108"/>
      <c r="F528" s="108"/>
      <c r="G528" s="108"/>
    </row>
    <row r="529" spans="1:9" ht="15" customHeight="1" x14ac:dyDescent="0.25">
      <c r="A529" s="73"/>
      <c r="B529" s="107"/>
      <c r="C529" s="108"/>
      <c r="D529" s="108"/>
      <c r="E529" s="108"/>
      <c r="F529" s="108"/>
      <c r="G529" s="108"/>
    </row>
    <row r="530" spans="1:9" ht="15" customHeight="1" x14ac:dyDescent="0.25">
      <c r="A530" s="73"/>
      <c r="B530" s="107"/>
      <c r="C530" s="108"/>
      <c r="D530" s="108"/>
      <c r="E530" s="108"/>
      <c r="F530" s="108"/>
      <c r="G530" s="108"/>
    </row>
    <row r="531" spans="1:9" ht="15" customHeight="1" x14ac:dyDescent="0.25">
      <c r="A531" s="73"/>
      <c r="B531" s="107"/>
      <c r="C531" s="108"/>
      <c r="D531" s="108"/>
      <c r="E531" s="108"/>
      <c r="F531" s="108"/>
      <c r="G531" s="108"/>
    </row>
    <row r="532" spans="1:9" ht="15" customHeight="1" x14ac:dyDescent="0.25">
      <c r="A532" s="73"/>
      <c r="B532" s="107"/>
      <c r="C532" s="108"/>
      <c r="D532" s="108"/>
      <c r="E532" s="108"/>
      <c r="F532" s="108"/>
      <c r="G532" s="108"/>
    </row>
    <row r="533" spans="1:9" ht="15" customHeight="1" x14ac:dyDescent="0.25">
      <c r="A533" s="73"/>
      <c r="B533" s="107"/>
      <c r="C533" s="108"/>
      <c r="D533" s="108"/>
      <c r="E533" s="108"/>
      <c r="F533" s="108"/>
      <c r="G533" s="108"/>
    </row>
    <row r="534" spans="1:9" ht="15" customHeight="1" x14ac:dyDescent="0.25">
      <c r="A534" s="73"/>
      <c r="B534" s="74"/>
      <c r="C534" s="74"/>
      <c r="D534" s="17"/>
      <c r="E534" s="74"/>
      <c r="F534" s="74"/>
      <c r="G534" s="74"/>
      <c r="I534" s="74"/>
    </row>
    <row r="535" spans="1:9" ht="15" customHeight="1" x14ac:dyDescent="0.25">
      <c r="A535" s="47"/>
      <c r="B535" s="47"/>
      <c r="C535" s="47"/>
      <c r="D535" s="47"/>
      <c r="E535" s="47"/>
      <c r="F535" s="47"/>
      <c r="G535" s="47"/>
      <c r="H535" s="47"/>
      <c r="I535" s="111"/>
    </row>
    <row r="536" spans="1:9" ht="15" customHeight="1" x14ac:dyDescent="0.25">
      <c r="A536" s="57"/>
      <c r="B536" s="57"/>
      <c r="C536" s="58"/>
      <c r="D536" s="59"/>
      <c r="E536" s="60"/>
      <c r="F536" s="58"/>
      <c r="G536" s="47"/>
      <c r="H536" s="47"/>
      <c r="I536" s="112"/>
    </row>
    <row r="537" spans="1:9" ht="15" customHeight="1" x14ac:dyDescent="0.25">
      <c r="A537" s="73"/>
      <c r="B537" s="107"/>
      <c r="C537" s="108"/>
      <c r="D537" s="108"/>
      <c r="E537" s="108"/>
      <c r="F537" s="108"/>
      <c r="G537" s="108"/>
      <c r="I537" s="112"/>
    </row>
    <row r="538" spans="1:9" ht="15" customHeight="1" x14ac:dyDescent="0.25">
      <c r="A538" s="73"/>
      <c r="B538" s="107"/>
      <c r="C538" s="108"/>
      <c r="D538" s="108"/>
      <c r="E538" s="108"/>
      <c r="F538" s="108"/>
      <c r="G538" s="108"/>
      <c r="I538" s="112"/>
    </row>
    <row r="539" spans="1:9" ht="15" customHeight="1" x14ac:dyDescent="0.25">
      <c r="A539" s="73"/>
      <c r="B539" s="107"/>
      <c r="C539" s="108"/>
      <c r="D539" s="108"/>
      <c r="E539" s="108"/>
      <c r="F539" s="108"/>
      <c r="G539" s="108"/>
      <c r="I539" s="112"/>
    </row>
    <row r="540" spans="1:9" ht="15" customHeight="1" x14ac:dyDescent="0.25">
      <c r="A540" s="73"/>
      <c r="B540" s="107"/>
      <c r="C540" s="108"/>
      <c r="D540" s="108"/>
      <c r="E540" s="108"/>
      <c r="F540" s="108"/>
      <c r="G540" s="108"/>
      <c r="I540" s="112"/>
    </row>
    <row r="541" spans="1:9" ht="15" customHeight="1" x14ac:dyDescent="0.25">
      <c r="A541" s="73"/>
      <c r="B541" s="107"/>
      <c r="C541" s="108"/>
      <c r="D541" s="108"/>
      <c r="E541" s="108"/>
      <c r="F541" s="108"/>
      <c r="G541" s="108"/>
      <c r="I541" s="112"/>
    </row>
    <row r="542" spans="1:9" ht="15" customHeight="1" x14ac:dyDescent="0.25">
      <c r="A542" s="73"/>
      <c r="B542" s="107"/>
      <c r="C542" s="108"/>
      <c r="D542" s="108"/>
      <c r="E542" s="108"/>
      <c r="F542" s="108"/>
      <c r="G542" s="108"/>
      <c r="I542" s="112"/>
    </row>
    <row r="543" spans="1:9" ht="15" customHeight="1" x14ac:dyDescent="0.25">
      <c r="A543" s="73"/>
      <c r="B543" s="107"/>
      <c r="C543" s="108"/>
      <c r="D543" s="108"/>
      <c r="E543" s="108"/>
      <c r="F543" s="108"/>
      <c r="G543" s="108"/>
      <c r="I543" s="112"/>
    </row>
    <row r="544" spans="1:9" x14ac:dyDescent="0.25">
      <c r="A544" s="73"/>
      <c r="B544" s="107"/>
      <c r="C544" s="108"/>
      <c r="D544" s="108"/>
      <c r="E544" s="108"/>
      <c r="F544" s="108"/>
      <c r="G544" s="108"/>
    </row>
  </sheetData>
  <sortState ref="A424:K429">
    <sortCondition ref="I424:I429"/>
  </sortState>
  <mergeCells count="38">
    <mergeCell ref="A1:K1"/>
    <mergeCell ref="A2:K2"/>
    <mergeCell ref="A58:K58"/>
    <mergeCell ref="F57:K57"/>
    <mergeCell ref="A55:K55"/>
    <mergeCell ref="A56:K56"/>
    <mergeCell ref="A3:K3"/>
    <mergeCell ref="A22:K22"/>
    <mergeCell ref="A23:K23"/>
    <mergeCell ref="D48:H48"/>
    <mergeCell ref="A49:K49"/>
    <mergeCell ref="C52:K52"/>
    <mergeCell ref="C53:K53"/>
    <mergeCell ref="C54:K54"/>
    <mergeCell ref="E88:F88"/>
    <mergeCell ref="E87:F87"/>
    <mergeCell ref="B63:D63"/>
    <mergeCell ref="I59:K59"/>
    <mergeCell ref="E59:G59"/>
    <mergeCell ref="B59:D59"/>
    <mergeCell ref="C99:K99"/>
    <mergeCell ref="C98:K98"/>
    <mergeCell ref="C97:K97"/>
    <mergeCell ref="B96:D96"/>
    <mergeCell ref="E89:F89"/>
    <mergeCell ref="A104:K104"/>
    <mergeCell ref="A103:K103"/>
    <mergeCell ref="G102:K102"/>
    <mergeCell ref="A101:K101"/>
    <mergeCell ref="A100:K100"/>
    <mergeCell ref="K105:K106"/>
    <mergeCell ref="J105:J106"/>
    <mergeCell ref="A105:A106"/>
    <mergeCell ref="F105:G106"/>
    <mergeCell ref="E105:E106"/>
    <mergeCell ref="B105:B106"/>
    <mergeCell ref="C105:D106"/>
    <mergeCell ref="H105:I105"/>
  </mergeCells>
  <conditionalFormatting sqref="I151:I152 I536:I543">
    <cfRule type="expression" dxfId="178" priority="1">
      <formula>IF(NOT(ISBLANK(I151)), IF(ISNUMBER(I151), IF(INT(I151/10000)&gt;23, TRUE, IF(INT(MOD(I151, 10000)/100)&gt;59.99, TRUE, IF(MOD(I151, 100)&gt;59.99, TRUE, FALSE))), TRUE))</formula>
    </cfRule>
  </conditionalFormatting>
  <pageMargins left="0.55118107795715332" right="0.31496062874794006" top="0.35433068871498108" bottom="1.1811022758483887" header="0" footer="0.23622046411037445"/>
  <pageSetup paperSize="9" fitToWidth="0" fitToHeight="0" orientation="portrait"/>
  <headerFooter>
    <oddHeader>&amp;R&amp;8&amp;"Times New Roman,Regular"Стр. &amp;P из &amp;N&amp;12&amp;"-,Regular"</oddHeader>
    <oddFooter>&amp;L&amp;11&amp;"Times New Roman,Regular"Главный судья соревнований, судья первой категории
Главный секретарь соревнований, судья всероссийской категории</oddFooter>
  </headerFooter>
  <rowBreaks count="2" manualBreakCount="2">
    <brk id="51" max="16383" man="1"/>
    <brk id="9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workbookViewId="0"/>
  </sheetViews>
  <sheetFormatPr defaultColWidth="9.140625" defaultRowHeight="15" x14ac:dyDescent="0.25"/>
  <cols>
    <col min="1" max="1" width="3.85546875" customWidth="1"/>
    <col min="2" max="3" width="12.42578125" customWidth="1"/>
    <col min="4" max="4" width="17.7109375" customWidth="1"/>
    <col min="5" max="5" width="13.85546875" customWidth="1"/>
    <col min="6" max="6" width="17" customWidth="1"/>
    <col min="7" max="7" width="10" customWidth="1"/>
    <col min="8" max="8" width="11" customWidth="1"/>
    <col min="9" max="9" width="9.5703125" customWidth="1"/>
    <col min="10" max="10" width="10" customWidth="1"/>
    <col min="11" max="11" width="23" customWidth="1"/>
    <col min="12" max="36" width="1.42578125" customWidth="1"/>
  </cols>
  <sheetData>
    <row r="1" spans="1:11" x14ac:dyDescent="0.25">
      <c r="H1" s="2234" t="s">
        <v>654</v>
      </c>
      <c r="I1" s="2234"/>
      <c r="J1" s="2234"/>
      <c r="K1" s="2234"/>
    </row>
    <row r="2" spans="1:11" ht="21.75" customHeight="1" x14ac:dyDescent="0.25">
      <c r="H2" s="2234"/>
      <c r="I2" s="2234"/>
      <c r="J2" s="2234"/>
      <c r="K2" s="2234"/>
    </row>
    <row r="3" spans="1:11" ht="33" x14ac:dyDescent="0.25">
      <c r="A3" s="2208" t="s">
        <v>655</v>
      </c>
      <c r="B3" s="2208"/>
      <c r="C3" s="2208"/>
      <c r="D3" s="2208"/>
      <c r="E3" s="2208"/>
      <c r="F3" s="2208"/>
      <c r="G3" s="2208"/>
      <c r="H3" s="2208"/>
      <c r="I3" s="2208"/>
      <c r="J3" s="2208"/>
      <c r="K3" s="2208"/>
    </row>
    <row r="4" spans="1:11" ht="22.5" customHeight="1" x14ac:dyDescent="0.25">
      <c r="B4" s="484"/>
      <c r="C4" s="130" t="s">
        <v>656</v>
      </c>
      <c r="D4" s="2209" t="str">
        <f>'Техническая один зачет'!E15</f>
        <v>Полное Название команды, город (край, область и пр.)</v>
      </c>
      <c r="E4" s="2210"/>
      <c r="F4" s="2211"/>
      <c r="G4" s="2212"/>
      <c r="H4" s="2213"/>
      <c r="I4" s="2214"/>
      <c r="J4" s="2215"/>
      <c r="K4" s="2216"/>
    </row>
    <row r="5" spans="1:11" ht="36.75" customHeight="1" x14ac:dyDescent="0.25">
      <c r="C5" s="485" t="s">
        <v>595</v>
      </c>
      <c r="D5" s="2217" t="str">
        <f>'Техническая один зачет'!G17</f>
        <v>Название Соревнований по подводному спорту (1460008511Я) (плавание в ластах)</v>
      </c>
      <c r="E5" s="2218"/>
      <c r="F5" s="2219"/>
      <c r="G5" s="2220"/>
      <c r="H5" s="2221"/>
      <c r="I5" s="2222"/>
      <c r="J5" s="2223"/>
      <c r="K5" s="2224"/>
    </row>
    <row r="6" spans="1:11" ht="26.25" customHeight="1" x14ac:dyDescent="0.25">
      <c r="C6" s="485" t="s">
        <v>657</v>
      </c>
      <c r="D6" s="2228" t="str">
        <f>'Техническая один зачет'!U10</f>
        <v>г. Город, бассейн "ААА", 50 м</v>
      </c>
      <c r="E6" s="2229"/>
      <c r="F6" s="2230"/>
      <c r="G6" s="2231"/>
      <c r="H6" s="2232"/>
      <c r="I6" s="2233"/>
      <c r="J6" s="486" t="s">
        <v>658</v>
      </c>
      <c r="K6" s="487" t="str">
        <f>'Техническая один зачет'!U12</f>
        <v>02-06 февраля 2015 г.</v>
      </c>
    </row>
    <row r="7" spans="1:11" ht="12.75" customHeight="1" x14ac:dyDescent="0.25">
      <c r="A7" s="488"/>
      <c r="B7" s="488"/>
      <c r="C7" s="488"/>
      <c r="D7" s="489"/>
      <c r="E7" s="490"/>
      <c r="F7" s="490"/>
      <c r="G7" s="490"/>
      <c r="H7" s="490"/>
      <c r="I7" s="490"/>
      <c r="J7" s="490"/>
      <c r="K7" s="490"/>
    </row>
    <row r="8" spans="1:11" ht="53.25" customHeight="1" x14ac:dyDescent="0.25">
      <c r="A8" s="491" t="s">
        <v>6</v>
      </c>
      <c r="B8" s="2225" t="s">
        <v>659</v>
      </c>
      <c r="C8" s="2226"/>
      <c r="D8" s="2227"/>
      <c r="E8" s="493" t="s">
        <v>660</v>
      </c>
      <c r="F8" s="492" t="s">
        <v>661</v>
      </c>
      <c r="G8" s="493" t="s">
        <v>662</v>
      </c>
      <c r="H8" s="494" t="s">
        <v>663</v>
      </c>
      <c r="I8" s="2225" t="s">
        <v>601</v>
      </c>
      <c r="J8" s="2235"/>
      <c r="K8" s="495" t="s">
        <v>664</v>
      </c>
    </row>
    <row r="9" spans="1:11" s="496" customFormat="1" ht="27" customHeight="1" x14ac:dyDescent="0.25">
      <c r="A9" s="492">
        <v>1</v>
      </c>
      <c r="B9" s="497" t="str">
        <f>'Техническая один зачет'!C21</f>
        <v>Девушки</v>
      </c>
      <c r="C9" s="498"/>
      <c r="D9" s="499" t="str">
        <f>'Техническая один зачет'!D21</f>
        <v xml:space="preserve"> </v>
      </c>
      <c r="E9" s="500">
        <f>'Техническая один зачет'!E21</f>
        <v>37622</v>
      </c>
      <c r="F9" s="495" t="str">
        <f>IF('Техническая один зачет'!G21="Ж", "спортсменка", IF('Техническая один зачет'!G21="М", "спортсмен", "не понятно кто"))</f>
        <v>спортсменка</v>
      </c>
      <c r="G9" s="495"/>
      <c r="H9" s="495" t="str">
        <f>'Техническая один зачет'!B21</f>
        <v>I</v>
      </c>
      <c r="I9" s="2147" t="str">
        <f>'Техническая один зачет'!H21</f>
        <v>Фамилия_1 Имя Отчество</v>
      </c>
      <c r="J9" s="2236"/>
      <c r="K9" s="501"/>
    </row>
    <row r="10" spans="1:11" s="496" customFormat="1" ht="27" customHeight="1" x14ac:dyDescent="0.25">
      <c r="A10" s="492">
        <v>2</v>
      </c>
      <c r="B10" s="497" t="str">
        <f>'Техническая один зачет'!C22</f>
        <v>Девушки</v>
      </c>
      <c r="C10" s="498"/>
      <c r="D10" s="499" t="str">
        <f>'Техническая один зачет'!D22</f>
        <v xml:space="preserve"> </v>
      </c>
      <c r="E10" s="500">
        <f>'Техническая один зачет'!E22</f>
        <v>0</v>
      </c>
      <c r="F10" s="495" t="str">
        <f>IF('Техническая один зачет'!G22="Ж", "спортсменка", IF('Техническая один зачет'!G22="М", "спортсмен", "не понятно кто"))</f>
        <v>спортсменка</v>
      </c>
      <c r="G10" s="495"/>
      <c r="H10" s="495" t="str">
        <f>'Техническая один зачет'!B22</f>
        <v>I</v>
      </c>
      <c r="I10" s="2147" t="str">
        <f>'Техническая один зачет'!H22</f>
        <v>Фамилия_1 Имя Отчество</v>
      </c>
      <c r="J10" s="2237"/>
      <c r="K10" s="501"/>
    </row>
    <row r="11" spans="1:11" s="496" customFormat="1" ht="27" customHeight="1" x14ac:dyDescent="0.25">
      <c r="A11" s="492">
        <v>3</v>
      </c>
      <c r="B11" s="497" t="str">
        <f>'Техническая один зачет'!C23</f>
        <v>Девушки</v>
      </c>
      <c r="C11" s="498"/>
      <c r="D11" s="499" t="str">
        <f>'Техническая один зачет'!D23</f>
        <v xml:space="preserve"> </v>
      </c>
      <c r="E11" s="500">
        <f>'Техническая один зачет'!E23</f>
        <v>0</v>
      </c>
      <c r="F11" s="495" t="str">
        <f>IF('Техническая один зачет'!G23="Ж", "спортсменка", IF('Техническая один зачет'!G23="М", "спортсмен", "не понятно кто"))</f>
        <v>спортсменка</v>
      </c>
      <c r="G11" s="495"/>
      <c r="H11" s="495" t="str">
        <f>'Техническая один зачет'!B23</f>
        <v>ЗМС</v>
      </c>
      <c r="I11" s="2147" t="str">
        <f>'Техническая один зачет'!H23</f>
        <v>Фамилия_1 Имя Отчество</v>
      </c>
      <c r="J11" s="2238"/>
      <c r="K11" s="501"/>
    </row>
    <row r="12" spans="1:11" s="496" customFormat="1" ht="27" customHeight="1" x14ac:dyDescent="0.25">
      <c r="A12" s="492">
        <v>4</v>
      </c>
      <c r="B12" s="497" t="str">
        <f>'Техническая один зачет'!C24</f>
        <v>Девушки</v>
      </c>
      <c r="C12" s="498"/>
      <c r="D12" s="499" t="str">
        <f>'Техническая один зачет'!D24</f>
        <v xml:space="preserve"> </v>
      </c>
      <c r="E12" s="500">
        <f>'Техническая один зачет'!E24</f>
        <v>0</v>
      </c>
      <c r="F12" s="495" t="str">
        <f>IF('Техническая один зачет'!G24="Ж", "спортсменка", IF('Техническая один зачет'!G24="М", "спортсмен", "не понятно кто"))</f>
        <v>спортсменка</v>
      </c>
      <c r="G12" s="495"/>
      <c r="H12" s="495" t="str">
        <f>'Техническая один зачет'!B24</f>
        <v>МСМК</v>
      </c>
      <c r="I12" s="2147" t="str">
        <f>'Техническая один зачет'!H24</f>
        <v>Фамилия_1 Имя Отчество</v>
      </c>
      <c r="J12" s="2239"/>
      <c r="K12" s="501"/>
    </row>
    <row r="13" spans="1:11" s="496" customFormat="1" ht="27" customHeight="1" x14ac:dyDescent="0.25">
      <c r="A13" s="492">
        <v>5</v>
      </c>
      <c r="B13" s="497" t="str">
        <f>'Техническая один зачет'!C25</f>
        <v>Девушки</v>
      </c>
      <c r="C13" s="498"/>
      <c r="D13" s="499" t="str">
        <f>'Техническая один зачет'!D25</f>
        <v xml:space="preserve"> </v>
      </c>
      <c r="E13" s="500">
        <f>'Техническая один зачет'!E25</f>
        <v>0</v>
      </c>
      <c r="F13" s="495" t="str">
        <f>IF('Техническая один зачет'!G25="Ж", "спортсменка", IF('Техническая один зачет'!G25="М", "спортсмен", "не понятно кто"))</f>
        <v>спортсменка</v>
      </c>
      <c r="G13" s="495"/>
      <c r="H13" s="495" t="str">
        <f>'Техническая один зачет'!B25</f>
        <v>МС</v>
      </c>
      <c r="I13" s="2147" t="str">
        <f>'Техническая один зачет'!H25</f>
        <v>Фамилия_1 Имя Отчество</v>
      </c>
      <c r="J13" s="2240"/>
      <c r="K13" s="501"/>
    </row>
    <row r="14" spans="1:11" s="496" customFormat="1" ht="27" customHeight="1" x14ac:dyDescent="0.25">
      <c r="A14" s="492">
        <v>6</v>
      </c>
      <c r="B14" s="497" t="str">
        <f>'Техническая один зачет'!C26</f>
        <v>Девушки</v>
      </c>
      <c r="C14" s="498"/>
      <c r="D14" s="499" t="str">
        <f>'Техническая один зачет'!D26</f>
        <v xml:space="preserve"> </v>
      </c>
      <c r="E14" s="500">
        <f>'Техническая один зачет'!E26</f>
        <v>0</v>
      </c>
      <c r="F14" s="495" t="str">
        <f>IF('Техническая один зачет'!G26="Ж", "спортсменка", IF('Техническая один зачет'!G26="М", "спортсмен", "не понятно кто"))</f>
        <v>спортсменка</v>
      </c>
      <c r="G14" s="495"/>
      <c r="H14" s="495" t="str">
        <f>'Техническая один зачет'!B26</f>
        <v>КМС</v>
      </c>
      <c r="I14" s="2147" t="str">
        <f>'Техническая один зачет'!H26</f>
        <v>Фамилия_1 Имя Отчество</v>
      </c>
      <c r="J14" s="2241"/>
      <c r="K14" s="501"/>
    </row>
    <row r="15" spans="1:11" s="496" customFormat="1" ht="27" customHeight="1" x14ac:dyDescent="0.25">
      <c r="A15" s="492">
        <v>7</v>
      </c>
      <c r="B15" s="497" t="str">
        <f>'Техническая один зачет'!C27</f>
        <v>Девушки</v>
      </c>
      <c r="C15" s="498"/>
      <c r="D15" s="499" t="str">
        <f>'Техническая один зачет'!D27</f>
        <v xml:space="preserve"> </v>
      </c>
      <c r="E15" s="500">
        <f>'Техническая один зачет'!E27</f>
        <v>0</v>
      </c>
      <c r="F15" s="495" t="str">
        <f>IF('Техническая один зачет'!G27="Ж", "спортсменка", IF('Техническая один зачет'!G27="М", "спортсмен", "не понятно кто"))</f>
        <v>спортсменка</v>
      </c>
      <c r="G15" s="495"/>
      <c r="H15" s="495" t="str">
        <f>'Техническая один зачет'!B27</f>
        <v>I</v>
      </c>
      <c r="I15" s="2147" t="str">
        <f>'Техническая один зачет'!H27</f>
        <v>Фамилия_1 Имя Отчество</v>
      </c>
      <c r="J15" s="2242"/>
      <c r="K15" s="501"/>
    </row>
    <row r="16" spans="1:11" s="496" customFormat="1" ht="27" customHeight="1" x14ac:dyDescent="0.25">
      <c r="A16" s="492">
        <v>8</v>
      </c>
      <c r="B16" s="497" t="str">
        <f>'Техническая один зачет'!C28</f>
        <v>Девушки</v>
      </c>
      <c r="C16" s="498"/>
      <c r="D16" s="499" t="str">
        <f>'Техническая один зачет'!D28</f>
        <v xml:space="preserve"> </v>
      </c>
      <c r="E16" s="500">
        <f>'Техническая один зачет'!E28</f>
        <v>0</v>
      </c>
      <c r="F16" s="495" t="str">
        <f>IF('Техническая один зачет'!G28="Ж", "спортсменка", IF('Техническая один зачет'!G28="М", "спортсмен", "не понятно кто"))</f>
        <v>спортсменка</v>
      </c>
      <c r="G16" s="495"/>
      <c r="H16" s="495" t="str">
        <f>'Техническая один зачет'!B28</f>
        <v>I</v>
      </c>
      <c r="I16" s="2147" t="str">
        <f>'Техническая один зачет'!H28</f>
        <v>Фамилия_1 Имя Отчество</v>
      </c>
      <c r="J16" s="2243"/>
      <c r="K16" s="501"/>
    </row>
    <row r="17" spans="1:11" s="496" customFormat="1" ht="27" customHeight="1" x14ac:dyDescent="0.25">
      <c r="A17" s="492">
        <v>9</v>
      </c>
      <c r="B17" s="497" t="str">
        <f>'Техническая один зачет'!C29</f>
        <v>Девушки</v>
      </c>
      <c r="C17" s="498"/>
      <c r="D17" s="499" t="str">
        <f>'Техническая один зачет'!D29</f>
        <v xml:space="preserve"> </v>
      </c>
      <c r="E17" s="500">
        <f>'Техническая один зачет'!E29</f>
        <v>0</v>
      </c>
      <c r="F17" s="495" t="str">
        <f>IF('Техническая один зачет'!G29="Ж", "спортсменка", IF('Техническая один зачет'!G29="М", "спортсмен", "не понятно кто"))</f>
        <v>спортсменка</v>
      </c>
      <c r="G17" s="495"/>
      <c r="H17" s="495" t="str">
        <f>'Техническая один зачет'!B29</f>
        <v>III</v>
      </c>
      <c r="I17" s="2147" t="str">
        <f>'Техническая один зачет'!H29</f>
        <v>Фамилия_1 Имя Отчество</v>
      </c>
      <c r="J17" s="2244"/>
      <c r="K17" s="501"/>
    </row>
    <row r="18" spans="1:11" s="496" customFormat="1" ht="27" customHeight="1" x14ac:dyDescent="0.25">
      <c r="A18" s="492">
        <v>10</v>
      </c>
      <c r="B18" s="497" t="str">
        <f>'Техническая один зачет'!C30</f>
        <v>Девушки</v>
      </c>
      <c r="C18" s="498"/>
      <c r="D18" s="499" t="str">
        <f>'Техническая один зачет'!D30</f>
        <v xml:space="preserve"> </v>
      </c>
      <c r="E18" s="500">
        <f>'Техническая один зачет'!E30</f>
        <v>0</v>
      </c>
      <c r="F18" s="495" t="str">
        <f>IF('Техническая один зачет'!G30="Ж", "спортсменка", IF('Техническая один зачет'!G30="М", "спортсмен", "не понятно кто"))</f>
        <v>спортсменка</v>
      </c>
      <c r="G18" s="495"/>
      <c r="H18" s="495" t="str">
        <f>'Техническая один зачет'!B30</f>
        <v>I</v>
      </c>
      <c r="I18" s="2147" t="str">
        <f>'Техническая один зачет'!H30</f>
        <v>Фамилия_1 Имя Отчество</v>
      </c>
      <c r="J18" s="2245"/>
      <c r="K18" s="501"/>
    </row>
    <row r="19" spans="1:11" s="496" customFormat="1" ht="27" customHeight="1" x14ac:dyDescent="0.25">
      <c r="A19" s="492">
        <v>11</v>
      </c>
      <c r="B19" s="497" t="str">
        <f>'Техническая один зачет'!C31</f>
        <v>Девушки</v>
      </c>
      <c r="C19" s="498"/>
      <c r="D19" s="499" t="str">
        <f>'Техническая один зачет'!D31</f>
        <v xml:space="preserve"> </v>
      </c>
      <c r="E19" s="500">
        <f>'Техническая один зачет'!E31</f>
        <v>0</v>
      </c>
      <c r="F19" s="495" t="str">
        <f>IF('Техническая один зачет'!G31="Ж", "спортсменка", IF('Техническая один зачет'!G31="М", "спортсмен", "не понятно кто"))</f>
        <v>спортсменка</v>
      </c>
      <c r="G19" s="495"/>
      <c r="H19" s="495" t="str">
        <f>'Техническая один зачет'!B31</f>
        <v>I юн</v>
      </c>
      <c r="I19" s="2147" t="str">
        <f>'Техническая один зачет'!H31</f>
        <v>Фамилия_1 Имя Отчество</v>
      </c>
      <c r="J19" s="2246"/>
      <c r="K19" s="501"/>
    </row>
    <row r="20" spans="1:11" s="496" customFormat="1" ht="27" customHeight="1" x14ac:dyDescent="0.25">
      <c r="A20" s="492">
        <v>12</v>
      </c>
      <c r="B20" s="497" t="str">
        <f>'Техническая один зачет'!C32</f>
        <v>Девушки</v>
      </c>
      <c r="C20" s="498"/>
      <c r="D20" s="499" t="str">
        <f>'Техническая один зачет'!D32</f>
        <v xml:space="preserve"> </v>
      </c>
      <c r="E20" s="500">
        <f>'Техническая один зачет'!E32</f>
        <v>0</v>
      </c>
      <c r="F20" s="495" t="str">
        <f>IF('Техническая один зачет'!G32="Ж", "спортсменка", IF('Техническая один зачет'!G32="М", "спортсмен", "не понятно кто"))</f>
        <v>спортсменка</v>
      </c>
      <c r="G20" s="495"/>
      <c r="H20" s="495" t="str">
        <f>'Техническая один зачет'!B32</f>
        <v>КМС</v>
      </c>
      <c r="I20" s="2147" t="str">
        <f>'Техническая один зачет'!H32</f>
        <v>Фамилия_1 Имя Отчество</v>
      </c>
      <c r="J20" s="2247"/>
      <c r="K20" s="501"/>
    </row>
    <row r="21" spans="1:11" s="496" customFormat="1" ht="27" customHeight="1" x14ac:dyDescent="0.25">
      <c r="A21" s="492">
        <v>13</v>
      </c>
      <c r="B21" s="497" t="str">
        <f>'Техническая один зачет'!C33</f>
        <v>Девушки</v>
      </c>
      <c r="C21" s="498"/>
      <c r="D21" s="499" t="str">
        <f>'Техническая один зачет'!D33</f>
        <v xml:space="preserve"> </v>
      </c>
      <c r="E21" s="500">
        <f>'Техническая один зачет'!E33</f>
        <v>0</v>
      </c>
      <c r="F21" s="495" t="str">
        <f>IF('Техническая один зачет'!G33="Ж", "спортсменка", IF('Техническая один зачет'!G33="М", "спортсмен", "не понятно кто"))</f>
        <v>спортсменка</v>
      </c>
      <c r="G21" s="495"/>
      <c r="H21" s="495" t="str">
        <f>'Техническая один зачет'!B33</f>
        <v>I</v>
      </c>
      <c r="I21" s="2147" t="str">
        <f>'Техническая один зачет'!H33</f>
        <v>Фамилия_1 Имя Отчество</v>
      </c>
      <c r="J21" s="2170"/>
      <c r="K21" s="501"/>
    </row>
    <row r="22" spans="1:11" s="496" customFormat="1" ht="27" customHeight="1" x14ac:dyDescent="0.25">
      <c r="A22" s="492">
        <v>14</v>
      </c>
      <c r="B22" s="497" t="str">
        <f>'Техническая один зачет'!C34</f>
        <v>Девушки</v>
      </c>
      <c r="C22" s="498"/>
      <c r="D22" s="499" t="str">
        <f>'Техническая один зачет'!D34</f>
        <v xml:space="preserve"> </v>
      </c>
      <c r="E22" s="500">
        <f>'Техническая один зачет'!E34</f>
        <v>0</v>
      </c>
      <c r="F22" s="495" t="str">
        <f>IF('Техническая один зачет'!G34="Ж", "спортсменка", IF('Техническая один зачет'!G34="М", "спортсмен", "не понятно кто"))</f>
        <v>спортсменка</v>
      </c>
      <c r="G22" s="495"/>
      <c r="H22" s="495" t="str">
        <f>'Техническая один зачет'!B34</f>
        <v>I</v>
      </c>
      <c r="I22" s="2147" t="str">
        <f>'Техническая один зачет'!H34</f>
        <v>Фамилия_1 Имя Отчество</v>
      </c>
      <c r="J22" s="2169"/>
      <c r="K22" s="501"/>
    </row>
    <row r="23" spans="1:11" s="496" customFormat="1" ht="27" customHeight="1" x14ac:dyDescent="0.25">
      <c r="A23" s="492">
        <v>15</v>
      </c>
      <c r="B23" s="497" t="str">
        <f>'Техническая один зачет'!C35</f>
        <v>Девушки</v>
      </c>
      <c r="C23" s="498"/>
      <c r="D23" s="499" t="str">
        <f>'Техническая один зачет'!D35</f>
        <v xml:space="preserve"> </v>
      </c>
      <c r="E23" s="500">
        <f>'Техническая один зачет'!E35</f>
        <v>0</v>
      </c>
      <c r="F23" s="495" t="str">
        <f>IF('Техническая один зачет'!G35="Ж", "спортсменка", IF('Техническая один зачет'!G35="М", "спортсмен", "не понятно кто"))</f>
        <v>спортсменка</v>
      </c>
      <c r="G23" s="495"/>
      <c r="H23" s="495" t="str">
        <f>'Техническая один зачет'!B35</f>
        <v>I</v>
      </c>
      <c r="I23" s="2147" t="str">
        <f>'Техническая один зачет'!H35</f>
        <v>Фамилия_1 Имя Отчество</v>
      </c>
      <c r="J23" s="2168"/>
      <c r="K23" s="501"/>
    </row>
    <row r="24" spans="1:11" s="496" customFormat="1" ht="27" customHeight="1" x14ac:dyDescent="0.25">
      <c r="A24" s="492">
        <v>16</v>
      </c>
      <c r="B24" s="497" t="str">
        <f>'Техническая один зачет'!C36</f>
        <v>Девушки</v>
      </c>
      <c r="C24" s="498"/>
      <c r="D24" s="499" t="str">
        <f>'Техническая один зачет'!D36</f>
        <v xml:space="preserve"> </v>
      </c>
      <c r="E24" s="500">
        <f>'Техническая один зачет'!E36</f>
        <v>0</v>
      </c>
      <c r="F24" s="495" t="str">
        <f>IF('Техническая один зачет'!G36="Ж", "спортсменка", IF('Техническая один зачет'!G36="М", "спортсмен", "не понятно кто"))</f>
        <v>спортсменка</v>
      </c>
      <c r="G24" s="495"/>
      <c r="H24" s="495" t="str">
        <f>'Техническая один зачет'!B36</f>
        <v>I</v>
      </c>
      <c r="I24" s="2147" t="str">
        <f>'Техническая один зачет'!H36</f>
        <v>Фамилия_1 Имя Отчество</v>
      </c>
      <c r="J24" s="2167"/>
      <c r="K24" s="501"/>
    </row>
    <row r="25" spans="1:11" s="496" customFormat="1" ht="27" customHeight="1" x14ac:dyDescent="0.25">
      <c r="A25" s="492">
        <v>17</v>
      </c>
      <c r="B25" s="497" t="str">
        <f>'Техническая один зачет'!C37</f>
        <v>Девушки</v>
      </c>
      <c r="C25" s="498"/>
      <c r="D25" s="499" t="str">
        <f>'Техническая один зачет'!D37</f>
        <v xml:space="preserve"> </v>
      </c>
      <c r="E25" s="500">
        <f>'Техническая один зачет'!E37</f>
        <v>0</v>
      </c>
      <c r="F25" s="495" t="str">
        <f>IF('Техническая один зачет'!G37="Ж", "спортсменка", IF('Техническая один зачет'!G37="М", "спортсмен", "не понятно кто"))</f>
        <v>спортсменка</v>
      </c>
      <c r="G25" s="495"/>
      <c r="H25" s="495" t="str">
        <f>'Техническая один зачет'!B37</f>
        <v>I юн</v>
      </c>
      <c r="I25" s="2147" t="str">
        <f>'Техническая один зачет'!H37</f>
        <v>Фамилия_1 Имя Отчество</v>
      </c>
      <c r="J25" s="2166"/>
      <c r="K25" s="501"/>
    </row>
    <row r="26" spans="1:11" s="496" customFormat="1" ht="27" customHeight="1" x14ac:dyDescent="0.25">
      <c r="A26" s="492">
        <v>18</v>
      </c>
      <c r="B26" s="497" t="str">
        <f>'Техническая один зачет'!C38</f>
        <v>Девушки</v>
      </c>
      <c r="C26" s="498"/>
      <c r="D26" s="499" t="str">
        <f>'Техническая один зачет'!D38</f>
        <v xml:space="preserve"> </v>
      </c>
      <c r="E26" s="500">
        <f>'Техническая один зачет'!E38</f>
        <v>0</v>
      </c>
      <c r="F26" s="495" t="str">
        <f>IF('Техническая один зачет'!G38="Ж", "спортсменка", IF('Техническая один зачет'!G38="М", "спортсмен", "не понятно кто"))</f>
        <v>спортсменка</v>
      </c>
      <c r="G26" s="495"/>
      <c r="H26" s="495" t="str">
        <f>'Техническая один зачет'!B38</f>
        <v>II юн</v>
      </c>
      <c r="I26" s="2147" t="str">
        <f>'Техническая один зачет'!H38</f>
        <v>Фамилия_1 Имя Отчество</v>
      </c>
      <c r="J26" s="2165"/>
      <c r="K26" s="501"/>
    </row>
    <row r="27" spans="1:11" s="496" customFormat="1" ht="27" customHeight="1" x14ac:dyDescent="0.25">
      <c r="A27" s="492">
        <v>19</v>
      </c>
      <c r="B27" s="497" t="str">
        <f>'Техническая один зачет'!C39</f>
        <v>Девушки</v>
      </c>
      <c r="C27" s="498"/>
      <c r="D27" s="499" t="str">
        <f>'Техническая один зачет'!D39</f>
        <v xml:space="preserve"> </v>
      </c>
      <c r="E27" s="500">
        <f>'Техническая один зачет'!E39</f>
        <v>0</v>
      </c>
      <c r="F27" s="495" t="str">
        <f>IF('Техническая один зачет'!G39="Ж", "спортсменка", IF('Техническая один зачет'!G39="М", "спортсмен", "не понятно кто"))</f>
        <v>спортсменка</v>
      </c>
      <c r="G27" s="495"/>
      <c r="H27" s="495" t="str">
        <f>'Техническая один зачет'!B39</f>
        <v>III юн</v>
      </c>
      <c r="I27" s="2147" t="str">
        <f>'Техническая один зачет'!H39</f>
        <v>Фамилия_1 Имя Отчество</v>
      </c>
      <c r="J27" s="2164"/>
      <c r="K27" s="501"/>
    </row>
    <row r="28" spans="1:11" s="496" customFormat="1" ht="27" customHeight="1" x14ac:dyDescent="0.25">
      <c r="A28" s="492">
        <v>20</v>
      </c>
      <c r="B28" s="497" t="str">
        <f>'Техническая один зачет'!C40</f>
        <v>Девушки</v>
      </c>
      <c r="C28" s="498"/>
      <c r="D28" s="499" t="str">
        <f>'Техническая один зачет'!D40</f>
        <v xml:space="preserve"> </v>
      </c>
      <c r="E28" s="500">
        <f>'Техническая один зачет'!E40</f>
        <v>0</v>
      </c>
      <c r="F28" s="495" t="str">
        <f>IF('Техническая один зачет'!G40="Ж", "спортсменка", IF('Техническая один зачет'!G40="М", "спортсмен", "не понятно кто"))</f>
        <v>спортсменка</v>
      </c>
      <c r="G28" s="495"/>
      <c r="H28" s="495" t="str">
        <f>'Техническая один зачет'!B40</f>
        <v>МСМК</v>
      </c>
      <c r="I28" s="2147" t="str">
        <f>'Техническая один зачет'!H40</f>
        <v>Фамилия_1 Имя Отчество</v>
      </c>
      <c r="J28" s="2163"/>
      <c r="K28" s="501"/>
    </row>
    <row r="29" spans="1:11" s="496" customFormat="1" ht="27" customHeight="1" x14ac:dyDescent="0.25">
      <c r="A29" s="492">
        <v>21</v>
      </c>
      <c r="B29" s="497" t="str">
        <f>'Техническая один зачет'!C41</f>
        <v>Девушки</v>
      </c>
      <c r="C29" s="498"/>
      <c r="D29" s="499" t="str">
        <f>'Техническая один зачет'!D41</f>
        <v xml:space="preserve"> </v>
      </c>
      <c r="E29" s="500">
        <f>'Техническая один зачет'!E41</f>
        <v>0</v>
      </c>
      <c r="F29" s="495" t="str">
        <f>IF('Техническая один зачет'!G41="Ж", "спортсменка", IF('Техническая один зачет'!G41="М", "спортсмен", "не понятно кто"))</f>
        <v>спортсменка</v>
      </c>
      <c r="G29" s="495"/>
      <c r="H29" s="495" t="str">
        <f>'Техническая один зачет'!B41</f>
        <v>МС</v>
      </c>
      <c r="I29" s="2147" t="str">
        <f>'Техническая один зачет'!H41</f>
        <v>Фамилия_1 Имя Отчество</v>
      </c>
      <c r="J29" s="2162"/>
      <c r="K29" s="501"/>
    </row>
    <row r="30" spans="1:11" s="496" customFormat="1" ht="27" customHeight="1" x14ac:dyDescent="0.25">
      <c r="A30" s="492">
        <v>22</v>
      </c>
      <c r="B30" s="497" t="str">
        <f>'Техническая один зачет'!C42</f>
        <v>Девушки</v>
      </c>
      <c r="C30" s="498"/>
      <c r="D30" s="499" t="str">
        <f>'Техническая один зачет'!D42</f>
        <v xml:space="preserve"> </v>
      </c>
      <c r="E30" s="500">
        <f>'Техническая один зачет'!E42</f>
        <v>0</v>
      </c>
      <c r="F30" s="495" t="str">
        <f>IF('Техническая один зачет'!G42="Ж", "спортсменка", IF('Техническая один зачет'!G42="М", "спортсмен", "не понятно кто"))</f>
        <v>спортсменка</v>
      </c>
      <c r="G30" s="495"/>
      <c r="H30" s="495" t="str">
        <f>'Техническая один зачет'!B42</f>
        <v>I</v>
      </c>
      <c r="I30" s="2147" t="str">
        <f>'Техническая один зачет'!H42</f>
        <v>Фамилия_1 Имя Отчество</v>
      </c>
      <c r="J30" s="2161"/>
      <c r="K30" s="501"/>
    </row>
    <row r="31" spans="1:11" s="496" customFormat="1" ht="27" customHeight="1" x14ac:dyDescent="0.25">
      <c r="A31" s="492">
        <v>23</v>
      </c>
      <c r="B31" s="497" t="str">
        <f>'Техническая один зачет'!C43</f>
        <v>Девушки</v>
      </c>
      <c r="C31" s="498"/>
      <c r="D31" s="499" t="str">
        <f>'Техническая один зачет'!D43</f>
        <v xml:space="preserve"> </v>
      </c>
      <c r="E31" s="500">
        <f>'Техническая один зачет'!E43</f>
        <v>0</v>
      </c>
      <c r="F31" s="495" t="str">
        <f>IF('Техническая один зачет'!G43="Ж", "спортсменка", IF('Техническая один зачет'!G43="М", "спортсмен", "не понятно кто"))</f>
        <v>спортсменка</v>
      </c>
      <c r="G31" s="495"/>
      <c r="H31" s="495" t="str">
        <f>'Техническая один зачет'!B43</f>
        <v>МС</v>
      </c>
      <c r="I31" s="2147" t="str">
        <f>'Техническая один зачет'!H43</f>
        <v>Фамилия_1 Имя Отчество</v>
      </c>
      <c r="J31" s="2148"/>
      <c r="K31" s="501"/>
    </row>
    <row r="32" spans="1:11" s="496" customFormat="1" ht="27" customHeight="1" x14ac:dyDescent="0.25">
      <c r="A32" s="492">
        <v>24</v>
      </c>
      <c r="B32" s="497" t="str">
        <f>'Техническая один зачет'!C44</f>
        <v>Девушки</v>
      </c>
      <c r="C32" s="498"/>
      <c r="D32" s="499" t="str">
        <f>'Техническая один зачет'!D44</f>
        <v xml:space="preserve"> </v>
      </c>
      <c r="E32" s="500">
        <f>'Техническая один зачет'!E44</f>
        <v>0</v>
      </c>
      <c r="F32" s="495" t="str">
        <f>IF('Техническая один зачет'!G44="Ж", "спортсменка", IF('Техническая один зачет'!G44="М", "спортсмен", "не понятно кто"))</f>
        <v>спортсменка</v>
      </c>
      <c r="G32" s="495"/>
      <c r="H32" s="495" t="str">
        <f>'Техническая один зачет'!B44</f>
        <v>I</v>
      </c>
      <c r="I32" s="2147" t="str">
        <f>'Техническая один зачет'!H44</f>
        <v>Фамилия_1 Имя Отчество</v>
      </c>
      <c r="J32" s="2149"/>
      <c r="K32" s="501"/>
    </row>
    <row r="33" spans="1:11" s="496" customFormat="1" ht="27" customHeight="1" x14ac:dyDescent="0.25">
      <c r="A33" s="492">
        <v>25</v>
      </c>
      <c r="B33" s="497" t="str">
        <f>'Техническая один зачет'!C45</f>
        <v>Девушки</v>
      </c>
      <c r="C33" s="498"/>
      <c r="D33" s="499" t="str">
        <f>'Техническая один зачет'!D45</f>
        <v xml:space="preserve"> </v>
      </c>
      <c r="E33" s="500">
        <f>'Техническая один зачет'!E45</f>
        <v>0</v>
      </c>
      <c r="F33" s="495" t="str">
        <f>IF('Техническая один зачет'!G45="Ж", "спортсменка", IF('Техническая один зачет'!G45="М", "спортсмен", "не понятно кто"))</f>
        <v>спортсменка</v>
      </c>
      <c r="G33" s="495"/>
      <c r="H33" s="495" t="str">
        <f>'Техническая один зачет'!B45</f>
        <v>II</v>
      </c>
      <c r="I33" s="2147" t="str">
        <f>'Техническая один зачет'!H45</f>
        <v>Фамилия_1 Имя Отчество</v>
      </c>
      <c r="J33" s="2150"/>
      <c r="K33" s="501"/>
    </row>
    <row r="34" spans="1:11" s="496" customFormat="1" ht="27" customHeight="1" x14ac:dyDescent="0.25">
      <c r="A34" s="492">
        <v>26</v>
      </c>
      <c r="B34" s="497" t="str">
        <f>'Техническая один зачет'!C46</f>
        <v>Юноши</v>
      </c>
      <c r="C34" s="498"/>
      <c r="D34" s="499" t="str">
        <f>'Техническая один зачет'!D46</f>
        <v xml:space="preserve"> </v>
      </c>
      <c r="E34" s="500">
        <f>'Техническая один зачет'!E46</f>
        <v>0</v>
      </c>
      <c r="F34" s="495" t="str">
        <f>IF('Техническая один зачет'!G46="Ж", "спортсменка", IF('Техническая один зачет'!G46="М", "спортсмен", "не понятно кто"))</f>
        <v>спортсмен</v>
      </c>
      <c r="G34" s="495"/>
      <c r="H34" s="495" t="str">
        <f>'Техническая один зачет'!B46</f>
        <v>III юн</v>
      </c>
      <c r="I34" s="2147" t="str">
        <f>'Техническая один зачет'!H46</f>
        <v>Фамилия_1 Имя Отчество</v>
      </c>
      <c r="J34" s="2151"/>
      <c r="K34" s="501"/>
    </row>
    <row r="35" spans="1:11" s="496" customFormat="1" ht="27" customHeight="1" x14ac:dyDescent="0.25">
      <c r="A35" s="492">
        <v>27</v>
      </c>
      <c r="B35" s="497" t="str">
        <f>'Техническая один зачет'!C47</f>
        <v>Юноши</v>
      </c>
      <c r="C35" s="498"/>
      <c r="D35" s="499" t="str">
        <f>'Техническая один зачет'!D47</f>
        <v xml:space="preserve"> </v>
      </c>
      <c r="E35" s="500">
        <f>'Техническая один зачет'!E47</f>
        <v>0</v>
      </c>
      <c r="F35" s="495" t="str">
        <f>IF('Техническая один зачет'!G47="Ж", "спортсменка", IF('Техническая один зачет'!G47="М", "спортсмен", "не понятно кто"))</f>
        <v>спортсмен</v>
      </c>
      <c r="G35" s="495"/>
      <c r="H35" s="495" t="str">
        <f>'Техническая один зачет'!B47</f>
        <v>II</v>
      </c>
      <c r="I35" s="2147" t="str">
        <f>'Техническая один зачет'!H47</f>
        <v>Фамилия_1 Имя Отчество</v>
      </c>
      <c r="J35" s="2152"/>
      <c r="K35" s="501"/>
    </row>
    <row r="36" spans="1:11" s="496" customFormat="1" ht="27" customHeight="1" x14ac:dyDescent="0.25">
      <c r="A36" s="492">
        <v>28</v>
      </c>
      <c r="B36" s="497" t="str">
        <f>'Техническая один зачет'!C48</f>
        <v>Юноши</v>
      </c>
      <c r="C36" s="498"/>
      <c r="D36" s="499" t="str">
        <f>'Техническая один зачет'!D48</f>
        <v xml:space="preserve"> </v>
      </c>
      <c r="E36" s="500">
        <f>'Техническая один зачет'!E48</f>
        <v>0</v>
      </c>
      <c r="F36" s="495" t="str">
        <f>IF('Техническая один зачет'!G48="Ж", "спортсменка", IF('Техническая один зачет'!G48="М", "спортсмен", "не понятно кто"))</f>
        <v>спортсмен</v>
      </c>
      <c r="G36" s="495"/>
      <c r="H36" s="495" t="str">
        <f>'Техническая один зачет'!B48</f>
        <v>ЗМС</v>
      </c>
      <c r="I36" s="2147" t="str">
        <f>'Техническая один зачет'!H48</f>
        <v>Фамилия_1 Имя Отчество</v>
      </c>
      <c r="J36" s="2153"/>
      <c r="K36" s="501"/>
    </row>
    <row r="37" spans="1:11" s="496" customFormat="1" ht="27" customHeight="1" x14ac:dyDescent="0.25">
      <c r="A37" s="492">
        <v>29</v>
      </c>
      <c r="B37" s="497" t="str">
        <f>'Техническая один зачет'!C49</f>
        <v>Юноши</v>
      </c>
      <c r="C37" s="498"/>
      <c r="D37" s="499" t="str">
        <f>'Техническая один зачет'!D49</f>
        <v xml:space="preserve"> </v>
      </c>
      <c r="E37" s="500">
        <f>'Техническая один зачет'!E49</f>
        <v>0</v>
      </c>
      <c r="F37" s="495" t="str">
        <f>IF('Техническая один зачет'!G49="Ж", "спортсменка", IF('Техническая один зачет'!G49="М", "спортсмен", "не понятно кто"))</f>
        <v>спортсмен</v>
      </c>
      <c r="G37" s="495"/>
      <c r="H37" s="495" t="str">
        <f>'Техническая один зачет'!B49</f>
        <v>МСМК</v>
      </c>
      <c r="I37" s="2147" t="str">
        <f>'Техническая один зачет'!H49</f>
        <v>Фамилия_1 Имя Отчество</v>
      </c>
      <c r="J37" s="2154"/>
      <c r="K37" s="501"/>
    </row>
    <row r="38" spans="1:11" s="496" customFormat="1" ht="27" customHeight="1" x14ac:dyDescent="0.25">
      <c r="A38" s="492">
        <v>30</v>
      </c>
      <c r="B38" s="497" t="str">
        <f>'Техническая один зачет'!C50</f>
        <v>Юноши</v>
      </c>
      <c r="C38" s="498"/>
      <c r="D38" s="499" t="str">
        <f>'Техническая один зачет'!D50</f>
        <v xml:space="preserve"> </v>
      </c>
      <c r="E38" s="500">
        <f>'Техническая один зачет'!E50</f>
        <v>0</v>
      </c>
      <c r="F38" s="495" t="str">
        <f>IF('Техническая один зачет'!G50="Ж", "спортсменка", IF('Техническая один зачет'!G50="М", "спортсмен", "не понятно кто"))</f>
        <v>спортсмен</v>
      </c>
      <c r="G38" s="495"/>
      <c r="H38" s="495" t="str">
        <f>'Техническая один зачет'!B50</f>
        <v>МС</v>
      </c>
      <c r="I38" s="2147" t="str">
        <f>'Техническая один зачет'!H50</f>
        <v>Фамилия_1 Имя Отчество</v>
      </c>
      <c r="J38" s="2155"/>
      <c r="K38" s="501"/>
    </row>
    <row r="39" spans="1:11" s="496" customFormat="1" ht="27" customHeight="1" x14ac:dyDescent="0.25">
      <c r="A39" s="492">
        <v>31</v>
      </c>
      <c r="B39" s="497" t="str">
        <f>'Техническая один зачет'!C51</f>
        <v>Юноши</v>
      </c>
      <c r="C39" s="498"/>
      <c r="D39" s="499" t="str">
        <f>'Техническая один зачет'!D51</f>
        <v xml:space="preserve"> </v>
      </c>
      <c r="E39" s="500">
        <f>'Техническая один зачет'!E51</f>
        <v>0</v>
      </c>
      <c r="F39" s="495" t="str">
        <f>IF('Техническая один зачет'!G51="Ж", "спортсменка", IF('Техническая один зачет'!G51="М", "спортсмен", "не понятно кто"))</f>
        <v>спортсмен</v>
      </c>
      <c r="G39" s="495"/>
      <c r="H39" s="495" t="str">
        <f>'Техническая один зачет'!B51</f>
        <v>КМС</v>
      </c>
      <c r="I39" s="2147" t="str">
        <f>'Техническая один зачет'!H51</f>
        <v>Фамилия_1 Имя Отчество</v>
      </c>
      <c r="J39" s="2156"/>
      <c r="K39" s="501"/>
    </row>
    <row r="40" spans="1:11" s="496" customFormat="1" ht="27" customHeight="1" x14ac:dyDescent="0.25">
      <c r="A40" s="492">
        <v>32</v>
      </c>
      <c r="B40" s="497" t="str">
        <f>'Техническая один зачет'!C52</f>
        <v>Юноши</v>
      </c>
      <c r="C40" s="498"/>
      <c r="D40" s="499" t="str">
        <f>'Техническая один зачет'!D52</f>
        <v xml:space="preserve"> </v>
      </c>
      <c r="E40" s="500">
        <f>'Техническая один зачет'!E52</f>
        <v>0</v>
      </c>
      <c r="F40" s="495" t="str">
        <f>IF('Техническая один зачет'!G52="Ж", "спортсменка", IF('Техническая один зачет'!G52="М", "спортсмен", "не понятно кто"))</f>
        <v>спортсмен</v>
      </c>
      <c r="G40" s="495"/>
      <c r="H40" s="495" t="str">
        <f>'Техническая один зачет'!B52</f>
        <v>КМС</v>
      </c>
      <c r="I40" s="2147" t="str">
        <f>'Техническая один зачет'!H52</f>
        <v>Фамилия_1 Имя Отчество</v>
      </c>
      <c r="J40" s="2157"/>
      <c r="K40" s="501"/>
    </row>
    <row r="41" spans="1:11" s="496" customFormat="1" ht="27" customHeight="1" x14ac:dyDescent="0.25">
      <c r="A41" s="492">
        <v>33</v>
      </c>
      <c r="B41" s="497" t="str">
        <f>'Техническая один зачет'!C53</f>
        <v>Юноши</v>
      </c>
      <c r="C41" s="498"/>
      <c r="D41" s="499" t="str">
        <f>'Техническая один зачет'!D53</f>
        <v xml:space="preserve"> </v>
      </c>
      <c r="E41" s="500">
        <f>'Техническая один зачет'!E53</f>
        <v>0</v>
      </c>
      <c r="F41" s="495" t="str">
        <f>IF('Техническая один зачет'!G53="Ж", "спортсменка", IF('Техническая один зачет'!G53="М", "спортсмен", "не понятно кто"))</f>
        <v>спортсмен</v>
      </c>
      <c r="G41" s="495"/>
      <c r="H41" s="495" t="str">
        <f>'Техническая один зачет'!B53</f>
        <v>КМС</v>
      </c>
      <c r="I41" s="2147" t="str">
        <f>'Техническая один зачет'!H53</f>
        <v>Фамилия_1 Имя Отчество</v>
      </c>
      <c r="J41" s="2158"/>
      <c r="K41" s="501"/>
    </row>
    <row r="42" spans="1:11" s="496" customFormat="1" ht="27" customHeight="1" x14ac:dyDescent="0.25">
      <c r="A42" s="492">
        <v>34</v>
      </c>
      <c r="B42" s="497" t="str">
        <f>'Техническая один зачет'!C54</f>
        <v>Юноши</v>
      </c>
      <c r="C42" s="498"/>
      <c r="D42" s="499" t="str">
        <f>'Техническая один зачет'!D54</f>
        <v xml:space="preserve"> </v>
      </c>
      <c r="E42" s="500">
        <f>'Техническая один зачет'!E54</f>
        <v>0</v>
      </c>
      <c r="F42" s="495" t="str">
        <f>IF('Техническая один зачет'!G54="Ж", "спортсменка", IF('Техническая один зачет'!G54="М", "спортсмен", "не понятно кто"))</f>
        <v>спортсмен</v>
      </c>
      <c r="G42" s="495"/>
      <c r="H42" s="495" t="str">
        <f>'Техническая один зачет'!B54</f>
        <v>ЗМС</v>
      </c>
      <c r="I42" s="2147" t="str">
        <f>'Техническая один зачет'!H54</f>
        <v>Фамилия_1 Имя Отчество</v>
      </c>
      <c r="J42" s="2159"/>
      <c r="K42" s="501"/>
    </row>
    <row r="43" spans="1:11" s="496" customFormat="1" ht="27" customHeight="1" x14ac:dyDescent="0.25">
      <c r="A43" s="492">
        <v>35</v>
      </c>
      <c r="B43" s="497" t="str">
        <f>'Техническая один зачет'!C55</f>
        <v>Юноши</v>
      </c>
      <c r="C43" s="498"/>
      <c r="D43" s="499" t="str">
        <f>'Техническая один зачет'!D55</f>
        <v xml:space="preserve"> </v>
      </c>
      <c r="E43" s="500">
        <f>'Техническая один зачет'!E55</f>
        <v>0</v>
      </c>
      <c r="F43" s="495" t="str">
        <f>IF('Техническая один зачет'!G55="Ж", "спортсменка", IF('Техническая один зачет'!G55="М", "спортсмен", "не понятно кто"))</f>
        <v>спортсмен</v>
      </c>
      <c r="G43" s="495"/>
      <c r="H43" s="495" t="str">
        <f>'Техническая один зачет'!B55</f>
        <v>МСМК</v>
      </c>
      <c r="I43" s="2147" t="str">
        <f>'Техническая один зачет'!H55</f>
        <v>Фамилия_1 Имя Отчество</v>
      </c>
      <c r="J43" s="2160"/>
      <c r="K43" s="501"/>
    </row>
    <row r="44" spans="1:11" s="496" customFormat="1" ht="27" customHeight="1" x14ac:dyDescent="0.25">
      <c r="A44" s="492">
        <v>36</v>
      </c>
      <c r="B44" s="497" t="str">
        <f>'Техническая один зачет'!C56</f>
        <v>Юноши</v>
      </c>
      <c r="C44" s="498"/>
      <c r="D44" s="499" t="str">
        <f>'Техническая один зачет'!D56</f>
        <v xml:space="preserve"> </v>
      </c>
      <c r="E44" s="500">
        <f>'Техническая один зачет'!E56</f>
        <v>0</v>
      </c>
      <c r="F44" s="495" t="str">
        <f>IF('Техническая один зачет'!G56="Ж", "спортсменка", IF('Техническая один зачет'!G56="М", "спортсмен", "не понятно кто"))</f>
        <v>спортсмен</v>
      </c>
      <c r="G44" s="495"/>
      <c r="H44" s="495" t="str">
        <f>'Техническая один зачет'!B56</f>
        <v>МС</v>
      </c>
      <c r="I44" s="2147" t="str">
        <f>'Техническая один зачет'!H56</f>
        <v>Фамилия_1 Имя Отчество</v>
      </c>
      <c r="J44" s="2171"/>
      <c r="K44" s="501"/>
    </row>
    <row r="45" spans="1:11" s="496" customFormat="1" ht="27" customHeight="1" x14ac:dyDescent="0.25">
      <c r="A45" s="492">
        <v>37</v>
      </c>
      <c r="B45" s="497" t="str">
        <f>'Техническая один зачет'!C57</f>
        <v>Юноши</v>
      </c>
      <c r="C45" s="498"/>
      <c r="D45" s="499" t="str">
        <f>'Техническая один зачет'!D57</f>
        <v xml:space="preserve"> </v>
      </c>
      <c r="E45" s="500">
        <f>'Техническая один зачет'!E57</f>
        <v>0</v>
      </c>
      <c r="F45" s="495" t="str">
        <f>IF('Техническая один зачет'!G57="Ж", "спортсменка", IF('Техническая один зачет'!G57="М", "спортсмен", "не понятно кто"))</f>
        <v>спортсмен</v>
      </c>
      <c r="G45" s="495"/>
      <c r="H45" s="495" t="str">
        <f>'Техническая один зачет'!B57</f>
        <v>КМС</v>
      </c>
      <c r="I45" s="2147" t="str">
        <f>'Техническая один зачет'!H57</f>
        <v>Фамилия_1 Имя Отчество</v>
      </c>
      <c r="J45" s="2172"/>
      <c r="K45" s="501"/>
    </row>
    <row r="46" spans="1:11" s="496" customFormat="1" ht="27" customHeight="1" x14ac:dyDescent="0.25">
      <c r="A46" s="492">
        <v>38</v>
      </c>
      <c r="B46" s="497" t="str">
        <f>'Техническая один зачет'!C58</f>
        <v>Юноши</v>
      </c>
      <c r="C46" s="498"/>
      <c r="D46" s="499" t="str">
        <f>'Техническая один зачет'!D58</f>
        <v xml:space="preserve"> </v>
      </c>
      <c r="E46" s="500">
        <f>'Техническая один зачет'!E58</f>
        <v>0</v>
      </c>
      <c r="F46" s="495" t="str">
        <f>IF('Техническая один зачет'!G58="Ж", "спортсменка", IF('Техническая один зачет'!G58="М", "спортсмен", "не понятно кто"))</f>
        <v>спортсмен</v>
      </c>
      <c r="G46" s="495"/>
      <c r="H46" s="495" t="str">
        <f>'Техническая один зачет'!B58</f>
        <v>КМС</v>
      </c>
      <c r="I46" s="2147" t="str">
        <f>'Техническая один зачет'!H58</f>
        <v>Фамилия_1 Имя Отчество</v>
      </c>
      <c r="J46" s="2183"/>
      <c r="K46" s="501"/>
    </row>
    <row r="47" spans="1:11" s="496" customFormat="1" ht="27" customHeight="1" x14ac:dyDescent="0.25">
      <c r="A47" s="492">
        <v>39</v>
      </c>
      <c r="B47" s="497" t="str">
        <f>'Техническая один зачет'!C59</f>
        <v>Юноши</v>
      </c>
      <c r="C47" s="498"/>
      <c r="D47" s="499" t="str">
        <f>'Техническая один зачет'!D59</f>
        <v xml:space="preserve"> </v>
      </c>
      <c r="E47" s="500">
        <f>'Техническая один зачет'!E59</f>
        <v>0</v>
      </c>
      <c r="F47" s="495" t="str">
        <f>IF('Техническая один зачет'!G59="Ж", "спортсменка", IF('Техническая один зачет'!G59="М", "спортсмен", "не понятно кто"))</f>
        <v>спортсмен</v>
      </c>
      <c r="G47" s="495"/>
      <c r="H47" s="495" t="str">
        <f>'Техническая один зачет'!B59</f>
        <v>КМС</v>
      </c>
      <c r="I47" s="2147" t="str">
        <f>'Техническая один зачет'!H59</f>
        <v>Фамилия_1 Имя Отчество</v>
      </c>
      <c r="J47" s="2173"/>
      <c r="K47" s="501"/>
    </row>
    <row r="48" spans="1:11" s="496" customFormat="1" ht="27" customHeight="1" x14ac:dyDescent="0.25">
      <c r="A48" s="492">
        <v>40</v>
      </c>
      <c r="B48" s="497" t="str">
        <f>'Техническая один зачет'!C60</f>
        <v>Юноши</v>
      </c>
      <c r="C48" s="498"/>
      <c r="D48" s="499" t="str">
        <f>'Техническая один зачет'!D60</f>
        <v xml:space="preserve"> </v>
      </c>
      <c r="E48" s="500">
        <f>'Техническая один зачет'!E60</f>
        <v>0</v>
      </c>
      <c r="F48" s="495" t="str">
        <f>IF('Техническая один зачет'!G60="Ж", "спортсменка", IF('Техническая один зачет'!G60="М", "спортсмен", "не понятно кто"))</f>
        <v>спортсмен</v>
      </c>
      <c r="G48" s="495"/>
      <c r="H48" s="495" t="str">
        <f>'Техническая один зачет'!B60</f>
        <v>КМС</v>
      </c>
      <c r="I48" s="2147" t="str">
        <f>'Техническая один зачет'!H60</f>
        <v>Фамилия_1 Имя Отчество</v>
      </c>
      <c r="J48" s="2174"/>
      <c r="K48" s="501"/>
    </row>
    <row r="49" spans="1:11" s="496" customFormat="1" ht="27" customHeight="1" x14ac:dyDescent="0.25">
      <c r="A49" s="492">
        <v>41</v>
      </c>
      <c r="B49" s="497" t="str">
        <f>'Техническая один зачет'!C61</f>
        <v>Юноши</v>
      </c>
      <c r="C49" s="498"/>
      <c r="D49" s="499" t="str">
        <f>'Техническая один зачет'!D61</f>
        <v xml:space="preserve"> </v>
      </c>
      <c r="E49" s="500">
        <f>'Техническая один зачет'!E61</f>
        <v>0</v>
      </c>
      <c r="F49" s="495" t="str">
        <f>IF('Техническая один зачет'!G61="Ж", "спортсменка", IF('Техническая один зачет'!G61="М", "спортсмен", "не понятно кто"))</f>
        <v>спортсмен</v>
      </c>
      <c r="G49" s="495"/>
      <c r="H49" s="495" t="str">
        <f>'Техническая один зачет'!B61</f>
        <v>КМС</v>
      </c>
      <c r="I49" s="2147" t="str">
        <f>'Техническая один зачет'!H61</f>
        <v>Фамилия_1 Имя Отчество</v>
      </c>
      <c r="J49" s="2175"/>
      <c r="K49" s="501"/>
    </row>
    <row r="50" spans="1:11" s="496" customFormat="1" ht="27" customHeight="1" x14ac:dyDescent="0.25">
      <c r="A50" s="492">
        <v>42</v>
      </c>
      <c r="B50" s="497" t="str">
        <f>'Техническая один зачет'!C62</f>
        <v>Юноши</v>
      </c>
      <c r="C50" s="498"/>
      <c r="D50" s="499" t="str">
        <f>'Техническая один зачет'!D62</f>
        <v xml:space="preserve"> </v>
      </c>
      <c r="E50" s="500">
        <f>'Техническая один зачет'!E62</f>
        <v>0</v>
      </c>
      <c r="F50" s="495" t="str">
        <f>IF('Техническая один зачет'!G62="Ж", "спортсменка", IF('Техническая один зачет'!G62="М", "спортсмен", "не понятно кто"))</f>
        <v>спортсмен</v>
      </c>
      <c r="G50" s="495"/>
      <c r="H50" s="495" t="str">
        <f>'Техническая один зачет'!B62</f>
        <v>КМС</v>
      </c>
      <c r="I50" s="2147" t="str">
        <f>'Техническая один зачет'!H62</f>
        <v>Фамилия_1 Имя Отчество</v>
      </c>
      <c r="J50" s="2176"/>
      <c r="K50" s="501"/>
    </row>
    <row r="51" spans="1:11" s="496" customFormat="1" ht="27" customHeight="1" x14ac:dyDescent="0.25">
      <c r="A51" s="492">
        <v>43</v>
      </c>
      <c r="B51" s="497" t="str">
        <f>'Техническая один зачет'!C63</f>
        <v>Юноши</v>
      </c>
      <c r="C51" s="498"/>
      <c r="D51" s="499" t="str">
        <f>'Техническая один зачет'!D63</f>
        <v xml:space="preserve"> </v>
      </c>
      <c r="E51" s="500">
        <f>'Техническая один зачет'!E63</f>
        <v>0</v>
      </c>
      <c r="F51" s="495" t="str">
        <f>IF('Техническая один зачет'!G63="Ж", "спортсменка", IF('Техническая один зачет'!G63="М", "спортсмен", "не понятно кто"))</f>
        <v>спортсмен</v>
      </c>
      <c r="G51" s="495"/>
      <c r="H51" s="495" t="str">
        <f>'Техническая один зачет'!B63</f>
        <v>КМС</v>
      </c>
      <c r="I51" s="2147" t="str">
        <f>'Техническая один зачет'!H63</f>
        <v>Фамилия_1 Имя Отчество</v>
      </c>
      <c r="J51" s="2177"/>
      <c r="K51" s="501"/>
    </row>
    <row r="52" spans="1:11" s="496" customFormat="1" ht="27" customHeight="1" x14ac:dyDescent="0.25">
      <c r="A52" s="492">
        <v>44</v>
      </c>
      <c r="B52" s="497" t="str">
        <f>'Техническая один зачет'!C64</f>
        <v>Юноши</v>
      </c>
      <c r="C52" s="498"/>
      <c r="D52" s="499" t="str">
        <f>'Техническая один зачет'!D64</f>
        <v xml:space="preserve"> </v>
      </c>
      <c r="E52" s="500">
        <f>'Техническая один зачет'!E64</f>
        <v>0</v>
      </c>
      <c r="F52" s="495" t="str">
        <f>IF('Техническая один зачет'!G64="Ж", "спортсменка", IF('Техническая один зачет'!G64="М", "спортсмен", "не понятно кто"))</f>
        <v>спортсмен</v>
      </c>
      <c r="G52" s="495"/>
      <c r="H52" s="495" t="str">
        <f>'Техническая один зачет'!B64</f>
        <v>КМС</v>
      </c>
      <c r="I52" s="2147" t="str">
        <f>'Техническая один зачет'!H64</f>
        <v>Фамилия_1 Имя Отчество</v>
      </c>
      <c r="J52" s="2184"/>
      <c r="K52" s="501"/>
    </row>
    <row r="53" spans="1:11" s="496" customFormat="1" ht="27" customHeight="1" x14ac:dyDescent="0.25">
      <c r="A53" s="492">
        <v>45</v>
      </c>
      <c r="B53" s="497" t="str">
        <f>'Техническая один зачет'!C65</f>
        <v>Юноши</v>
      </c>
      <c r="C53" s="498"/>
      <c r="D53" s="499" t="str">
        <f>'Техническая один зачет'!D65</f>
        <v xml:space="preserve"> </v>
      </c>
      <c r="E53" s="500">
        <f>'Техническая один зачет'!E65</f>
        <v>0</v>
      </c>
      <c r="F53" s="495" t="str">
        <f>IF('Техническая один зачет'!G65="Ж", "спортсменка", IF('Техническая один зачет'!G65="М", "спортсмен", "не понятно кто"))</f>
        <v>спортсмен</v>
      </c>
      <c r="G53" s="495"/>
      <c r="H53" s="495" t="str">
        <f>'Техническая один зачет'!B65</f>
        <v>II юн</v>
      </c>
      <c r="I53" s="2147" t="str">
        <f>'Техническая один зачет'!H65</f>
        <v>Фамилия_1 Имя Отчество</v>
      </c>
      <c r="J53" s="2185"/>
      <c r="K53" s="501"/>
    </row>
    <row r="54" spans="1:11" s="496" customFormat="1" ht="27" customHeight="1" x14ac:dyDescent="0.25">
      <c r="A54" s="492">
        <v>46</v>
      </c>
      <c r="B54" s="497" t="str">
        <f>'Техническая один зачет'!C66</f>
        <v>Юноши</v>
      </c>
      <c r="C54" s="498"/>
      <c r="D54" s="499" t="str">
        <f>'Техническая один зачет'!D66</f>
        <v xml:space="preserve"> </v>
      </c>
      <c r="E54" s="500">
        <f>'Техническая один зачет'!E66</f>
        <v>0</v>
      </c>
      <c r="F54" s="495" t="str">
        <f>IF('Техническая один зачет'!G66="Ж", "спортсменка", IF('Техническая один зачет'!G66="М", "спортсмен", "не понятно кто"))</f>
        <v>спортсмен</v>
      </c>
      <c r="G54" s="495"/>
      <c r="H54" s="495" t="str">
        <f>'Техническая один зачет'!B66</f>
        <v>III юн</v>
      </c>
      <c r="I54" s="2147" t="str">
        <f>'Техническая один зачет'!H66</f>
        <v>Фамилия_1 Имя Отчество</v>
      </c>
      <c r="J54" s="2178"/>
      <c r="K54" s="501"/>
    </row>
    <row r="55" spans="1:11" s="496" customFormat="1" ht="27" customHeight="1" x14ac:dyDescent="0.25">
      <c r="A55" s="492">
        <v>47</v>
      </c>
      <c r="B55" s="497" t="str">
        <f>'Техническая один зачет'!C67</f>
        <v>Юноши</v>
      </c>
      <c r="C55" s="498"/>
      <c r="D55" s="499" t="str">
        <f>'Техническая один зачет'!D67</f>
        <v xml:space="preserve"> </v>
      </c>
      <c r="E55" s="500">
        <f>'Техническая один зачет'!E67</f>
        <v>0</v>
      </c>
      <c r="F55" s="495" t="str">
        <f>IF('Техническая один зачет'!G67="Ж", "спортсменка", IF('Техническая один зачет'!G67="М", "спортсмен", "не понятно кто"))</f>
        <v>спортсмен</v>
      </c>
      <c r="G55" s="495"/>
      <c r="H55" s="495" t="str">
        <f>'Техническая один зачет'!B67</f>
        <v>I юн</v>
      </c>
      <c r="I55" s="2147" t="str">
        <f>'Техническая один зачет'!H67</f>
        <v>Фамилия_1 Имя Отчество</v>
      </c>
      <c r="J55" s="2179"/>
      <c r="K55" s="501"/>
    </row>
    <row r="56" spans="1:11" s="496" customFormat="1" ht="27" customHeight="1" x14ac:dyDescent="0.25">
      <c r="A56" s="492">
        <v>48</v>
      </c>
      <c r="B56" s="497" t="str">
        <f>'Техническая один зачет'!C68</f>
        <v>Юноши</v>
      </c>
      <c r="C56" s="498"/>
      <c r="D56" s="499" t="str">
        <f>'Техническая один зачет'!D68</f>
        <v xml:space="preserve"> </v>
      </c>
      <c r="E56" s="500">
        <f>'Техническая один зачет'!E68</f>
        <v>0</v>
      </c>
      <c r="F56" s="495" t="str">
        <f>IF('Техническая один зачет'!G68="Ж", "спортсменка", IF('Техническая один зачет'!G68="М", "спортсмен", "не понятно кто"))</f>
        <v>спортсмен</v>
      </c>
      <c r="G56" s="495"/>
      <c r="H56" s="495" t="str">
        <f>'Техническая один зачет'!B68</f>
        <v>III</v>
      </c>
      <c r="I56" s="2147" t="str">
        <f>'Техническая один зачет'!H68</f>
        <v>Фамилия_1 Имя Отчество</v>
      </c>
      <c r="J56" s="2180"/>
      <c r="K56" s="501"/>
    </row>
    <row r="57" spans="1:11" s="496" customFormat="1" ht="27" customHeight="1" x14ac:dyDescent="0.25">
      <c r="A57" s="492">
        <v>49</v>
      </c>
      <c r="B57" s="497" t="str">
        <f>'Техническая один зачет'!C69</f>
        <v>Юноши</v>
      </c>
      <c r="C57" s="498"/>
      <c r="D57" s="499" t="str">
        <f>'Техническая один зачет'!D69</f>
        <v xml:space="preserve"> </v>
      </c>
      <c r="E57" s="500">
        <f>'Техническая один зачет'!E69</f>
        <v>0</v>
      </c>
      <c r="F57" s="495" t="str">
        <f>IF('Техническая один зачет'!G69="Ж", "спортсменка", IF('Техническая один зачет'!G69="М", "спортсмен", "не понятно кто"))</f>
        <v>спортсмен</v>
      </c>
      <c r="G57" s="495"/>
      <c r="H57" s="495" t="str">
        <f>'Техническая один зачет'!B69</f>
        <v>I юн</v>
      </c>
      <c r="I57" s="2147" t="str">
        <f>'Техническая один зачет'!H69</f>
        <v>Фамилия_1 Имя Отчество</v>
      </c>
      <c r="J57" s="2181"/>
      <c r="K57" s="501"/>
    </row>
    <row r="58" spans="1:11" s="496" customFormat="1" ht="27" customHeight="1" x14ac:dyDescent="0.25">
      <c r="A58" s="492">
        <v>50</v>
      </c>
      <c r="B58" s="497" t="str">
        <f>'Техническая один зачет'!C70</f>
        <v>Юноши</v>
      </c>
      <c r="C58" s="498"/>
      <c r="D58" s="499" t="str">
        <f>'Техническая один зачет'!D70</f>
        <v xml:space="preserve"> </v>
      </c>
      <c r="E58" s="500">
        <f>'Техническая один зачет'!E70</f>
        <v>0</v>
      </c>
      <c r="F58" s="495" t="str">
        <f>IF('Техническая один зачет'!G70="Ж", "спортсменка", IF('Техническая один зачет'!G70="М", "спортсмен", "не понятно кто"))</f>
        <v>спортсмен</v>
      </c>
      <c r="G58" s="495"/>
      <c r="H58" s="495" t="str">
        <f>'Техническая один зачет'!B70</f>
        <v>II юн</v>
      </c>
      <c r="I58" s="2147" t="str">
        <f>'Техническая один зачет'!H70</f>
        <v>Фамилия_1 Имя Отчество</v>
      </c>
      <c r="J58" s="2182"/>
      <c r="K58" s="501"/>
    </row>
    <row r="59" spans="1:11" ht="15" customHeight="1" x14ac:dyDescent="0.25">
      <c r="A59" s="490"/>
      <c r="B59" s="502"/>
      <c r="C59" s="502"/>
      <c r="D59" s="489"/>
      <c r="E59" s="490"/>
      <c r="F59" s="490"/>
      <c r="G59" s="490"/>
      <c r="H59" s="503"/>
      <c r="I59" s="503"/>
      <c r="J59" s="490"/>
      <c r="K59" s="489"/>
    </row>
    <row r="60" spans="1:11" s="496" customFormat="1" ht="24.75" customHeight="1" x14ac:dyDescent="0.3">
      <c r="A60" s="504"/>
      <c r="C60" s="485" t="s">
        <v>665</v>
      </c>
      <c r="D60" s="505" t="str">
        <f>'Техническая один зачет'!E76</f>
        <v>Фамилия_1 Имя Отчество</v>
      </c>
      <c r="E60" s="506"/>
      <c r="F60" s="506"/>
      <c r="G60" s="485" t="s">
        <v>666</v>
      </c>
      <c r="H60" s="2203"/>
      <c r="I60" s="2204"/>
      <c r="J60" s="2205"/>
      <c r="K60" s="2206"/>
    </row>
    <row r="61" spans="1:11" s="496" customFormat="1" ht="24.75" customHeight="1" x14ac:dyDescent="0.3">
      <c r="A61" s="490"/>
      <c r="B61" s="147"/>
      <c r="C61" s="147"/>
      <c r="D61" s="498" t="str">
        <f>'Техническая один зачет'!E77</f>
        <v>Фамилия_2 Имя Отчество</v>
      </c>
      <c r="E61" s="507"/>
      <c r="F61" s="507"/>
      <c r="G61" s="243"/>
      <c r="H61" s="2196"/>
      <c r="I61" s="2200"/>
      <c r="J61" s="2201"/>
      <c r="K61" s="2202"/>
    </row>
    <row r="62" spans="1:11" s="496" customFormat="1" ht="24.75" customHeight="1" x14ac:dyDescent="0.3">
      <c r="A62" s="490"/>
      <c r="B62" s="147"/>
      <c r="C62" s="147"/>
      <c r="D62" s="498" t="str">
        <f>'Техническая один зачет'!E78</f>
        <v>Фамилия_3 Имя Отчество</v>
      </c>
      <c r="E62" s="507"/>
      <c r="F62" s="507"/>
      <c r="G62" s="243"/>
      <c r="H62" s="2196"/>
      <c r="I62" s="2197"/>
      <c r="J62" s="2198"/>
      <c r="K62" s="2199"/>
    </row>
    <row r="63" spans="1:11" s="496" customFormat="1" ht="21" customHeight="1" x14ac:dyDescent="0.3">
      <c r="A63" s="243"/>
      <c r="B63" s="147"/>
      <c r="C63" s="147"/>
      <c r="D63" s="147"/>
      <c r="E63" s="243"/>
      <c r="F63" s="243"/>
      <c r="G63" s="243"/>
      <c r="H63" s="243"/>
      <c r="I63" s="243"/>
      <c r="J63" s="243"/>
      <c r="K63" s="508"/>
    </row>
    <row r="64" spans="1:11" s="496" customFormat="1" ht="17.25" customHeight="1" x14ac:dyDescent="0.3">
      <c r="D64" s="509" t="s">
        <v>667</v>
      </c>
      <c r="E64" s="506"/>
      <c r="F64" s="506"/>
      <c r="G64" s="506"/>
      <c r="H64" s="2192" t="str">
        <f>'Техническая один зачет'!E76</f>
        <v>Фамилия_1 Имя Отчество</v>
      </c>
      <c r="I64" s="2193"/>
      <c r="J64" s="2194"/>
      <c r="K64" s="2195"/>
    </row>
    <row r="65" spans="1:11" s="510" customFormat="1" ht="12.75" customHeight="1" x14ac:dyDescent="0.25">
      <c r="A65" s="511"/>
      <c r="B65" s="511"/>
      <c r="C65" s="511"/>
      <c r="F65" s="512" t="s">
        <v>668</v>
      </c>
      <c r="G65" s="513"/>
      <c r="H65" s="512"/>
      <c r="I65" s="512"/>
      <c r="J65" s="512" t="s">
        <v>669</v>
      </c>
      <c r="K65" s="514"/>
    </row>
    <row r="66" spans="1:11" s="47" customFormat="1" ht="21" customHeight="1" x14ac:dyDescent="0.2">
      <c r="A66" s="4"/>
      <c r="B66" s="4"/>
      <c r="C66" s="4"/>
      <c r="F66" s="515"/>
      <c r="G66" s="516"/>
      <c r="H66" s="515"/>
      <c r="I66" s="515"/>
      <c r="J66" s="515"/>
      <c r="K66" s="517"/>
    </row>
    <row r="67" spans="1:11" s="496" customFormat="1" ht="19.5" x14ac:dyDescent="0.35">
      <c r="A67" s="518" t="s">
        <v>670</v>
      </c>
      <c r="B67" s="518"/>
      <c r="C67" s="518"/>
      <c r="D67" s="519"/>
      <c r="E67" s="520"/>
      <c r="F67" s="518" t="s">
        <v>671</v>
      </c>
      <c r="G67" s="509" t="s">
        <v>672</v>
      </c>
      <c r="H67" s="521"/>
      <c r="I67" s="521"/>
      <c r="J67" s="2187"/>
      <c r="K67" s="2207"/>
    </row>
    <row r="68" spans="1:11" s="513" customFormat="1" ht="12" x14ac:dyDescent="0.25">
      <c r="A68" s="522"/>
      <c r="B68" s="522"/>
      <c r="C68" s="522"/>
      <c r="E68" s="522"/>
      <c r="F68" s="512"/>
      <c r="I68" s="512" t="s">
        <v>668</v>
      </c>
      <c r="J68" s="512"/>
      <c r="K68" s="512" t="s">
        <v>669</v>
      </c>
    </row>
    <row r="70" spans="1:11" s="496" customFormat="1" ht="33.75" customHeight="1" x14ac:dyDescent="0.35">
      <c r="A70" s="2186" t="s">
        <v>673</v>
      </c>
      <c r="B70" s="2186"/>
      <c r="C70" s="2186"/>
      <c r="D70" s="2186"/>
      <c r="E70" s="523"/>
      <c r="F70" s="523"/>
      <c r="G70" s="523"/>
      <c r="H70" s="523"/>
      <c r="I70" s="2187"/>
      <c r="J70" s="2188"/>
      <c r="K70" s="2189"/>
    </row>
    <row r="71" spans="1:11" s="510" customFormat="1" ht="12.75" customHeight="1" x14ac:dyDescent="0.25">
      <c r="A71" s="511"/>
      <c r="B71" s="511"/>
      <c r="C71" s="511"/>
      <c r="F71" s="512" t="s">
        <v>668</v>
      </c>
      <c r="G71" s="513"/>
      <c r="H71" s="512"/>
      <c r="I71" s="512"/>
      <c r="J71" s="512" t="s">
        <v>669</v>
      </c>
      <c r="K71" s="514"/>
    </row>
    <row r="72" spans="1:11" s="496" customFormat="1" ht="12" customHeight="1" x14ac:dyDescent="0.25">
      <c r="A72" s="488"/>
      <c r="B72" s="490"/>
      <c r="C72" s="490"/>
      <c r="D72" s="490"/>
      <c r="E72" s="490"/>
      <c r="F72" s="490"/>
      <c r="G72" s="490"/>
      <c r="H72" s="490"/>
      <c r="I72" s="490"/>
      <c r="J72" s="490"/>
      <c r="K72" s="490"/>
    </row>
    <row r="73" spans="1:11" s="496" customFormat="1" ht="33.75" customHeight="1" x14ac:dyDescent="0.35">
      <c r="A73" s="2186" t="s">
        <v>674</v>
      </c>
      <c r="B73" s="2186"/>
      <c r="C73" s="2186"/>
      <c r="D73" s="2186"/>
      <c r="E73" s="523"/>
      <c r="F73" s="523"/>
      <c r="G73" s="523"/>
      <c r="H73" s="523"/>
      <c r="I73" s="2187"/>
      <c r="J73" s="2190"/>
      <c r="K73" s="2191"/>
    </row>
    <row r="74" spans="1:11" s="510" customFormat="1" ht="12.75" customHeight="1" x14ac:dyDescent="0.25">
      <c r="A74" s="511"/>
      <c r="B74" s="511"/>
      <c r="C74" s="511"/>
      <c r="F74" s="512" t="s">
        <v>668</v>
      </c>
      <c r="G74" s="513"/>
      <c r="H74" s="512"/>
      <c r="I74" s="512"/>
      <c r="J74" s="512" t="s">
        <v>669</v>
      </c>
      <c r="K74" s="514"/>
    </row>
    <row r="75" spans="1:11" s="496" customFormat="1" ht="12" customHeight="1" x14ac:dyDescent="0.25">
      <c r="A75" s="488"/>
      <c r="B75" s="488"/>
      <c r="C75" s="488"/>
      <c r="D75" s="490"/>
      <c r="E75" s="490"/>
      <c r="F75" s="490"/>
      <c r="G75" s="490"/>
      <c r="H75" s="490"/>
      <c r="I75" s="490"/>
      <c r="J75" s="490"/>
      <c r="K75" s="490"/>
    </row>
    <row r="76" spans="1:11" s="496" customFormat="1" ht="18.75" x14ac:dyDescent="0.3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</row>
  </sheetData>
  <mergeCells count="66">
    <mergeCell ref="I17:J17"/>
    <mergeCell ref="I18:J18"/>
    <mergeCell ref="I19:J19"/>
    <mergeCell ref="I20:J20"/>
    <mergeCell ref="I12:J12"/>
    <mergeCell ref="I13:J13"/>
    <mergeCell ref="I14:J14"/>
    <mergeCell ref="I15:J15"/>
    <mergeCell ref="I16:J16"/>
    <mergeCell ref="H1:K2"/>
    <mergeCell ref="I8:J8"/>
    <mergeCell ref="I9:J9"/>
    <mergeCell ref="I10:J10"/>
    <mergeCell ref="I11:J11"/>
    <mergeCell ref="A3:K3"/>
    <mergeCell ref="D4:K4"/>
    <mergeCell ref="D5:K5"/>
    <mergeCell ref="B8:D8"/>
    <mergeCell ref="D6:I6"/>
    <mergeCell ref="I46:J46"/>
    <mergeCell ref="I52:J52"/>
    <mergeCell ref="I53:J53"/>
    <mergeCell ref="A73:D73"/>
    <mergeCell ref="A70:D70"/>
    <mergeCell ref="I70:K70"/>
    <mergeCell ref="I73:K73"/>
    <mergeCell ref="H64:K64"/>
    <mergeCell ref="H62:K62"/>
    <mergeCell ref="H61:K61"/>
    <mergeCell ref="H60:K60"/>
    <mergeCell ref="J67:K67"/>
    <mergeCell ref="I54:J54"/>
    <mergeCell ref="I55:J55"/>
    <mergeCell ref="I56:J56"/>
    <mergeCell ref="I57:J57"/>
    <mergeCell ref="I58:J58"/>
    <mergeCell ref="I47:J47"/>
    <mergeCell ref="I48:J48"/>
    <mergeCell ref="I49:J49"/>
    <mergeCell ref="I50:J50"/>
    <mergeCell ref="I51:J51"/>
    <mergeCell ref="I23:J23"/>
    <mergeCell ref="I22:J22"/>
    <mergeCell ref="I21:J21"/>
    <mergeCell ref="I44:J44"/>
    <mergeCell ref="I45:J45"/>
    <mergeCell ref="I28:J28"/>
    <mergeCell ref="I27:J27"/>
    <mergeCell ref="I26:J26"/>
    <mergeCell ref="I25:J25"/>
    <mergeCell ref="I24:J24"/>
    <mergeCell ref="I41:J41"/>
    <mergeCell ref="I42:J42"/>
    <mergeCell ref="I43:J43"/>
    <mergeCell ref="I30:J30"/>
    <mergeCell ref="I29:J29"/>
    <mergeCell ref="I36:J36"/>
    <mergeCell ref="I37:J37"/>
    <mergeCell ref="I38:J38"/>
    <mergeCell ref="I39:J39"/>
    <mergeCell ref="I40:J40"/>
    <mergeCell ref="I31:J31"/>
    <mergeCell ref="I32:J32"/>
    <mergeCell ref="I33:J33"/>
    <mergeCell ref="I34:J34"/>
    <mergeCell ref="I35:J35"/>
  </mergeCells>
  <pageMargins left="0.31496062874794006" right="0.31496062874794006" top="0.55118107795715332" bottom="0.31496062874794006" header="0" footer="0.11811023205518723"/>
  <pageSetup paperSize="9" fitToWidth="0" fitToHeight="0" orientation="landscape"/>
  <headerFooter>
    <oddFooter>&amp;R&amp;8&amp;"Times New Roman,Regular"Стр. &amp;P из &amp;N&amp;12&amp;"-,Regular"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04"/>
  <sheetViews>
    <sheetView workbookViewId="0"/>
  </sheetViews>
  <sheetFormatPr defaultColWidth="9.140625" defaultRowHeight="15" x14ac:dyDescent="0.25"/>
  <cols>
    <col min="1" max="1" width="2.7109375" style="46" customWidth="1"/>
    <col min="2" max="2" width="6.5703125" style="46" customWidth="1"/>
    <col min="3" max="3" width="19.85546875" style="46" customWidth="1"/>
    <col min="4" max="4" width="11.28515625" style="46" customWidth="1"/>
    <col min="5" max="5" width="6.28515625" style="46" customWidth="1"/>
    <col min="6" max="6" width="8.5703125" style="46" customWidth="1"/>
    <col min="7" max="7" width="4.42578125" style="46" customWidth="1"/>
    <col min="8" max="8" width="6.140625" style="46" customWidth="1"/>
    <col min="9" max="9" width="11.42578125" style="46" bestFit="1" customWidth="1"/>
    <col min="10" max="10" width="2.7109375" style="46" customWidth="1"/>
    <col min="11" max="25" width="6.28515625" style="46" customWidth="1"/>
    <col min="26" max="26" width="2.42578125" style="46" customWidth="1"/>
    <col min="27" max="27" width="6.28515625" style="46" customWidth="1"/>
    <col min="28" max="28" width="2.42578125" style="46" customWidth="1"/>
    <col min="29" max="29" width="6.28515625" style="46" customWidth="1"/>
    <col min="30" max="30" width="2.42578125" style="46" customWidth="1"/>
    <col min="31" max="31" width="6.28515625" style="46" customWidth="1"/>
    <col min="32" max="32" width="2.42578125" style="46" customWidth="1"/>
    <col min="33" max="34" width="2" style="46" bestFit="1" customWidth="1"/>
    <col min="35" max="35" width="6.140625" style="46" customWidth="1"/>
    <col min="36" max="36" width="2" style="46" customWidth="1"/>
    <col min="37" max="52" width="1.140625" style="46" customWidth="1"/>
    <col min="53" max="53" width="9.140625" style="46" bestFit="1" customWidth="1"/>
    <col min="54" max="16384" width="9.140625" style="46"/>
  </cols>
  <sheetData>
    <row r="1" spans="1:48" ht="40.5" customHeight="1" x14ac:dyDescent="0.25">
      <c r="A1" s="2248" t="s">
        <v>581</v>
      </c>
      <c r="B1" s="2322"/>
      <c r="C1" s="2323"/>
      <c r="D1" s="2324"/>
      <c r="E1" s="2325"/>
      <c r="F1" s="2326"/>
      <c r="G1" s="2327"/>
      <c r="H1" s="2328"/>
      <c r="I1" s="2329"/>
      <c r="J1" s="2330"/>
      <c r="K1" s="2331"/>
      <c r="L1" s="2332"/>
      <c r="M1" s="2333"/>
      <c r="N1" s="2334"/>
      <c r="O1" s="524" t="s">
        <v>675</v>
      </c>
      <c r="P1" s="2248" t="s">
        <v>581</v>
      </c>
      <c r="Q1" s="2249"/>
      <c r="R1" s="2250"/>
      <c r="S1" s="2251"/>
      <c r="T1" s="2252"/>
      <c r="U1" s="2253"/>
      <c r="V1" s="2254"/>
      <c r="W1" s="2255"/>
      <c r="X1" s="2256"/>
      <c r="Y1" s="2257"/>
      <c r="Z1" s="2258"/>
      <c r="AA1" s="2259"/>
      <c r="AB1" s="2260"/>
      <c r="AC1" s="2261"/>
      <c r="AD1" s="2262"/>
      <c r="AE1" s="2263"/>
      <c r="AF1" s="2264"/>
      <c r="AG1" s="2265"/>
      <c r="AH1" s="112"/>
      <c r="AI1" s="112"/>
      <c r="AJ1" s="112"/>
      <c r="AK1" s="112"/>
      <c r="AL1" s="112"/>
      <c r="AM1" s="195"/>
      <c r="AN1" s="202"/>
      <c r="AO1" s="195"/>
      <c r="AP1" s="202"/>
      <c r="AQ1" s="195"/>
      <c r="AR1" s="202"/>
      <c r="AS1" s="195"/>
      <c r="AT1" s="96"/>
      <c r="AU1" s="96"/>
      <c r="AV1" s="96"/>
    </row>
    <row r="2" spans="1:48" ht="15.75" customHeight="1" x14ac:dyDescent="0.25">
      <c r="A2" s="525" t="s">
        <v>578</v>
      </c>
      <c r="B2" s="526"/>
      <c r="C2" s="526"/>
      <c r="D2" s="526"/>
      <c r="E2" s="526"/>
      <c r="F2" s="526"/>
      <c r="G2" s="527"/>
      <c r="H2" s="527"/>
      <c r="I2" s="528" t="s">
        <v>676</v>
      </c>
      <c r="J2" s="529"/>
      <c r="K2" s="530" t="s">
        <v>588</v>
      </c>
      <c r="L2" s="531">
        <v>14</v>
      </c>
      <c r="M2" s="532" t="s">
        <v>589</v>
      </c>
      <c r="N2" s="533"/>
      <c r="O2" s="534">
        <v>3</v>
      </c>
      <c r="P2" s="2318" t="s">
        <v>579</v>
      </c>
      <c r="Q2" s="2319"/>
      <c r="R2" s="2320"/>
      <c r="S2" s="2321"/>
      <c r="T2" s="2018" t="s">
        <v>246</v>
      </c>
      <c r="U2" s="2308"/>
      <c r="V2" s="2309"/>
      <c r="W2" s="2028" t="s">
        <v>580</v>
      </c>
      <c r="X2" s="2266"/>
      <c r="Y2" s="2267"/>
      <c r="Z2" s="2268"/>
      <c r="AA2" s="2269"/>
      <c r="AB2" s="2270"/>
      <c r="AC2" s="2271"/>
      <c r="AD2" s="2272"/>
      <c r="AE2" s="2273"/>
      <c r="AF2" s="2274"/>
      <c r="AG2" s="2275"/>
      <c r="AH2" s="318"/>
      <c r="AJ2" s="318"/>
      <c r="AK2" s="318"/>
      <c r="AL2" s="535"/>
      <c r="AM2" s="346"/>
      <c r="AN2" s="536"/>
      <c r="AO2" s="346"/>
      <c r="AP2" s="536"/>
      <c r="AQ2" s="346"/>
      <c r="AR2" s="318"/>
      <c r="AS2" s="96"/>
      <c r="AT2" s="96"/>
      <c r="AU2" s="96"/>
    </row>
    <row r="3" spans="1:48" ht="15.75" customHeight="1" x14ac:dyDescent="0.25">
      <c r="A3" s="537"/>
      <c r="B3" s="319"/>
      <c r="C3" s="538"/>
      <c r="D3" s="319"/>
      <c r="E3" s="539"/>
      <c r="F3" s="540" t="s">
        <v>677</v>
      </c>
      <c r="G3" s="539"/>
      <c r="H3" s="541"/>
      <c r="I3" s="542" t="s">
        <v>678</v>
      </c>
      <c r="J3" s="543"/>
      <c r="K3" s="544" t="s">
        <v>588</v>
      </c>
      <c r="L3" s="545"/>
      <c r="M3" s="546" t="s">
        <v>589</v>
      </c>
      <c r="N3" s="322"/>
      <c r="O3" s="547">
        <v>2</v>
      </c>
      <c r="P3" s="548" t="s">
        <v>260</v>
      </c>
      <c r="Q3" s="325" t="s">
        <v>79</v>
      </c>
      <c r="R3" s="325" t="s">
        <v>94</v>
      </c>
      <c r="S3" s="326" t="s">
        <v>158</v>
      </c>
      <c r="T3" s="2310"/>
      <c r="U3" s="2311"/>
      <c r="V3" s="2312"/>
      <c r="W3" s="2276"/>
      <c r="X3" s="2277"/>
      <c r="Y3" s="2278"/>
      <c r="Z3" s="2279"/>
      <c r="AA3" s="2280"/>
      <c r="AB3" s="2281"/>
      <c r="AC3" s="2282"/>
      <c r="AD3" s="2283"/>
      <c r="AE3" s="2284"/>
      <c r="AF3" s="2285"/>
      <c r="AG3" s="2286"/>
      <c r="AH3" s="318"/>
      <c r="AJ3" s="318"/>
      <c r="AK3" s="318"/>
      <c r="AL3" s="535"/>
      <c r="AM3" s="346"/>
      <c r="AN3" s="536"/>
      <c r="AO3" s="346"/>
      <c r="AP3" s="549"/>
      <c r="AQ3" s="318"/>
      <c r="AR3" s="327"/>
      <c r="AS3" s="96"/>
      <c r="AT3" s="96"/>
      <c r="AU3" s="96"/>
    </row>
    <row r="4" spans="1:48" ht="15.75" customHeight="1" x14ac:dyDescent="0.25">
      <c r="A4" s="537"/>
      <c r="B4" s="315"/>
      <c r="C4" s="538"/>
      <c r="D4" s="319"/>
      <c r="E4" s="539"/>
      <c r="F4" s="319"/>
      <c r="G4" s="541"/>
      <c r="H4" s="541"/>
      <c r="I4" s="542" t="s">
        <v>679</v>
      </c>
      <c r="J4" s="543"/>
      <c r="K4" s="544" t="s">
        <v>588</v>
      </c>
      <c r="L4" s="545"/>
      <c r="M4" s="546" t="s">
        <v>589</v>
      </c>
      <c r="N4" s="322"/>
      <c r="O4" s="547">
        <v>2</v>
      </c>
      <c r="P4" s="548" t="s">
        <v>261</v>
      </c>
      <c r="Q4" s="325" t="s">
        <v>76</v>
      </c>
      <c r="R4" s="325" t="s">
        <v>100</v>
      </c>
      <c r="S4" s="326" t="s">
        <v>82</v>
      </c>
      <c r="T4" s="2018" t="s">
        <v>248</v>
      </c>
      <c r="U4" s="2313"/>
      <c r="V4" s="2314"/>
      <c r="W4" s="2028" t="s">
        <v>680</v>
      </c>
      <c r="X4" s="2287"/>
      <c r="Y4" s="2288"/>
      <c r="Z4" s="2289"/>
      <c r="AA4" s="2290"/>
      <c r="AB4" s="2291"/>
      <c r="AC4" s="2292"/>
      <c r="AD4" s="2293"/>
      <c r="AE4" s="2294"/>
      <c r="AF4" s="2295"/>
      <c r="AG4" s="2296"/>
      <c r="AH4" s="318"/>
      <c r="AJ4" s="318"/>
      <c r="AK4" s="318"/>
      <c r="AL4" s="535"/>
      <c r="AM4" s="346"/>
      <c r="AN4" s="536"/>
      <c r="AO4" s="346"/>
      <c r="AP4" s="536"/>
      <c r="AQ4" s="346"/>
      <c r="AR4" s="318"/>
      <c r="AS4" s="96"/>
      <c r="AT4" s="96"/>
      <c r="AU4" s="96"/>
    </row>
    <row r="5" spans="1:48" ht="16.5" customHeight="1" x14ac:dyDescent="0.25">
      <c r="A5" s="550"/>
      <c r="B5" s="551"/>
      <c r="C5" s="552" t="s">
        <v>587</v>
      </c>
      <c r="D5" s="553" t="s">
        <v>588</v>
      </c>
      <c r="E5" s="554">
        <f>IF(ISBLANK(L5), IF(ISBLANK(N5), IF(ISBLANK(L4), IF(ISBLANK(N4), IF(ISBLANK(L3), IF(ISBLANK(N3), IF(ISBLANK(L2), IF(ISBLANK(N2), 0, 0), L2), 0), L3), 0), L4), 0), L5)</f>
        <v>14</v>
      </c>
      <c r="F5" s="553" t="s">
        <v>589</v>
      </c>
      <c r="G5" s="555">
        <f>IF(ISBLANK(N2), 999, N2)</f>
        <v>999</v>
      </c>
      <c r="H5" s="556" t="s">
        <v>681</v>
      </c>
      <c r="I5" s="557" t="s">
        <v>682</v>
      </c>
      <c r="J5" s="558"/>
      <c r="K5" s="559" t="s">
        <v>588</v>
      </c>
      <c r="L5" s="560"/>
      <c r="M5" s="561" t="s">
        <v>589</v>
      </c>
      <c r="N5" s="562"/>
      <c r="O5" s="563">
        <v>2</v>
      </c>
      <c r="P5" s="564" t="s">
        <v>262</v>
      </c>
      <c r="Q5" s="565" t="s">
        <v>84</v>
      </c>
      <c r="R5" s="565" t="s">
        <v>117</v>
      </c>
      <c r="S5" s="566"/>
      <c r="T5" s="2315"/>
      <c r="U5" s="2316"/>
      <c r="V5" s="2317"/>
      <c r="W5" s="2297"/>
      <c r="X5" s="2298"/>
      <c r="Y5" s="2299"/>
      <c r="Z5" s="2300"/>
      <c r="AA5" s="2301"/>
      <c r="AB5" s="2302"/>
      <c r="AC5" s="2303"/>
      <c r="AD5" s="2304"/>
      <c r="AE5" s="2305"/>
      <c r="AF5" s="2306"/>
      <c r="AG5" s="2307"/>
      <c r="AH5" s="112"/>
      <c r="AJ5" s="112"/>
      <c r="AK5" s="112"/>
      <c r="AL5" s="195"/>
      <c r="AM5" s="346"/>
      <c r="AN5" s="195"/>
      <c r="AO5" s="346"/>
      <c r="AP5" s="195"/>
      <c r="AQ5" s="346"/>
      <c r="AR5" s="195"/>
      <c r="AS5" s="96"/>
      <c r="AT5" s="96"/>
      <c r="AU5" s="96"/>
    </row>
    <row r="6" spans="1:48" ht="19.5" x14ac:dyDescent="0.25">
      <c r="A6" s="39"/>
      <c r="B6" s="299" t="s">
        <v>572</v>
      </c>
      <c r="C6" s="87"/>
      <c r="D6" s="39"/>
      <c r="E6" s="96"/>
      <c r="F6" s="96"/>
      <c r="G6" s="87"/>
      <c r="H6" s="87"/>
      <c r="I6" s="87"/>
      <c r="J6" s="87"/>
      <c r="K6" s="87"/>
      <c r="L6" s="112"/>
      <c r="M6" s="112"/>
      <c r="N6" s="112"/>
      <c r="O6" s="112"/>
      <c r="P6" s="194"/>
      <c r="Q6" s="194"/>
      <c r="R6" s="194"/>
      <c r="S6" s="194"/>
      <c r="T6" s="195"/>
      <c r="U6" s="195"/>
      <c r="V6" s="195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95"/>
      <c r="AN6" s="202"/>
      <c r="AO6" s="195"/>
      <c r="AP6" s="202"/>
      <c r="AQ6" s="195"/>
      <c r="AR6" s="202"/>
      <c r="AS6" s="195"/>
      <c r="AT6" s="96"/>
      <c r="AU6" s="96"/>
      <c r="AV6" s="96"/>
    </row>
    <row r="7" spans="1:48" s="300" customFormat="1" x14ac:dyDescent="0.25">
      <c r="A7" s="301"/>
      <c r="B7" s="302" t="s">
        <v>573</v>
      </c>
      <c r="C7" s="302"/>
      <c r="D7" s="301"/>
      <c r="E7" s="303"/>
      <c r="F7" s="303"/>
      <c r="G7" s="302"/>
      <c r="H7" s="302"/>
      <c r="I7" s="302"/>
      <c r="J7" s="302"/>
      <c r="K7" s="302"/>
      <c r="L7" s="304"/>
      <c r="M7" s="304"/>
      <c r="N7" s="304"/>
      <c r="O7" s="304"/>
      <c r="P7" s="305"/>
      <c r="Q7" s="305"/>
      <c r="R7" s="305"/>
      <c r="S7" s="305"/>
      <c r="T7" s="306"/>
      <c r="U7" s="306"/>
      <c r="V7" s="306"/>
      <c r="W7" s="304"/>
      <c r="X7" s="304"/>
      <c r="Y7" s="304"/>
      <c r="Z7" s="304"/>
      <c r="AA7" s="304"/>
      <c r="AB7" s="304"/>
      <c r="AC7" s="304"/>
      <c r="AD7" s="304"/>
      <c r="AE7" s="304"/>
      <c r="AF7" s="304"/>
      <c r="AG7" s="304"/>
      <c r="AH7" s="304"/>
      <c r="AI7" s="304"/>
      <c r="AJ7" s="567"/>
      <c r="AK7" s="567"/>
      <c r="AL7" s="567"/>
      <c r="AM7" s="568"/>
      <c r="AN7" s="569"/>
      <c r="AO7" s="568"/>
      <c r="AP7" s="569"/>
      <c r="AQ7" s="568"/>
      <c r="AR7" s="569"/>
      <c r="AS7" s="568"/>
      <c r="AT7" s="311"/>
      <c r="AU7" s="311"/>
      <c r="AV7" s="311"/>
    </row>
    <row r="8" spans="1:48" s="300" customFormat="1" x14ac:dyDescent="0.25">
      <c r="A8" s="301"/>
      <c r="B8" s="302" t="s">
        <v>683</v>
      </c>
      <c r="C8" s="302"/>
      <c r="D8" s="301"/>
      <c r="E8" s="303"/>
      <c r="F8" s="303"/>
      <c r="G8" s="302"/>
      <c r="H8" s="302"/>
      <c r="I8" s="302"/>
      <c r="J8" s="302"/>
      <c r="K8" s="302"/>
      <c r="L8" s="304"/>
      <c r="M8" s="304"/>
      <c r="N8" s="304"/>
      <c r="O8" s="304"/>
      <c r="P8" s="305"/>
      <c r="Q8" s="305"/>
      <c r="R8" s="305"/>
      <c r="S8" s="305"/>
      <c r="T8" s="306"/>
      <c r="U8" s="306"/>
      <c r="V8" s="306"/>
      <c r="W8" s="304"/>
      <c r="X8" s="304"/>
      <c r="Y8" s="304"/>
      <c r="Z8" s="304"/>
      <c r="AA8" s="304"/>
      <c r="AB8" s="304"/>
      <c r="AC8" s="304"/>
      <c r="AD8" s="304"/>
      <c r="AE8" s="304"/>
      <c r="AF8" s="304"/>
      <c r="AG8" s="304"/>
      <c r="AH8" s="304"/>
      <c r="AI8" s="304"/>
      <c r="AJ8" s="567"/>
      <c r="AK8" s="567"/>
      <c r="AL8" s="567"/>
      <c r="AM8" s="568"/>
      <c r="AN8" s="569"/>
      <c r="AO8" s="568"/>
      <c r="AP8" s="569"/>
      <c r="AQ8" s="568"/>
      <c r="AR8" s="569"/>
      <c r="AS8" s="568"/>
      <c r="AT8" s="311"/>
      <c r="AU8" s="311"/>
      <c r="AV8" s="311"/>
    </row>
    <row r="9" spans="1:48" s="300" customFormat="1" x14ac:dyDescent="0.25">
      <c r="A9" s="301"/>
      <c r="B9" s="2071" t="s">
        <v>684</v>
      </c>
      <c r="C9" s="2071"/>
      <c r="D9" s="2071"/>
      <c r="E9" s="2071"/>
      <c r="F9" s="2071"/>
      <c r="G9" s="2071"/>
      <c r="H9" s="2071"/>
      <c r="I9" s="2071"/>
      <c r="J9" s="2071"/>
      <c r="K9" s="2071"/>
      <c r="L9" s="2071"/>
      <c r="M9" s="2071"/>
      <c r="N9" s="2071"/>
      <c r="O9" s="2071"/>
      <c r="P9" s="2071"/>
      <c r="Q9" s="2071"/>
      <c r="R9" s="2071"/>
      <c r="S9" s="2071"/>
      <c r="T9" s="2071"/>
      <c r="U9" s="2071"/>
      <c r="V9" s="2071"/>
      <c r="W9" s="2071"/>
      <c r="X9" s="2071"/>
      <c r="Y9" s="2071"/>
      <c r="Z9" s="2071"/>
      <c r="AA9" s="2071"/>
      <c r="AB9" s="2071"/>
      <c r="AC9" s="2071"/>
      <c r="AD9" s="2071"/>
      <c r="AE9" s="2071"/>
      <c r="AF9" s="304"/>
      <c r="AG9" s="304"/>
      <c r="AH9" s="304"/>
      <c r="AI9" s="304"/>
      <c r="AJ9" s="567"/>
      <c r="AK9" s="567"/>
      <c r="AL9" s="567"/>
      <c r="AM9" s="568"/>
      <c r="AN9" s="569"/>
      <c r="AO9" s="568"/>
      <c r="AP9" s="569"/>
      <c r="AQ9" s="568"/>
      <c r="AR9" s="569"/>
      <c r="AS9" s="568"/>
      <c r="AT9" s="311"/>
      <c r="AU9" s="311"/>
      <c r="AV9" s="311"/>
    </row>
    <row r="10" spans="1:48" s="300" customFormat="1" ht="49.5" customHeight="1" x14ac:dyDescent="0.25">
      <c r="A10" s="301"/>
      <c r="B10" s="2071"/>
      <c r="C10" s="2071"/>
      <c r="D10" s="2071"/>
      <c r="E10" s="2071"/>
      <c r="F10" s="2071"/>
      <c r="G10" s="2071"/>
      <c r="H10" s="2071"/>
      <c r="I10" s="2071"/>
      <c r="J10" s="2071"/>
      <c r="K10" s="2071"/>
      <c r="L10" s="2071"/>
      <c r="M10" s="2071"/>
      <c r="N10" s="2071"/>
      <c r="O10" s="2071"/>
      <c r="P10" s="2071"/>
      <c r="Q10" s="2071"/>
      <c r="R10" s="2071"/>
      <c r="S10" s="2071"/>
      <c r="T10" s="2071"/>
      <c r="U10" s="2071"/>
      <c r="V10" s="2071"/>
      <c r="W10" s="2071"/>
      <c r="X10" s="2071"/>
      <c r="Y10" s="2071"/>
      <c r="Z10" s="2071"/>
      <c r="AA10" s="2071"/>
      <c r="AB10" s="2071"/>
      <c r="AC10" s="2071"/>
      <c r="AD10" s="2071"/>
      <c r="AE10" s="2071"/>
      <c r="AF10" s="304"/>
      <c r="AG10" s="304"/>
      <c r="AH10" s="304"/>
      <c r="AI10" s="304"/>
      <c r="AJ10" s="567"/>
      <c r="AK10" s="567"/>
      <c r="AL10" s="567"/>
      <c r="AM10" s="568"/>
      <c r="AN10" s="569"/>
      <c r="AO10" s="568"/>
      <c r="AP10" s="569"/>
      <c r="AQ10" s="568"/>
      <c r="AR10" s="569"/>
      <c r="AS10" s="568"/>
      <c r="AT10" s="311"/>
      <c r="AU10" s="311"/>
      <c r="AV10" s="311"/>
    </row>
    <row r="11" spans="1:48" s="300" customFormat="1" x14ac:dyDescent="0.25">
      <c r="A11" s="301"/>
      <c r="B11" s="302" t="s">
        <v>576</v>
      </c>
      <c r="C11" s="302"/>
      <c r="D11" s="301"/>
      <c r="E11" s="303"/>
      <c r="F11" s="303"/>
      <c r="G11" s="302"/>
      <c r="H11" s="302"/>
      <c r="I11" s="302"/>
      <c r="J11" s="302"/>
      <c r="K11" s="302"/>
      <c r="L11" s="304"/>
      <c r="M11" s="304"/>
      <c r="N11" s="304"/>
      <c r="O11" s="304"/>
      <c r="P11" s="305"/>
      <c r="Q11" s="305"/>
      <c r="R11" s="305"/>
      <c r="S11" s="305"/>
      <c r="T11" s="306"/>
      <c r="U11" s="306"/>
      <c r="V11" s="306"/>
      <c r="W11" s="304"/>
      <c r="X11" s="304"/>
      <c r="Y11" s="304"/>
      <c r="Z11" s="304"/>
      <c r="AA11" s="304"/>
      <c r="AB11" s="304"/>
      <c r="AC11" s="304"/>
      <c r="AD11" s="304"/>
      <c r="AE11" s="304"/>
      <c r="AF11" s="304"/>
      <c r="AG11" s="304"/>
      <c r="AH11" s="304"/>
      <c r="AI11" s="304"/>
      <c r="AJ11" s="567"/>
      <c r="AK11" s="567"/>
      <c r="AL11" s="567"/>
      <c r="AM11" s="568"/>
      <c r="AN11" s="569"/>
      <c r="AO11" s="568"/>
      <c r="AP11" s="569"/>
      <c r="AQ11" s="568"/>
      <c r="AR11" s="569"/>
      <c r="AS11" s="568"/>
      <c r="AT11" s="311"/>
      <c r="AU11" s="311"/>
      <c r="AV11" s="311"/>
    </row>
    <row r="12" spans="1:48" s="300" customFormat="1" x14ac:dyDescent="0.25">
      <c r="A12" s="301"/>
      <c r="B12" s="2071" t="s">
        <v>685</v>
      </c>
      <c r="C12" s="2071"/>
      <c r="D12" s="2071"/>
      <c r="E12" s="2071"/>
      <c r="F12" s="2071"/>
      <c r="G12" s="2071"/>
      <c r="H12" s="2071"/>
      <c r="I12" s="2071"/>
      <c r="J12" s="2071"/>
      <c r="K12" s="2071"/>
      <c r="L12" s="2071"/>
      <c r="M12" s="2071"/>
      <c r="N12" s="2071"/>
      <c r="O12" s="2071"/>
      <c r="P12" s="2071"/>
      <c r="Q12" s="2071"/>
      <c r="R12" s="2071"/>
      <c r="S12" s="2071"/>
      <c r="T12" s="2071"/>
      <c r="U12" s="2071"/>
      <c r="V12" s="2071"/>
      <c r="W12" s="2071"/>
      <c r="X12" s="2071"/>
      <c r="Y12" s="2071"/>
      <c r="Z12" s="2071"/>
      <c r="AA12" s="2071"/>
      <c r="AB12" s="2071"/>
      <c r="AC12" s="2071"/>
      <c r="AD12" s="2071"/>
      <c r="AE12" s="2071"/>
      <c r="AF12" s="304"/>
      <c r="AG12" s="304"/>
      <c r="AH12" s="304"/>
      <c r="AI12" s="304"/>
      <c r="AJ12" s="567"/>
      <c r="AK12" s="567"/>
      <c r="AL12" s="567"/>
      <c r="AM12" s="568"/>
      <c r="AN12" s="569"/>
      <c r="AO12" s="568"/>
      <c r="AP12" s="569"/>
      <c r="AQ12" s="568"/>
      <c r="AR12" s="569"/>
      <c r="AS12" s="568"/>
      <c r="AT12" s="311"/>
      <c r="AU12" s="311"/>
      <c r="AV12" s="311"/>
    </row>
    <row r="13" spans="1:48" s="300" customFormat="1" ht="35.25" customHeight="1" x14ac:dyDescent="0.25">
      <c r="A13" s="301"/>
      <c r="B13" s="2071"/>
      <c r="C13" s="2071"/>
      <c r="D13" s="2071"/>
      <c r="E13" s="2071"/>
      <c r="F13" s="2071"/>
      <c r="G13" s="2071"/>
      <c r="H13" s="2071"/>
      <c r="I13" s="2071"/>
      <c r="J13" s="2071"/>
      <c r="K13" s="2071"/>
      <c r="L13" s="2071"/>
      <c r="M13" s="2071"/>
      <c r="N13" s="2071"/>
      <c r="O13" s="2071"/>
      <c r="P13" s="2071"/>
      <c r="Q13" s="2071"/>
      <c r="R13" s="2071"/>
      <c r="S13" s="2071"/>
      <c r="T13" s="2071"/>
      <c r="U13" s="2071"/>
      <c r="V13" s="2071"/>
      <c r="W13" s="2071"/>
      <c r="X13" s="2071"/>
      <c r="Y13" s="2071"/>
      <c r="Z13" s="2071"/>
      <c r="AA13" s="2071"/>
      <c r="AB13" s="2071"/>
      <c r="AC13" s="2071"/>
      <c r="AD13" s="2071"/>
      <c r="AE13" s="2071"/>
      <c r="AF13" s="304"/>
      <c r="AG13" s="304"/>
      <c r="AH13" s="304"/>
      <c r="AI13" s="304"/>
      <c r="AJ13" s="567"/>
      <c r="AK13" s="567"/>
      <c r="AL13" s="567"/>
      <c r="AM13" s="568"/>
      <c r="AN13" s="569"/>
      <c r="AO13" s="568"/>
      <c r="AP13" s="569"/>
      <c r="AQ13" s="568"/>
      <c r="AR13" s="569"/>
      <c r="AS13" s="568"/>
      <c r="AT13" s="311"/>
      <c r="AU13" s="311"/>
      <c r="AV13" s="311"/>
    </row>
    <row r="14" spans="1:48" ht="25.5" x14ac:dyDescent="0.25">
      <c r="A14" s="1980" t="s">
        <v>590</v>
      </c>
      <c r="B14" s="1980"/>
      <c r="C14" s="1980"/>
      <c r="D14" s="1980"/>
      <c r="E14" s="1980"/>
      <c r="F14" s="1980"/>
      <c r="G14" s="1980"/>
      <c r="H14" s="1980"/>
      <c r="I14" s="1980"/>
      <c r="J14" s="1980"/>
      <c r="K14" s="1980"/>
      <c r="L14" s="1980"/>
      <c r="M14" s="1980"/>
      <c r="N14" s="1980"/>
      <c r="O14" s="1980"/>
      <c r="P14" s="1980"/>
      <c r="Q14" s="1980"/>
      <c r="R14" s="1980"/>
      <c r="S14" s="1980"/>
      <c r="T14" s="1980"/>
      <c r="U14" s="1980"/>
      <c r="V14" s="1980"/>
      <c r="W14" s="1980"/>
      <c r="X14" s="1980"/>
      <c r="Y14" s="1980"/>
      <c r="Z14" s="1980"/>
      <c r="AA14" s="1980"/>
      <c r="AB14" s="1980"/>
      <c r="AC14" s="1980"/>
      <c r="AD14" s="1980"/>
      <c r="AE14" s="1980"/>
      <c r="AF14" s="1980"/>
      <c r="AG14" s="570"/>
      <c r="AH14" s="570"/>
      <c r="AI14" s="570"/>
      <c r="AJ14" s="570"/>
      <c r="AK14" s="570"/>
      <c r="AL14" s="570"/>
      <c r="AM14" s="570"/>
      <c r="AN14" s="570"/>
      <c r="AO14" s="570"/>
      <c r="AP14" s="570"/>
      <c r="AQ14" s="570"/>
      <c r="AR14" s="333"/>
      <c r="AS14" s="333"/>
      <c r="AT14" s="96"/>
      <c r="AU14" s="96"/>
      <c r="AV14" s="96"/>
    </row>
    <row r="15" spans="1:48" ht="15.75" customHeight="1" x14ac:dyDescent="0.25">
      <c r="A15" s="193"/>
      <c r="B15" s="87"/>
      <c r="C15" s="334"/>
      <c r="D15" s="335" t="s">
        <v>591</v>
      </c>
      <c r="E15" s="336" t="s">
        <v>686</v>
      </c>
      <c r="F15" s="336"/>
      <c r="G15" s="334"/>
      <c r="H15" s="334"/>
      <c r="I15" s="334"/>
      <c r="J15" s="334"/>
      <c r="K15" s="334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112"/>
      <c r="X15" s="112"/>
      <c r="Y15" s="112"/>
      <c r="AC15" s="112"/>
      <c r="AI15" s="112"/>
      <c r="AK15" s="112"/>
      <c r="AM15" s="112"/>
      <c r="AS15" s="195"/>
      <c r="AT15" s="96"/>
      <c r="AU15" s="96"/>
      <c r="AV15" s="96"/>
    </row>
    <row r="16" spans="1:48" ht="15.75" customHeight="1" x14ac:dyDescent="0.25">
      <c r="A16" s="193"/>
      <c r="B16" s="87"/>
      <c r="C16" s="334"/>
      <c r="D16" s="335" t="s">
        <v>593</v>
      </c>
      <c r="E16" s="571" t="s">
        <v>687</v>
      </c>
      <c r="F16" s="336"/>
      <c r="G16" s="334"/>
      <c r="H16" s="334"/>
      <c r="I16" s="334"/>
      <c r="J16" s="334"/>
      <c r="K16" s="334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572"/>
      <c r="W16" s="112"/>
      <c r="X16" s="112"/>
      <c r="Y16" s="112"/>
      <c r="AB16" s="55"/>
      <c r="AC16" s="112"/>
      <c r="AF16" s="55"/>
      <c r="AH16" s="112"/>
      <c r="AI16" s="339"/>
      <c r="AJ16" s="112"/>
      <c r="AK16" s="112"/>
      <c r="AM16" s="112"/>
      <c r="AS16" s="195"/>
      <c r="AT16" s="96"/>
      <c r="AU16" s="96"/>
      <c r="AV16" s="96"/>
    </row>
    <row r="17" spans="1:48" ht="15.75" customHeight="1" x14ac:dyDescent="0.25">
      <c r="A17" s="193"/>
      <c r="B17" s="262"/>
      <c r="C17" s="262"/>
      <c r="D17" s="262"/>
      <c r="F17" s="340" t="s">
        <v>595</v>
      </c>
      <c r="G17" s="341" t="s">
        <v>596</v>
      </c>
      <c r="H17" s="342"/>
      <c r="I17" s="342"/>
      <c r="J17" s="342"/>
      <c r="K17" s="342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/>
      <c r="AF17" s="343"/>
      <c r="AG17" s="318"/>
      <c r="AH17" s="318"/>
      <c r="AI17" s="318"/>
      <c r="AJ17" s="318"/>
      <c r="AK17" s="318"/>
      <c r="AL17" s="318"/>
      <c r="AM17" s="535"/>
      <c r="AN17" s="346"/>
      <c r="AS17" s="318"/>
      <c r="AT17" s="96"/>
      <c r="AU17" s="96"/>
      <c r="AV17" s="96"/>
    </row>
    <row r="18" spans="1:48" ht="5.25" customHeight="1" x14ac:dyDescent="0.25">
      <c r="A18" s="193"/>
      <c r="B18" s="262"/>
      <c r="C18" s="262"/>
      <c r="D18" s="262"/>
      <c r="E18" s="340"/>
      <c r="F18" s="442"/>
      <c r="G18" s="262"/>
      <c r="H18" s="262"/>
      <c r="I18" s="342"/>
      <c r="J18" s="342"/>
      <c r="K18" s="262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535"/>
      <c r="AN18" s="346"/>
      <c r="AS18" s="318"/>
      <c r="AT18" s="96"/>
      <c r="AU18" s="96"/>
      <c r="AV18" s="96"/>
    </row>
    <row r="19" spans="1:48" ht="26.25" customHeight="1" x14ac:dyDescent="0.25">
      <c r="A19" s="2335" t="s">
        <v>6</v>
      </c>
      <c r="B19" s="2337" t="s">
        <v>597</v>
      </c>
      <c r="C19" s="2339" t="s">
        <v>598</v>
      </c>
      <c r="D19" s="2340"/>
      <c r="E19" s="2106" t="s">
        <v>599</v>
      </c>
      <c r="F19" s="2344" t="s">
        <v>70</v>
      </c>
      <c r="G19" s="2339" t="s">
        <v>600</v>
      </c>
      <c r="H19" s="2347" t="s">
        <v>688</v>
      </c>
      <c r="I19" s="2349" t="s">
        <v>601</v>
      </c>
      <c r="J19" s="2351" t="s">
        <v>689</v>
      </c>
      <c r="K19" s="2100" t="s">
        <v>604</v>
      </c>
      <c r="L19" s="2353"/>
      <c r="M19" s="2092" t="s">
        <v>605</v>
      </c>
      <c r="N19" s="2354"/>
      <c r="O19" s="2355"/>
      <c r="P19" s="2356"/>
      <c r="Q19" s="2357"/>
      <c r="R19" s="2358"/>
      <c r="S19" s="2359" t="s">
        <v>606</v>
      </c>
      <c r="T19" s="2360"/>
      <c r="U19" s="2100" t="s">
        <v>607</v>
      </c>
      <c r="V19" s="2368"/>
      <c r="W19" s="2369"/>
      <c r="X19" s="574"/>
      <c r="Y19" s="2139" t="s">
        <v>608</v>
      </c>
      <c r="Z19" s="2361"/>
      <c r="AA19" s="2362"/>
      <c r="AB19" s="2363"/>
      <c r="AC19" s="2364"/>
      <c r="AD19" s="2365"/>
      <c r="AE19" s="2366"/>
      <c r="AF19" s="2367"/>
      <c r="AG19" s="347"/>
    </row>
    <row r="20" spans="1:48" ht="22.5" customHeight="1" x14ac:dyDescent="0.25">
      <c r="A20" s="2336"/>
      <c r="B20" s="2338"/>
      <c r="C20" s="2341"/>
      <c r="D20" s="2342"/>
      <c r="E20" s="2343"/>
      <c r="F20" s="2345"/>
      <c r="G20" s="2346"/>
      <c r="H20" s="2348"/>
      <c r="I20" s="2350"/>
      <c r="J20" s="2352"/>
      <c r="K20" s="575" t="s">
        <v>609</v>
      </c>
      <c r="L20" s="576" t="s">
        <v>611</v>
      </c>
      <c r="M20" s="575" t="s">
        <v>611</v>
      </c>
      <c r="N20" s="577" t="s">
        <v>612</v>
      </c>
      <c r="O20" s="577" t="s">
        <v>613</v>
      </c>
      <c r="P20" s="577" t="s">
        <v>614</v>
      </c>
      <c r="Q20" s="577" t="s">
        <v>615</v>
      </c>
      <c r="R20" s="578" t="s">
        <v>616</v>
      </c>
      <c r="S20" s="579" t="s">
        <v>612</v>
      </c>
      <c r="T20" s="580" t="s">
        <v>614</v>
      </c>
      <c r="U20" s="581" t="s">
        <v>611</v>
      </c>
      <c r="V20" s="580" t="s">
        <v>612</v>
      </c>
      <c r="W20" s="582" t="s">
        <v>613</v>
      </c>
      <c r="X20" s="583" t="s">
        <v>614</v>
      </c>
      <c r="Y20" s="584" t="s">
        <v>617</v>
      </c>
      <c r="Z20" s="585" t="s">
        <v>618</v>
      </c>
      <c r="AA20" s="586" t="s">
        <v>619</v>
      </c>
      <c r="AB20" s="587" t="s">
        <v>618</v>
      </c>
      <c r="AC20" s="584" t="s">
        <v>690</v>
      </c>
      <c r="AD20" s="585" t="s">
        <v>618</v>
      </c>
      <c r="AE20" s="586" t="s">
        <v>621</v>
      </c>
      <c r="AF20" s="587" t="s">
        <v>618</v>
      </c>
      <c r="AG20" s="54"/>
      <c r="AI20" s="16"/>
    </row>
    <row r="21" spans="1:48" ht="12" customHeight="1" x14ac:dyDescent="0.25">
      <c r="A21" s="410">
        <f t="shared" ref="A21:A52" si="0">A20+1</f>
        <v>1</v>
      </c>
      <c r="B21" s="416" t="s">
        <v>262</v>
      </c>
      <c r="C21" s="588" t="s">
        <v>264</v>
      </c>
      <c r="D21" s="589"/>
      <c r="E21" s="414">
        <v>38019</v>
      </c>
      <c r="F21" s="590" t="str">
        <f t="shared" ref="F21:F52" si="1">$E$16</f>
        <v>Сокращенное Название</v>
      </c>
      <c r="G21" s="416" t="s">
        <v>624</v>
      </c>
      <c r="H21" s="416" t="str">
        <f t="shared" ref="H21:H52" ca="1" si="2">IF(ISNUMBER(E21), IF(ISBLANK($L$5), IF(ISBLANK($N$5), IF(ISBLANK($L$4), IF(ISBLANK($N$4), IF(ISBLANK($L$3), IF(ISBLANK($N$3), IF(ISBLANK($L$2), IF(ISBLANK($N$2), 1, IF(YEAR(TODAY())-$N$2&lt;=E21, 1, "нед-н")), IF(ISBLANK($N$2), IF(YEAR(TODAY())-$L$2&gt;=E21, 1, "нед-н"), IF(YEAR(TODAY())-$N$2&lt;=E21, IF(YEAR(TODAY())-$L$2&gt;=E21, 1, "нед-н"), "нед-н"))), IF(YEAR(TODAY())-$N$3&lt;=E21, 2, IF(ISBLANK($N$2), IF(YEAR(TODAY())-$L$2&gt;=E21, 1, "нед-н"), IF(YEAR(TODAY())-$N$2&lt;=E21, IF(YEAR(TODAY())-$L$2&gt;=E21, 1, "нед-н"), "нед-н")))), IF(YEAR(TODAY())-$N$3&lt;=E21, IF(YEAR(TODAY())-$L$3&gt;=E21, 2, "нед-н"), IF(ISBLANK($N$2), IF(YEAR(TODAY())-$L$2&gt;=E21, 1, "нед-н"), IF(YEAR(TODAY())-$N$2&lt;=E21, IF(YEAR(TODAY())-$L$2&gt;=E21, 1, "нед-н"), "нед-н")))), IF(YEAR(TODAY())-$N$4&lt;=E21, 3, IF(YEAR(TODAY())-$N$3&lt;=E21, IF(YEAR(TODAY())-$L$3&gt;=E21, 2, "нед-н"), IF(ISBLANK($N$2), IF(YEAR(TODAY())-$L$2&gt;=E21, 1, "нед-н"), IF(YEAR(TODAY())-$N$2&lt;=E21, IF(YEAR(TODAY())-$L$2&gt;=E21, 1, "нед-н"), "нед-н"))))), IF(YEAR(TODAY())-$N$4&lt;=E21, IF(YEAR(TODAY())-$L$4&gt;=E21, 3, "нед-н"), IF(YEAR(TODAY())-$N$3&lt;=E21, IF(YEAR(TODAY())-$L$3&gt;=E21, 2, "нед-н"), IF(ISBLANK($N$2), IF(YEAR(TODAY())-$L$2&gt;=E21, 1, "нед-н"), IF(YEAR(TODAY())-$N$2&lt;=E21, IF(YEAR(TODAY())-$L$2&gt;=E21, 1, "нед-н"), "нед-н"))))), IF(YEAR(TODAY())-$N$5&lt;=E21, 4, IF(YEAR(TODAY())-$N$4&lt;=E21, IF(YEAR(TODAY())-$L$4&gt;=E21, 3, "нед-н"), IF(YEAR(TODAY())-$N$3&lt;=E21, IF(YEAR(TODAY())-$L$3&gt;=E21, 2, "нед-н"), IF(ISBLANK($N$2), IF(YEAR(TODAY())-$L$2&gt;=E21, 1, "нед-н"), IF(YEAR(TODAY())-$N$2&lt;=E21, IF(YEAR(TODAY())-$L$2&gt;=E21, 1, "нед-н"), "нед-н")))))), IF(YEAR(TODAY())-$N$5&lt;=E21, IF(YEAR(TODAY())-$L$5&gt;=E21, 4, "нед-н"), IF(YEAR(TODAY())-$N$4&lt;=E21, IF(YEAR(TODAY())-$L$4&gt;=E21, 3, "нед-н"), IF(YEAR(TODAY())-$N$3&lt;=E21, IF(YEAR(TODAY())-$L$3&gt;=E21, 2, "нед-н"), IF(ISBLANK($N$2), IF(YEAR(TODAY())-$L$2&gt;=E21, 1, "нед-н"), IF(YEAR(TODAY())-$N$2&lt;=E21, IF(YEAR(TODAY())-$L$2&gt;=E21, 1, "нед-н"), "нед-н")))))), "г.р.???")</f>
        <v>нед-н</v>
      </c>
      <c r="I21" s="591" t="str">
        <f>E75</f>
        <v>Фамилия_1 Имя Отчество</v>
      </c>
      <c r="J21" s="592">
        <f t="shared" ref="J21:J52" si="3">COUNTA(K21:W21)</f>
        <v>0</v>
      </c>
      <c r="K21" s="427"/>
      <c r="L21" s="430"/>
      <c r="M21" s="427"/>
      <c r="N21" s="429"/>
      <c r="O21" s="429"/>
      <c r="P21" s="429"/>
      <c r="Q21" s="429"/>
      <c r="R21" s="593"/>
      <c r="S21" s="594"/>
      <c r="T21" s="425"/>
      <c r="U21" s="427"/>
      <c r="V21" s="429"/>
      <c r="W21" s="426"/>
      <c r="X21" s="593"/>
      <c r="Y21" s="427"/>
      <c r="Z21" s="595"/>
      <c r="AA21" s="428"/>
      <c r="AB21" s="595"/>
      <c r="AC21" s="427"/>
      <c r="AD21" s="595"/>
      <c r="AE21" s="428"/>
      <c r="AF21" s="595"/>
      <c r="AG21" s="54"/>
      <c r="AI21" s="364" t="s">
        <v>260</v>
      </c>
      <c r="AJ21" s="56"/>
    </row>
    <row r="22" spans="1:48" ht="12" customHeight="1" x14ac:dyDescent="0.25">
      <c r="A22" s="363">
        <f t="shared" si="0"/>
        <v>2</v>
      </c>
      <c r="B22" s="364" t="s">
        <v>79</v>
      </c>
      <c r="C22" s="596" t="s">
        <v>264</v>
      </c>
      <c r="D22" s="597" t="s">
        <v>454</v>
      </c>
      <c r="E22" s="367"/>
      <c r="F22" s="368" t="str">
        <f t="shared" si="1"/>
        <v>Сокращенное Название</v>
      </c>
      <c r="G22" s="364" t="s">
        <v>624</v>
      </c>
      <c r="H22" s="364" t="str">
        <f t="shared" ca="1" si="2"/>
        <v>г.р.???</v>
      </c>
      <c r="I22" s="598" t="str">
        <f t="shared" ref="I22:I53" si="4">I21</f>
        <v>Фамилия_1 Имя Отчество</v>
      </c>
      <c r="J22" s="599">
        <f t="shared" si="3"/>
        <v>0</v>
      </c>
      <c r="K22" s="372"/>
      <c r="L22" s="381"/>
      <c r="M22" s="372"/>
      <c r="N22" s="373"/>
      <c r="O22" s="373"/>
      <c r="P22" s="373"/>
      <c r="Q22" s="373"/>
      <c r="R22" s="377"/>
      <c r="S22" s="600"/>
      <c r="T22" s="379"/>
      <c r="U22" s="372"/>
      <c r="V22" s="373"/>
      <c r="W22" s="380"/>
      <c r="X22" s="374"/>
      <c r="Y22" s="372"/>
      <c r="Z22" s="385"/>
      <c r="AA22" s="375"/>
      <c r="AB22" s="385"/>
      <c r="AC22" s="372"/>
      <c r="AD22" s="385"/>
      <c r="AE22" s="375"/>
      <c r="AF22" s="385"/>
      <c r="AG22" s="54"/>
      <c r="AI22" s="364" t="s">
        <v>261</v>
      </c>
      <c r="AJ22" s="56"/>
    </row>
    <row r="23" spans="1:48" ht="12" customHeight="1" x14ac:dyDescent="0.25">
      <c r="A23" s="363">
        <f t="shared" si="0"/>
        <v>3</v>
      </c>
      <c r="B23" s="364" t="s">
        <v>76</v>
      </c>
      <c r="C23" s="596" t="s">
        <v>264</v>
      </c>
      <c r="D23" s="597" t="s">
        <v>454</v>
      </c>
      <c r="E23" s="367"/>
      <c r="F23" s="368" t="str">
        <f t="shared" si="1"/>
        <v>Сокращенное Название</v>
      </c>
      <c r="G23" s="364" t="s">
        <v>624</v>
      </c>
      <c r="H23" s="364" t="str">
        <f t="shared" ca="1" si="2"/>
        <v>г.р.???</v>
      </c>
      <c r="I23" s="598" t="str">
        <f t="shared" si="4"/>
        <v>Фамилия_1 Имя Отчество</v>
      </c>
      <c r="J23" s="599">
        <f t="shared" si="3"/>
        <v>0</v>
      </c>
      <c r="K23" s="372"/>
      <c r="L23" s="381"/>
      <c r="M23" s="372"/>
      <c r="N23" s="373"/>
      <c r="O23" s="373"/>
      <c r="P23" s="373"/>
      <c r="Q23" s="373"/>
      <c r="R23" s="377"/>
      <c r="S23" s="600"/>
      <c r="T23" s="379"/>
      <c r="U23" s="372"/>
      <c r="V23" s="373"/>
      <c r="W23" s="380"/>
      <c r="X23" s="374"/>
      <c r="Y23" s="372"/>
      <c r="Z23" s="385"/>
      <c r="AA23" s="375"/>
      <c r="AB23" s="385"/>
      <c r="AC23" s="372"/>
      <c r="AD23" s="385"/>
      <c r="AE23" s="375"/>
      <c r="AF23" s="385"/>
      <c r="AG23" s="54"/>
      <c r="AI23" s="364" t="s">
        <v>262</v>
      </c>
      <c r="AJ23" s="56"/>
    </row>
    <row r="24" spans="1:48" ht="12" customHeight="1" x14ac:dyDescent="0.25">
      <c r="A24" s="363">
        <f t="shared" si="0"/>
        <v>4</v>
      </c>
      <c r="B24" s="364" t="s">
        <v>84</v>
      </c>
      <c r="C24" s="596" t="s">
        <v>264</v>
      </c>
      <c r="D24" s="597" t="s">
        <v>454</v>
      </c>
      <c r="E24" s="367"/>
      <c r="F24" s="368" t="str">
        <f t="shared" si="1"/>
        <v>Сокращенное Название</v>
      </c>
      <c r="G24" s="364" t="s">
        <v>624</v>
      </c>
      <c r="H24" s="364" t="str">
        <f t="shared" ca="1" si="2"/>
        <v>г.р.???</v>
      </c>
      <c r="I24" s="598" t="str">
        <f t="shared" si="4"/>
        <v>Фамилия_1 Имя Отчество</v>
      </c>
      <c r="J24" s="599">
        <f t="shared" si="3"/>
        <v>0</v>
      </c>
      <c r="K24" s="372"/>
      <c r="L24" s="381"/>
      <c r="M24" s="372"/>
      <c r="N24" s="373"/>
      <c r="O24" s="373"/>
      <c r="P24" s="373"/>
      <c r="Q24" s="373"/>
      <c r="R24" s="377"/>
      <c r="S24" s="600"/>
      <c r="T24" s="379"/>
      <c r="U24" s="372"/>
      <c r="V24" s="373"/>
      <c r="W24" s="380"/>
      <c r="X24" s="374"/>
      <c r="Y24" s="372"/>
      <c r="Z24" s="385"/>
      <c r="AA24" s="375"/>
      <c r="AB24" s="385"/>
      <c r="AC24" s="372"/>
      <c r="AD24" s="385"/>
      <c r="AE24" s="375"/>
      <c r="AF24" s="385"/>
      <c r="AG24" s="54"/>
      <c r="AI24" s="364" t="s">
        <v>79</v>
      </c>
      <c r="AJ24" s="56"/>
    </row>
    <row r="25" spans="1:48" ht="12" customHeight="1" x14ac:dyDescent="0.25">
      <c r="A25" s="363">
        <f t="shared" si="0"/>
        <v>5</v>
      </c>
      <c r="B25" s="364" t="s">
        <v>94</v>
      </c>
      <c r="C25" s="596" t="s">
        <v>264</v>
      </c>
      <c r="D25" s="597" t="s">
        <v>454</v>
      </c>
      <c r="E25" s="367"/>
      <c r="F25" s="368" t="str">
        <f t="shared" si="1"/>
        <v>Сокращенное Название</v>
      </c>
      <c r="G25" s="364" t="s">
        <v>624</v>
      </c>
      <c r="H25" s="364" t="str">
        <f t="shared" ca="1" si="2"/>
        <v>г.р.???</v>
      </c>
      <c r="I25" s="598" t="str">
        <f t="shared" si="4"/>
        <v>Фамилия_1 Имя Отчество</v>
      </c>
      <c r="J25" s="599">
        <f t="shared" si="3"/>
        <v>0</v>
      </c>
      <c r="K25" s="372"/>
      <c r="L25" s="381"/>
      <c r="M25" s="372"/>
      <c r="N25" s="373"/>
      <c r="O25" s="373"/>
      <c r="P25" s="373"/>
      <c r="Q25" s="373"/>
      <c r="R25" s="377"/>
      <c r="S25" s="600"/>
      <c r="T25" s="379"/>
      <c r="U25" s="372"/>
      <c r="V25" s="373"/>
      <c r="W25" s="380"/>
      <c r="X25" s="374"/>
      <c r="Y25" s="372"/>
      <c r="Z25" s="385"/>
      <c r="AA25" s="375"/>
      <c r="AB25" s="385"/>
      <c r="AC25" s="372"/>
      <c r="AD25" s="385"/>
      <c r="AE25" s="375"/>
      <c r="AF25" s="385"/>
      <c r="AG25" s="54"/>
      <c r="AI25" s="364" t="s">
        <v>76</v>
      </c>
      <c r="AJ25" s="56"/>
    </row>
    <row r="26" spans="1:48" ht="12" customHeight="1" x14ac:dyDescent="0.25">
      <c r="A26" s="363">
        <f t="shared" si="0"/>
        <v>6</v>
      </c>
      <c r="B26" s="386" t="s">
        <v>100</v>
      </c>
      <c r="C26" s="596" t="s">
        <v>264</v>
      </c>
      <c r="D26" s="597" t="s">
        <v>454</v>
      </c>
      <c r="E26" s="367"/>
      <c r="F26" s="368" t="str">
        <f t="shared" si="1"/>
        <v>Сокращенное Название</v>
      </c>
      <c r="G26" s="364" t="s">
        <v>624</v>
      </c>
      <c r="H26" s="364" t="str">
        <f t="shared" ca="1" si="2"/>
        <v>г.р.???</v>
      </c>
      <c r="I26" s="598" t="str">
        <f t="shared" si="4"/>
        <v>Фамилия_1 Имя Отчество</v>
      </c>
      <c r="J26" s="599">
        <f t="shared" si="3"/>
        <v>0</v>
      </c>
      <c r="K26" s="372"/>
      <c r="L26" s="381"/>
      <c r="M26" s="372"/>
      <c r="N26" s="373"/>
      <c r="O26" s="373"/>
      <c r="P26" s="373"/>
      <c r="Q26" s="373"/>
      <c r="R26" s="377"/>
      <c r="S26" s="600"/>
      <c r="T26" s="379"/>
      <c r="U26" s="372"/>
      <c r="V26" s="373"/>
      <c r="W26" s="380"/>
      <c r="X26" s="374"/>
      <c r="Y26" s="372"/>
      <c r="Z26" s="385"/>
      <c r="AA26" s="375"/>
      <c r="AB26" s="385"/>
      <c r="AC26" s="372"/>
      <c r="AD26" s="385"/>
      <c r="AE26" s="375"/>
      <c r="AF26" s="385"/>
      <c r="AG26" s="54"/>
      <c r="AI26" s="364" t="s">
        <v>84</v>
      </c>
      <c r="AJ26" s="56"/>
    </row>
    <row r="27" spans="1:48" ht="12" customHeight="1" x14ac:dyDescent="0.25">
      <c r="A27" s="363">
        <f t="shared" si="0"/>
        <v>7</v>
      </c>
      <c r="B27" s="386" t="s">
        <v>117</v>
      </c>
      <c r="C27" s="596" t="s">
        <v>264</v>
      </c>
      <c r="D27" s="597" t="s">
        <v>454</v>
      </c>
      <c r="E27" s="367"/>
      <c r="F27" s="368" t="str">
        <f t="shared" si="1"/>
        <v>Сокращенное Название</v>
      </c>
      <c r="G27" s="364" t="s">
        <v>624</v>
      </c>
      <c r="H27" s="364" t="str">
        <f t="shared" ca="1" si="2"/>
        <v>г.р.???</v>
      </c>
      <c r="I27" s="598" t="str">
        <f t="shared" si="4"/>
        <v>Фамилия_1 Имя Отчество</v>
      </c>
      <c r="J27" s="599">
        <f t="shared" si="3"/>
        <v>0</v>
      </c>
      <c r="K27" s="372"/>
      <c r="L27" s="381"/>
      <c r="M27" s="372"/>
      <c r="N27" s="373"/>
      <c r="O27" s="373"/>
      <c r="P27" s="373"/>
      <c r="Q27" s="373"/>
      <c r="R27" s="377"/>
      <c r="S27" s="600"/>
      <c r="T27" s="379"/>
      <c r="U27" s="372"/>
      <c r="V27" s="373"/>
      <c r="W27" s="380"/>
      <c r="X27" s="374"/>
      <c r="Y27" s="372"/>
      <c r="Z27" s="385"/>
      <c r="AA27" s="375"/>
      <c r="AB27" s="385"/>
      <c r="AC27" s="372"/>
      <c r="AD27" s="385"/>
      <c r="AE27" s="375"/>
      <c r="AF27" s="385"/>
      <c r="AG27" s="54"/>
      <c r="AI27" s="364" t="s">
        <v>94</v>
      </c>
      <c r="AJ27" s="56"/>
    </row>
    <row r="28" spans="1:48" ht="12" customHeight="1" x14ac:dyDescent="0.25">
      <c r="A28" s="363">
        <f t="shared" si="0"/>
        <v>8</v>
      </c>
      <c r="B28" s="386" t="s">
        <v>158</v>
      </c>
      <c r="C28" s="596" t="s">
        <v>264</v>
      </c>
      <c r="D28" s="597" t="s">
        <v>454</v>
      </c>
      <c r="E28" s="367"/>
      <c r="F28" s="368" t="str">
        <f t="shared" si="1"/>
        <v>Сокращенное Название</v>
      </c>
      <c r="G28" s="364" t="s">
        <v>624</v>
      </c>
      <c r="H28" s="364" t="str">
        <f t="shared" ca="1" si="2"/>
        <v>г.р.???</v>
      </c>
      <c r="I28" s="598" t="str">
        <f t="shared" si="4"/>
        <v>Фамилия_1 Имя Отчество</v>
      </c>
      <c r="J28" s="599">
        <f t="shared" si="3"/>
        <v>0</v>
      </c>
      <c r="K28" s="372"/>
      <c r="L28" s="381"/>
      <c r="M28" s="372"/>
      <c r="N28" s="373"/>
      <c r="O28" s="373"/>
      <c r="P28" s="373"/>
      <c r="Q28" s="373"/>
      <c r="R28" s="377"/>
      <c r="S28" s="600"/>
      <c r="T28" s="379"/>
      <c r="U28" s="372"/>
      <c r="V28" s="373"/>
      <c r="W28" s="380"/>
      <c r="X28" s="374"/>
      <c r="Y28" s="372"/>
      <c r="Z28" s="385"/>
      <c r="AA28" s="375"/>
      <c r="AB28" s="385"/>
      <c r="AC28" s="372"/>
      <c r="AD28" s="385"/>
      <c r="AE28" s="375"/>
      <c r="AF28" s="385"/>
      <c r="AG28" s="54"/>
      <c r="AI28" s="386" t="s">
        <v>100</v>
      </c>
      <c r="AJ28" s="56"/>
    </row>
    <row r="29" spans="1:48" ht="12" customHeight="1" x14ac:dyDescent="0.25">
      <c r="A29" s="363">
        <f t="shared" si="0"/>
        <v>9</v>
      </c>
      <c r="B29" s="364" t="s">
        <v>94</v>
      </c>
      <c r="C29" s="596" t="s">
        <v>264</v>
      </c>
      <c r="D29" s="597" t="s">
        <v>454</v>
      </c>
      <c r="E29" s="367"/>
      <c r="F29" s="368" t="str">
        <f t="shared" si="1"/>
        <v>Сокращенное Название</v>
      </c>
      <c r="G29" s="364" t="s">
        <v>624</v>
      </c>
      <c r="H29" s="364" t="str">
        <f t="shared" ca="1" si="2"/>
        <v>г.р.???</v>
      </c>
      <c r="I29" s="598" t="str">
        <f t="shared" si="4"/>
        <v>Фамилия_1 Имя Отчество</v>
      </c>
      <c r="J29" s="599">
        <f t="shared" si="3"/>
        <v>0</v>
      </c>
      <c r="K29" s="372"/>
      <c r="L29" s="381"/>
      <c r="M29" s="372"/>
      <c r="N29" s="373"/>
      <c r="O29" s="373"/>
      <c r="P29" s="373"/>
      <c r="Q29" s="373"/>
      <c r="R29" s="377"/>
      <c r="S29" s="600"/>
      <c r="T29" s="379"/>
      <c r="U29" s="372"/>
      <c r="V29" s="373"/>
      <c r="W29" s="380"/>
      <c r="X29" s="374"/>
      <c r="Y29" s="372"/>
      <c r="Z29" s="385"/>
      <c r="AA29" s="375"/>
      <c r="AB29" s="385"/>
      <c r="AC29" s="372"/>
      <c r="AD29" s="385"/>
      <c r="AE29" s="375"/>
      <c r="AF29" s="385"/>
      <c r="AG29" s="54"/>
      <c r="AI29" s="386" t="s">
        <v>117</v>
      </c>
      <c r="AJ29" s="56"/>
    </row>
    <row r="30" spans="1:48" ht="12" customHeight="1" x14ac:dyDescent="0.25">
      <c r="A30" s="363">
        <f t="shared" si="0"/>
        <v>10</v>
      </c>
      <c r="B30" s="364" t="s">
        <v>76</v>
      </c>
      <c r="C30" s="596" t="s">
        <v>264</v>
      </c>
      <c r="D30" s="597" t="s">
        <v>454</v>
      </c>
      <c r="E30" s="367"/>
      <c r="F30" s="368" t="str">
        <f t="shared" si="1"/>
        <v>Сокращенное Название</v>
      </c>
      <c r="G30" s="364" t="s">
        <v>624</v>
      </c>
      <c r="H30" s="364" t="str">
        <f t="shared" ca="1" si="2"/>
        <v>г.р.???</v>
      </c>
      <c r="I30" s="598" t="str">
        <f t="shared" si="4"/>
        <v>Фамилия_1 Имя Отчество</v>
      </c>
      <c r="J30" s="599">
        <f t="shared" si="3"/>
        <v>0</v>
      </c>
      <c r="K30" s="372"/>
      <c r="L30" s="381"/>
      <c r="M30" s="372"/>
      <c r="N30" s="373"/>
      <c r="O30" s="373"/>
      <c r="P30" s="373"/>
      <c r="Q30" s="373"/>
      <c r="R30" s="377"/>
      <c r="S30" s="600"/>
      <c r="T30" s="379"/>
      <c r="U30" s="372"/>
      <c r="V30" s="373"/>
      <c r="W30" s="380"/>
      <c r="X30" s="374"/>
      <c r="Y30" s="372"/>
      <c r="Z30" s="385"/>
      <c r="AA30" s="375"/>
      <c r="AB30" s="385"/>
      <c r="AC30" s="372"/>
      <c r="AD30" s="385"/>
      <c r="AE30" s="375"/>
      <c r="AF30" s="385"/>
      <c r="AG30" s="54"/>
      <c r="AI30" s="386" t="s">
        <v>158</v>
      </c>
      <c r="AJ30" s="56"/>
    </row>
    <row r="31" spans="1:48" ht="12" customHeight="1" x14ac:dyDescent="0.25">
      <c r="A31" s="363">
        <f t="shared" si="0"/>
        <v>11</v>
      </c>
      <c r="B31" s="386" t="s">
        <v>100</v>
      </c>
      <c r="C31" s="596" t="s">
        <v>264</v>
      </c>
      <c r="D31" s="597" t="s">
        <v>454</v>
      </c>
      <c r="E31" s="367"/>
      <c r="F31" s="368" t="str">
        <f t="shared" si="1"/>
        <v>Сокращенное Название</v>
      </c>
      <c r="G31" s="364" t="s">
        <v>624</v>
      </c>
      <c r="H31" s="364" t="str">
        <f t="shared" ca="1" si="2"/>
        <v>г.р.???</v>
      </c>
      <c r="I31" s="598" t="str">
        <f t="shared" si="4"/>
        <v>Фамилия_1 Имя Отчество</v>
      </c>
      <c r="J31" s="599">
        <f t="shared" si="3"/>
        <v>0</v>
      </c>
      <c r="K31" s="372"/>
      <c r="L31" s="381"/>
      <c r="M31" s="372"/>
      <c r="N31" s="373"/>
      <c r="O31" s="373"/>
      <c r="P31" s="373"/>
      <c r="Q31" s="373"/>
      <c r="R31" s="377"/>
      <c r="S31" s="600"/>
      <c r="T31" s="379"/>
      <c r="U31" s="372"/>
      <c r="V31" s="373"/>
      <c r="W31" s="380"/>
      <c r="X31" s="374"/>
      <c r="Y31" s="372"/>
      <c r="Z31" s="385"/>
      <c r="AA31" s="375"/>
      <c r="AB31" s="385"/>
      <c r="AC31" s="372"/>
      <c r="AD31" s="385"/>
      <c r="AE31" s="375"/>
      <c r="AF31" s="385"/>
      <c r="AG31" s="54"/>
      <c r="AI31" s="387" t="s">
        <v>82</v>
      </c>
      <c r="AJ31" s="56"/>
    </row>
    <row r="32" spans="1:48" ht="12" customHeight="1" x14ac:dyDescent="0.25">
      <c r="A32" s="363">
        <f t="shared" si="0"/>
        <v>12</v>
      </c>
      <c r="B32" s="364" t="s">
        <v>262</v>
      </c>
      <c r="C32" s="596" t="s">
        <v>264</v>
      </c>
      <c r="D32" s="597" t="s">
        <v>454</v>
      </c>
      <c r="E32" s="367"/>
      <c r="F32" s="368" t="str">
        <f t="shared" si="1"/>
        <v>Сокращенное Название</v>
      </c>
      <c r="G32" s="364" t="s">
        <v>624</v>
      </c>
      <c r="H32" s="364" t="str">
        <f t="shared" ca="1" si="2"/>
        <v>г.р.???</v>
      </c>
      <c r="I32" s="598" t="str">
        <f t="shared" si="4"/>
        <v>Фамилия_1 Имя Отчество</v>
      </c>
      <c r="J32" s="599">
        <f t="shared" si="3"/>
        <v>0</v>
      </c>
      <c r="K32" s="372"/>
      <c r="L32" s="381"/>
      <c r="M32" s="372"/>
      <c r="N32" s="373"/>
      <c r="O32" s="373"/>
      <c r="P32" s="373"/>
      <c r="Q32" s="373"/>
      <c r="R32" s="377"/>
      <c r="S32" s="600"/>
      <c r="T32" s="379"/>
      <c r="U32" s="372"/>
      <c r="V32" s="373"/>
      <c r="W32" s="380"/>
      <c r="X32" s="374"/>
      <c r="Y32" s="372"/>
      <c r="Z32" s="385"/>
      <c r="AA32" s="375"/>
      <c r="AB32" s="385"/>
      <c r="AC32" s="372"/>
      <c r="AD32" s="385"/>
      <c r="AE32" s="375"/>
      <c r="AF32" s="385"/>
      <c r="AG32" s="54"/>
      <c r="AI32" s="16"/>
      <c r="AJ32" s="56"/>
    </row>
    <row r="33" spans="1:36" ht="12" customHeight="1" x14ac:dyDescent="0.25">
      <c r="A33" s="363">
        <f t="shared" si="0"/>
        <v>13</v>
      </c>
      <c r="B33" s="364" t="s">
        <v>79</v>
      </c>
      <c r="C33" s="596" t="s">
        <v>264</v>
      </c>
      <c r="D33" s="597" t="s">
        <v>454</v>
      </c>
      <c r="E33" s="367"/>
      <c r="F33" s="368" t="str">
        <f t="shared" si="1"/>
        <v>Сокращенное Название</v>
      </c>
      <c r="G33" s="364" t="s">
        <v>624</v>
      </c>
      <c r="H33" s="364" t="str">
        <f t="shared" ca="1" si="2"/>
        <v>г.р.???</v>
      </c>
      <c r="I33" s="598" t="str">
        <f t="shared" si="4"/>
        <v>Фамилия_1 Имя Отчество</v>
      </c>
      <c r="J33" s="599">
        <f t="shared" si="3"/>
        <v>0</v>
      </c>
      <c r="K33" s="372"/>
      <c r="L33" s="381"/>
      <c r="M33" s="372"/>
      <c r="N33" s="373"/>
      <c r="O33" s="373"/>
      <c r="P33" s="373"/>
      <c r="Q33" s="373"/>
      <c r="R33" s="377"/>
      <c r="S33" s="600"/>
      <c r="T33" s="379"/>
      <c r="U33" s="372"/>
      <c r="V33" s="373"/>
      <c r="W33" s="380"/>
      <c r="X33" s="374"/>
      <c r="Y33" s="372"/>
      <c r="Z33" s="385"/>
      <c r="AA33" s="375"/>
      <c r="AB33" s="385"/>
      <c r="AC33" s="372"/>
      <c r="AD33" s="385"/>
      <c r="AE33" s="375"/>
      <c r="AF33" s="385"/>
      <c r="AG33" s="54"/>
      <c r="AI33" s="16"/>
      <c r="AJ33" s="56"/>
    </row>
    <row r="34" spans="1:36" ht="12" customHeight="1" x14ac:dyDescent="0.25">
      <c r="A34" s="363">
        <f t="shared" si="0"/>
        <v>14</v>
      </c>
      <c r="B34" s="364" t="s">
        <v>76</v>
      </c>
      <c r="C34" s="596" t="s">
        <v>264</v>
      </c>
      <c r="D34" s="597" t="s">
        <v>454</v>
      </c>
      <c r="E34" s="367"/>
      <c r="F34" s="368" t="str">
        <f t="shared" si="1"/>
        <v>Сокращенное Название</v>
      </c>
      <c r="G34" s="364" t="s">
        <v>624</v>
      </c>
      <c r="H34" s="364" t="str">
        <f t="shared" ca="1" si="2"/>
        <v>г.р.???</v>
      </c>
      <c r="I34" s="598" t="str">
        <f t="shared" si="4"/>
        <v>Фамилия_1 Имя Отчество</v>
      </c>
      <c r="J34" s="599">
        <f t="shared" si="3"/>
        <v>0</v>
      </c>
      <c r="K34" s="372"/>
      <c r="L34" s="381"/>
      <c r="M34" s="372"/>
      <c r="N34" s="373"/>
      <c r="O34" s="373"/>
      <c r="P34" s="373"/>
      <c r="Q34" s="373"/>
      <c r="R34" s="377"/>
      <c r="S34" s="600"/>
      <c r="T34" s="379"/>
      <c r="U34" s="372"/>
      <c r="V34" s="373"/>
      <c r="W34" s="380"/>
      <c r="X34" s="374"/>
      <c r="Y34" s="372"/>
      <c r="Z34" s="385"/>
      <c r="AA34" s="375"/>
      <c r="AB34" s="385"/>
      <c r="AC34" s="372"/>
      <c r="AD34" s="385"/>
      <c r="AE34" s="375"/>
      <c r="AF34" s="385"/>
      <c r="AG34" s="54"/>
      <c r="AI34" s="16"/>
      <c r="AJ34" s="56"/>
    </row>
    <row r="35" spans="1:36" ht="12" customHeight="1" x14ac:dyDescent="0.25">
      <c r="A35" s="363">
        <f t="shared" si="0"/>
        <v>15</v>
      </c>
      <c r="B35" s="364" t="s">
        <v>84</v>
      </c>
      <c r="C35" s="596" t="s">
        <v>264</v>
      </c>
      <c r="D35" s="597" t="s">
        <v>454</v>
      </c>
      <c r="E35" s="367"/>
      <c r="F35" s="368" t="str">
        <f t="shared" si="1"/>
        <v>Сокращенное Название</v>
      </c>
      <c r="G35" s="364" t="s">
        <v>624</v>
      </c>
      <c r="H35" s="364" t="str">
        <f t="shared" ca="1" si="2"/>
        <v>г.р.???</v>
      </c>
      <c r="I35" s="598" t="str">
        <f t="shared" si="4"/>
        <v>Фамилия_1 Имя Отчество</v>
      </c>
      <c r="J35" s="599">
        <f t="shared" si="3"/>
        <v>0</v>
      </c>
      <c r="K35" s="372"/>
      <c r="L35" s="381"/>
      <c r="M35" s="372"/>
      <c r="N35" s="373"/>
      <c r="O35" s="373"/>
      <c r="P35" s="373"/>
      <c r="Q35" s="373"/>
      <c r="R35" s="377"/>
      <c r="S35" s="600"/>
      <c r="T35" s="379"/>
      <c r="U35" s="372"/>
      <c r="V35" s="373"/>
      <c r="W35" s="380"/>
      <c r="X35" s="374"/>
      <c r="Y35" s="372"/>
      <c r="Z35" s="385"/>
      <c r="AA35" s="375"/>
      <c r="AB35" s="385"/>
      <c r="AC35" s="372"/>
      <c r="AD35" s="385"/>
      <c r="AE35" s="375"/>
      <c r="AF35" s="385"/>
      <c r="AG35" s="54"/>
      <c r="AI35" s="16"/>
      <c r="AJ35" s="56"/>
    </row>
    <row r="36" spans="1:36" ht="12" customHeight="1" x14ac:dyDescent="0.25">
      <c r="A36" s="363">
        <f t="shared" si="0"/>
        <v>16</v>
      </c>
      <c r="B36" s="364" t="s">
        <v>84</v>
      </c>
      <c r="C36" s="596" t="s">
        <v>264</v>
      </c>
      <c r="D36" s="597" t="s">
        <v>454</v>
      </c>
      <c r="E36" s="367"/>
      <c r="F36" s="368" t="str">
        <f t="shared" si="1"/>
        <v>Сокращенное Название</v>
      </c>
      <c r="G36" s="364" t="s">
        <v>624</v>
      </c>
      <c r="H36" s="364" t="str">
        <f t="shared" ca="1" si="2"/>
        <v>г.р.???</v>
      </c>
      <c r="I36" s="598" t="str">
        <f t="shared" si="4"/>
        <v>Фамилия_1 Имя Отчество</v>
      </c>
      <c r="J36" s="599">
        <f t="shared" si="3"/>
        <v>0</v>
      </c>
      <c r="K36" s="372"/>
      <c r="L36" s="381"/>
      <c r="M36" s="372"/>
      <c r="N36" s="373"/>
      <c r="O36" s="373"/>
      <c r="P36" s="373"/>
      <c r="Q36" s="373"/>
      <c r="R36" s="377"/>
      <c r="S36" s="600"/>
      <c r="T36" s="379"/>
      <c r="U36" s="372"/>
      <c r="V36" s="373"/>
      <c r="W36" s="380"/>
      <c r="X36" s="374"/>
      <c r="Y36" s="372"/>
      <c r="Z36" s="385"/>
      <c r="AA36" s="375"/>
      <c r="AB36" s="385"/>
      <c r="AC36" s="372"/>
      <c r="AD36" s="385"/>
      <c r="AE36" s="375"/>
      <c r="AF36" s="385"/>
      <c r="AG36" s="54"/>
      <c r="AI36" s="16"/>
      <c r="AJ36" s="56"/>
    </row>
    <row r="37" spans="1:36" ht="12" customHeight="1" x14ac:dyDescent="0.25">
      <c r="A37" s="363">
        <f t="shared" si="0"/>
        <v>17</v>
      </c>
      <c r="B37" s="364" t="s">
        <v>84</v>
      </c>
      <c r="C37" s="596" t="s">
        <v>264</v>
      </c>
      <c r="D37" s="597" t="s">
        <v>454</v>
      </c>
      <c r="E37" s="367"/>
      <c r="F37" s="368" t="str">
        <f t="shared" si="1"/>
        <v>Сокращенное Название</v>
      </c>
      <c r="G37" s="364" t="s">
        <v>624</v>
      </c>
      <c r="H37" s="364" t="str">
        <f t="shared" ca="1" si="2"/>
        <v>г.р.???</v>
      </c>
      <c r="I37" s="598" t="str">
        <f t="shared" si="4"/>
        <v>Фамилия_1 Имя Отчество</v>
      </c>
      <c r="J37" s="599">
        <f t="shared" si="3"/>
        <v>0</v>
      </c>
      <c r="K37" s="372"/>
      <c r="L37" s="381"/>
      <c r="M37" s="372"/>
      <c r="N37" s="373"/>
      <c r="O37" s="373"/>
      <c r="P37" s="373"/>
      <c r="Q37" s="373"/>
      <c r="R37" s="377"/>
      <c r="S37" s="600"/>
      <c r="T37" s="379"/>
      <c r="U37" s="372"/>
      <c r="V37" s="373"/>
      <c r="W37" s="380"/>
      <c r="X37" s="374"/>
      <c r="Y37" s="372"/>
      <c r="Z37" s="385"/>
      <c r="AA37" s="375"/>
      <c r="AB37" s="385"/>
      <c r="AC37" s="372"/>
      <c r="AD37" s="385"/>
      <c r="AE37" s="375"/>
      <c r="AF37" s="385"/>
      <c r="AG37" s="54"/>
      <c r="AI37" s="16"/>
      <c r="AJ37" s="56"/>
    </row>
    <row r="38" spans="1:36" ht="12" customHeight="1" x14ac:dyDescent="0.25">
      <c r="A38" s="363">
        <f t="shared" si="0"/>
        <v>18</v>
      </c>
      <c r="B38" s="364" t="s">
        <v>84</v>
      </c>
      <c r="C38" s="596" t="s">
        <v>264</v>
      </c>
      <c r="D38" s="597" t="s">
        <v>454</v>
      </c>
      <c r="E38" s="367"/>
      <c r="F38" s="368" t="str">
        <f t="shared" si="1"/>
        <v>Сокращенное Название</v>
      </c>
      <c r="G38" s="364" t="s">
        <v>624</v>
      </c>
      <c r="H38" s="364" t="str">
        <f t="shared" ca="1" si="2"/>
        <v>г.р.???</v>
      </c>
      <c r="I38" s="598" t="str">
        <f t="shared" si="4"/>
        <v>Фамилия_1 Имя Отчество</v>
      </c>
      <c r="J38" s="599">
        <f t="shared" si="3"/>
        <v>0</v>
      </c>
      <c r="K38" s="372"/>
      <c r="L38" s="381"/>
      <c r="M38" s="372"/>
      <c r="N38" s="373"/>
      <c r="O38" s="373"/>
      <c r="P38" s="373"/>
      <c r="Q38" s="373"/>
      <c r="R38" s="377"/>
      <c r="S38" s="600"/>
      <c r="T38" s="379"/>
      <c r="U38" s="372"/>
      <c r="V38" s="373"/>
      <c r="W38" s="380"/>
      <c r="X38" s="374"/>
      <c r="Y38" s="372"/>
      <c r="Z38" s="385"/>
      <c r="AA38" s="375"/>
      <c r="AB38" s="385"/>
      <c r="AC38" s="372"/>
      <c r="AD38" s="385"/>
      <c r="AE38" s="375"/>
      <c r="AF38" s="385"/>
      <c r="AG38" s="54"/>
      <c r="AI38" s="16"/>
      <c r="AJ38" s="56"/>
    </row>
    <row r="39" spans="1:36" ht="12" customHeight="1" x14ac:dyDescent="0.25">
      <c r="A39" s="363">
        <f t="shared" si="0"/>
        <v>19</v>
      </c>
      <c r="B39" s="364" t="s">
        <v>84</v>
      </c>
      <c r="C39" s="596" t="s">
        <v>264</v>
      </c>
      <c r="D39" s="597" t="s">
        <v>454</v>
      </c>
      <c r="E39" s="367"/>
      <c r="F39" s="368" t="str">
        <f t="shared" si="1"/>
        <v>Сокращенное Название</v>
      </c>
      <c r="G39" s="364" t="s">
        <v>624</v>
      </c>
      <c r="H39" s="364" t="str">
        <f t="shared" ca="1" si="2"/>
        <v>г.р.???</v>
      </c>
      <c r="I39" s="598" t="str">
        <f t="shared" si="4"/>
        <v>Фамилия_1 Имя Отчество</v>
      </c>
      <c r="J39" s="599">
        <f t="shared" si="3"/>
        <v>0</v>
      </c>
      <c r="K39" s="372"/>
      <c r="L39" s="381"/>
      <c r="M39" s="372"/>
      <c r="N39" s="373"/>
      <c r="O39" s="373"/>
      <c r="P39" s="373"/>
      <c r="Q39" s="373"/>
      <c r="R39" s="377"/>
      <c r="S39" s="600"/>
      <c r="T39" s="379"/>
      <c r="U39" s="372"/>
      <c r="V39" s="373"/>
      <c r="W39" s="380"/>
      <c r="X39" s="374"/>
      <c r="Y39" s="372"/>
      <c r="Z39" s="385"/>
      <c r="AA39" s="375"/>
      <c r="AB39" s="385"/>
      <c r="AC39" s="372"/>
      <c r="AD39" s="385"/>
      <c r="AE39" s="375"/>
      <c r="AF39" s="385"/>
      <c r="AG39" s="54"/>
      <c r="AI39" s="16"/>
      <c r="AJ39" s="56"/>
    </row>
    <row r="40" spans="1:36" ht="12" customHeight="1" x14ac:dyDescent="0.25">
      <c r="A40" s="363">
        <f t="shared" si="0"/>
        <v>20</v>
      </c>
      <c r="B40" s="364" t="s">
        <v>84</v>
      </c>
      <c r="C40" s="596" t="s">
        <v>264</v>
      </c>
      <c r="D40" s="597" t="s">
        <v>454</v>
      </c>
      <c r="E40" s="367"/>
      <c r="F40" s="368" t="str">
        <f t="shared" si="1"/>
        <v>Сокращенное Название</v>
      </c>
      <c r="G40" s="364" t="s">
        <v>624</v>
      </c>
      <c r="H40" s="364" t="str">
        <f t="shared" ca="1" si="2"/>
        <v>г.р.???</v>
      </c>
      <c r="I40" s="598" t="str">
        <f t="shared" si="4"/>
        <v>Фамилия_1 Имя Отчество</v>
      </c>
      <c r="J40" s="599">
        <f t="shared" si="3"/>
        <v>0</v>
      </c>
      <c r="K40" s="372"/>
      <c r="L40" s="381"/>
      <c r="M40" s="372"/>
      <c r="N40" s="373"/>
      <c r="O40" s="373"/>
      <c r="P40" s="373"/>
      <c r="Q40" s="373"/>
      <c r="R40" s="377"/>
      <c r="S40" s="600"/>
      <c r="T40" s="379"/>
      <c r="U40" s="372"/>
      <c r="V40" s="373"/>
      <c r="W40" s="380"/>
      <c r="X40" s="374"/>
      <c r="Y40" s="372"/>
      <c r="Z40" s="385"/>
      <c r="AA40" s="375"/>
      <c r="AB40" s="385"/>
      <c r="AC40" s="372"/>
      <c r="AD40" s="385"/>
      <c r="AE40" s="375"/>
      <c r="AF40" s="385"/>
      <c r="AG40" s="54"/>
      <c r="AI40" s="16"/>
      <c r="AJ40" s="56"/>
    </row>
    <row r="41" spans="1:36" ht="12" customHeight="1" x14ac:dyDescent="0.25">
      <c r="A41" s="363">
        <f t="shared" si="0"/>
        <v>21</v>
      </c>
      <c r="B41" s="364" t="s">
        <v>84</v>
      </c>
      <c r="C41" s="596" t="s">
        <v>264</v>
      </c>
      <c r="D41" s="597" t="s">
        <v>454</v>
      </c>
      <c r="E41" s="367"/>
      <c r="F41" s="368" t="str">
        <f t="shared" si="1"/>
        <v>Сокращенное Название</v>
      </c>
      <c r="G41" s="364" t="s">
        <v>624</v>
      </c>
      <c r="H41" s="364" t="str">
        <f t="shared" ca="1" si="2"/>
        <v>г.р.???</v>
      </c>
      <c r="I41" s="598" t="str">
        <f t="shared" si="4"/>
        <v>Фамилия_1 Имя Отчество</v>
      </c>
      <c r="J41" s="599">
        <f t="shared" si="3"/>
        <v>0</v>
      </c>
      <c r="K41" s="372"/>
      <c r="L41" s="381"/>
      <c r="M41" s="372"/>
      <c r="N41" s="373"/>
      <c r="O41" s="373"/>
      <c r="P41" s="373"/>
      <c r="Q41" s="373"/>
      <c r="R41" s="377"/>
      <c r="S41" s="600"/>
      <c r="T41" s="379"/>
      <c r="U41" s="372"/>
      <c r="V41" s="373"/>
      <c r="W41" s="380"/>
      <c r="X41" s="374"/>
      <c r="Y41" s="372"/>
      <c r="Z41" s="385"/>
      <c r="AA41" s="375"/>
      <c r="AB41" s="385"/>
      <c r="AC41" s="372"/>
      <c r="AD41" s="385"/>
      <c r="AE41" s="375"/>
      <c r="AF41" s="385"/>
      <c r="AG41" s="54"/>
      <c r="AI41" s="16"/>
      <c r="AJ41" s="56"/>
    </row>
    <row r="42" spans="1:36" ht="12" customHeight="1" x14ac:dyDescent="0.25">
      <c r="A42" s="363">
        <f t="shared" si="0"/>
        <v>22</v>
      </c>
      <c r="B42" s="386" t="s">
        <v>100</v>
      </c>
      <c r="C42" s="596" t="s">
        <v>264</v>
      </c>
      <c r="D42" s="597" t="s">
        <v>454</v>
      </c>
      <c r="E42" s="367"/>
      <c r="F42" s="368" t="str">
        <f t="shared" si="1"/>
        <v>Сокращенное Название</v>
      </c>
      <c r="G42" s="364" t="s">
        <v>624</v>
      </c>
      <c r="H42" s="364" t="str">
        <f t="shared" ca="1" si="2"/>
        <v>г.р.???</v>
      </c>
      <c r="I42" s="598" t="str">
        <f t="shared" si="4"/>
        <v>Фамилия_1 Имя Отчество</v>
      </c>
      <c r="J42" s="599">
        <f t="shared" si="3"/>
        <v>0</v>
      </c>
      <c r="K42" s="372"/>
      <c r="L42" s="381"/>
      <c r="M42" s="372"/>
      <c r="N42" s="373"/>
      <c r="O42" s="373"/>
      <c r="P42" s="373"/>
      <c r="Q42" s="373"/>
      <c r="R42" s="377"/>
      <c r="S42" s="600"/>
      <c r="T42" s="379"/>
      <c r="U42" s="372"/>
      <c r="V42" s="373"/>
      <c r="W42" s="380"/>
      <c r="X42" s="374"/>
      <c r="Y42" s="372"/>
      <c r="Z42" s="385"/>
      <c r="AA42" s="375"/>
      <c r="AB42" s="385"/>
      <c r="AC42" s="372"/>
      <c r="AD42" s="385"/>
      <c r="AE42" s="375"/>
      <c r="AF42" s="385"/>
      <c r="AG42" s="54"/>
      <c r="AI42" s="16"/>
      <c r="AJ42" s="56"/>
    </row>
    <row r="43" spans="1:36" ht="12" customHeight="1" x14ac:dyDescent="0.25">
      <c r="A43" s="363">
        <f t="shared" si="0"/>
        <v>23</v>
      </c>
      <c r="B43" s="364" t="s">
        <v>262</v>
      </c>
      <c r="C43" s="596" t="s">
        <v>264</v>
      </c>
      <c r="D43" s="597" t="s">
        <v>454</v>
      </c>
      <c r="E43" s="367"/>
      <c r="F43" s="368" t="str">
        <f t="shared" si="1"/>
        <v>Сокращенное Название</v>
      </c>
      <c r="G43" s="364" t="s">
        <v>624</v>
      </c>
      <c r="H43" s="364" t="str">
        <f t="shared" ca="1" si="2"/>
        <v>г.р.???</v>
      </c>
      <c r="I43" s="598" t="str">
        <f t="shared" si="4"/>
        <v>Фамилия_1 Имя Отчество</v>
      </c>
      <c r="J43" s="599">
        <f t="shared" si="3"/>
        <v>0</v>
      </c>
      <c r="K43" s="372"/>
      <c r="L43" s="381"/>
      <c r="M43" s="372"/>
      <c r="N43" s="373"/>
      <c r="O43" s="373"/>
      <c r="P43" s="373"/>
      <c r="Q43" s="373"/>
      <c r="R43" s="377"/>
      <c r="S43" s="600"/>
      <c r="T43" s="379"/>
      <c r="U43" s="372"/>
      <c r="V43" s="373"/>
      <c r="W43" s="380"/>
      <c r="X43" s="374"/>
      <c r="Y43" s="372"/>
      <c r="Z43" s="385"/>
      <c r="AA43" s="375"/>
      <c r="AB43" s="385"/>
      <c r="AC43" s="372"/>
      <c r="AD43" s="385"/>
      <c r="AE43" s="375"/>
      <c r="AF43" s="385"/>
      <c r="AG43" s="54"/>
      <c r="AI43" s="16"/>
      <c r="AJ43" s="56"/>
    </row>
    <row r="44" spans="1:36" ht="12" customHeight="1" x14ac:dyDescent="0.25">
      <c r="A44" s="363">
        <f t="shared" si="0"/>
        <v>24</v>
      </c>
      <c r="B44" s="364" t="s">
        <v>76</v>
      </c>
      <c r="C44" s="596" t="s">
        <v>264</v>
      </c>
      <c r="D44" s="597" t="s">
        <v>454</v>
      </c>
      <c r="E44" s="367"/>
      <c r="F44" s="368" t="str">
        <f t="shared" si="1"/>
        <v>Сокращенное Название</v>
      </c>
      <c r="G44" s="364" t="s">
        <v>624</v>
      </c>
      <c r="H44" s="364" t="str">
        <f t="shared" ca="1" si="2"/>
        <v>г.р.???</v>
      </c>
      <c r="I44" s="598" t="str">
        <f t="shared" si="4"/>
        <v>Фамилия_1 Имя Отчество</v>
      </c>
      <c r="J44" s="599">
        <f t="shared" si="3"/>
        <v>0</v>
      </c>
      <c r="K44" s="372"/>
      <c r="L44" s="381"/>
      <c r="M44" s="372"/>
      <c r="N44" s="373"/>
      <c r="O44" s="373"/>
      <c r="P44" s="373"/>
      <c r="Q44" s="373"/>
      <c r="R44" s="377"/>
      <c r="S44" s="600"/>
      <c r="T44" s="379"/>
      <c r="U44" s="372"/>
      <c r="V44" s="373"/>
      <c r="W44" s="380"/>
      <c r="X44" s="374"/>
      <c r="Y44" s="372"/>
      <c r="Z44" s="385"/>
      <c r="AA44" s="375"/>
      <c r="AB44" s="385"/>
      <c r="AC44" s="372"/>
      <c r="AD44" s="385"/>
      <c r="AE44" s="375"/>
      <c r="AF44" s="385"/>
      <c r="AG44" s="54"/>
      <c r="AI44" s="16"/>
      <c r="AJ44" s="56"/>
    </row>
    <row r="45" spans="1:36" ht="12.75" customHeight="1" x14ac:dyDescent="0.25">
      <c r="A45" s="435">
        <f t="shared" si="0"/>
        <v>25</v>
      </c>
      <c r="B45" s="388" t="s">
        <v>84</v>
      </c>
      <c r="C45" s="601" t="s">
        <v>264</v>
      </c>
      <c r="D45" s="602" t="s">
        <v>454</v>
      </c>
      <c r="E45" s="391"/>
      <c r="F45" s="392" t="str">
        <f t="shared" si="1"/>
        <v>Сокращенное Название</v>
      </c>
      <c r="G45" s="388" t="s">
        <v>624</v>
      </c>
      <c r="H45" s="388" t="str">
        <f t="shared" ca="1" si="2"/>
        <v>г.р.???</v>
      </c>
      <c r="I45" s="603" t="str">
        <f t="shared" si="4"/>
        <v>Фамилия_1 Имя Отчество</v>
      </c>
      <c r="J45" s="604">
        <f t="shared" si="3"/>
        <v>0</v>
      </c>
      <c r="K45" s="396"/>
      <c r="L45" s="405"/>
      <c r="M45" s="396"/>
      <c r="N45" s="397"/>
      <c r="O45" s="397"/>
      <c r="P45" s="397"/>
      <c r="Q45" s="397"/>
      <c r="R45" s="401"/>
      <c r="S45" s="605"/>
      <c r="T45" s="606"/>
      <c r="U45" s="607"/>
      <c r="V45" s="608"/>
      <c r="W45" s="609"/>
      <c r="X45" s="610"/>
      <c r="Y45" s="607"/>
      <c r="Z45" s="611"/>
      <c r="AA45" s="612"/>
      <c r="AB45" s="611"/>
      <c r="AC45" s="607"/>
      <c r="AD45" s="611"/>
      <c r="AE45" s="612"/>
      <c r="AF45" s="611"/>
      <c r="AG45" s="54"/>
      <c r="AI45" s="16"/>
      <c r="AJ45" s="56"/>
    </row>
    <row r="46" spans="1:36" ht="12" customHeight="1" x14ac:dyDescent="0.25">
      <c r="A46" s="613">
        <f t="shared" si="0"/>
        <v>26</v>
      </c>
      <c r="B46" s="614" t="s">
        <v>158</v>
      </c>
      <c r="C46" s="615" t="s">
        <v>265</v>
      </c>
      <c r="D46" s="616" t="s">
        <v>454</v>
      </c>
      <c r="E46" s="414"/>
      <c r="F46" s="617" t="str">
        <f t="shared" si="1"/>
        <v>Сокращенное Название</v>
      </c>
      <c r="G46" s="416" t="s">
        <v>625</v>
      </c>
      <c r="H46" s="618" t="str">
        <f t="shared" ca="1" si="2"/>
        <v>г.р.???</v>
      </c>
      <c r="I46" s="619" t="str">
        <f t="shared" si="4"/>
        <v>Фамилия_1 Имя Отчество</v>
      </c>
      <c r="J46" s="592">
        <f t="shared" si="3"/>
        <v>0</v>
      </c>
      <c r="K46" s="420"/>
      <c r="L46" s="620"/>
      <c r="M46" s="420"/>
      <c r="N46" s="421"/>
      <c r="O46" s="421"/>
      <c r="P46" s="421"/>
      <c r="Q46" s="421"/>
      <c r="R46" s="422"/>
      <c r="S46" s="594"/>
      <c r="T46" s="425"/>
      <c r="U46" s="427"/>
      <c r="V46" s="429"/>
      <c r="W46" s="426"/>
      <c r="X46" s="593"/>
      <c r="Y46" s="427"/>
      <c r="Z46" s="595"/>
      <c r="AA46" s="428"/>
      <c r="AB46" s="595"/>
      <c r="AC46" s="427"/>
      <c r="AD46" s="595"/>
      <c r="AE46" s="428"/>
      <c r="AF46" s="595"/>
      <c r="AG46" s="54"/>
      <c r="AI46" s="16"/>
      <c r="AJ46" s="56"/>
    </row>
    <row r="47" spans="1:36" ht="12" customHeight="1" x14ac:dyDescent="0.25">
      <c r="A47" s="363">
        <f t="shared" si="0"/>
        <v>27</v>
      </c>
      <c r="B47" s="364" t="s">
        <v>84</v>
      </c>
      <c r="C47" s="596" t="s">
        <v>265</v>
      </c>
      <c r="D47" s="597" t="s">
        <v>454</v>
      </c>
      <c r="E47" s="367"/>
      <c r="F47" s="368" t="str">
        <f t="shared" si="1"/>
        <v>Сокращенное Название</v>
      </c>
      <c r="G47" s="364" t="s">
        <v>625</v>
      </c>
      <c r="H47" s="364" t="str">
        <f t="shared" ca="1" si="2"/>
        <v>г.р.???</v>
      </c>
      <c r="I47" s="598" t="str">
        <f t="shared" si="4"/>
        <v>Фамилия_1 Имя Отчество</v>
      </c>
      <c r="J47" s="599">
        <f t="shared" si="3"/>
        <v>0</v>
      </c>
      <c r="K47" s="372"/>
      <c r="L47" s="381"/>
      <c r="M47" s="372"/>
      <c r="N47" s="373"/>
      <c r="O47" s="373"/>
      <c r="P47" s="373"/>
      <c r="Q47" s="373"/>
      <c r="R47" s="374"/>
      <c r="S47" s="600"/>
      <c r="T47" s="379"/>
      <c r="U47" s="372"/>
      <c r="V47" s="373"/>
      <c r="W47" s="380"/>
      <c r="X47" s="374"/>
      <c r="Y47" s="372"/>
      <c r="Z47" s="385"/>
      <c r="AA47" s="375"/>
      <c r="AB47" s="385"/>
      <c r="AC47" s="372"/>
      <c r="AD47" s="385"/>
      <c r="AE47" s="375"/>
      <c r="AF47" s="385"/>
      <c r="AG47" s="54"/>
      <c r="AI47" s="16"/>
      <c r="AJ47" s="56"/>
    </row>
    <row r="48" spans="1:36" ht="12" customHeight="1" x14ac:dyDescent="0.25">
      <c r="A48" s="363">
        <f t="shared" si="0"/>
        <v>28</v>
      </c>
      <c r="B48" s="364" t="s">
        <v>84</v>
      </c>
      <c r="C48" s="596" t="s">
        <v>265</v>
      </c>
      <c r="D48" s="597" t="s">
        <v>454</v>
      </c>
      <c r="E48" s="367"/>
      <c r="F48" s="368" t="str">
        <f t="shared" si="1"/>
        <v>Сокращенное Название</v>
      </c>
      <c r="G48" s="364" t="s">
        <v>625</v>
      </c>
      <c r="H48" s="364" t="str">
        <f t="shared" ca="1" si="2"/>
        <v>г.р.???</v>
      </c>
      <c r="I48" s="598" t="str">
        <f t="shared" si="4"/>
        <v>Фамилия_1 Имя Отчество</v>
      </c>
      <c r="J48" s="599">
        <f t="shared" si="3"/>
        <v>0</v>
      </c>
      <c r="K48" s="372"/>
      <c r="L48" s="381"/>
      <c r="M48" s="372"/>
      <c r="N48" s="373"/>
      <c r="O48" s="373"/>
      <c r="P48" s="373"/>
      <c r="Q48" s="373"/>
      <c r="R48" s="374"/>
      <c r="S48" s="600"/>
      <c r="T48" s="379"/>
      <c r="U48" s="372"/>
      <c r="V48" s="373"/>
      <c r="W48" s="380"/>
      <c r="X48" s="374"/>
      <c r="Y48" s="372"/>
      <c r="Z48" s="385"/>
      <c r="AA48" s="375"/>
      <c r="AB48" s="385"/>
      <c r="AC48" s="372"/>
      <c r="AD48" s="385"/>
      <c r="AE48" s="375"/>
      <c r="AF48" s="385"/>
      <c r="AG48" s="54"/>
      <c r="AI48" s="16"/>
      <c r="AJ48" s="56"/>
    </row>
    <row r="49" spans="1:36" ht="12" customHeight="1" x14ac:dyDescent="0.25">
      <c r="A49" s="363">
        <f t="shared" si="0"/>
        <v>29</v>
      </c>
      <c r="B49" s="364" t="s">
        <v>84</v>
      </c>
      <c r="C49" s="596" t="s">
        <v>265</v>
      </c>
      <c r="D49" s="597" t="s">
        <v>454</v>
      </c>
      <c r="E49" s="367"/>
      <c r="F49" s="368" t="str">
        <f t="shared" si="1"/>
        <v>Сокращенное Название</v>
      </c>
      <c r="G49" s="364" t="s">
        <v>625</v>
      </c>
      <c r="H49" s="364" t="str">
        <f t="shared" ca="1" si="2"/>
        <v>г.р.???</v>
      </c>
      <c r="I49" s="598" t="str">
        <f t="shared" si="4"/>
        <v>Фамилия_1 Имя Отчество</v>
      </c>
      <c r="J49" s="599">
        <f t="shared" si="3"/>
        <v>0</v>
      </c>
      <c r="K49" s="372"/>
      <c r="L49" s="381"/>
      <c r="M49" s="372"/>
      <c r="N49" s="373"/>
      <c r="O49" s="373"/>
      <c r="P49" s="373"/>
      <c r="Q49" s="373"/>
      <c r="R49" s="374"/>
      <c r="S49" s="600"/>
      <c r="T49" s="379"/>
      <c r="U49" s="372"/>
      <c r="V49" s="373"/>
      <c r="W49" s="380"/>
      <c r="X49" s="374"/>
      <c r="Y49" s="372"/>
      <c r="Z49" s="385"/>
      <c r="AA49" s="375"/>
      <c r="AB49" s="385"/>
      <c r="AC49" s="372"/>
      <c r="AD49" s="385"/>
      <c r="AE49" s="375"/>
      <c r="AF49" s="385"/>
      <c r="AG49" s="54"/>
      <c r="AI49" s="16"/>
      <c r="AJ49" s="56"/>
    </row>
    <row r="50" spans="1:36" ht="12" customHeight="1" x14ac:dyDescent="0.25">
      <c r="A50" s="363">
        <f t="shared" si="0"/>
        <v>30</v>
      </c>
      <c r="B50" s="364" t="s">
        <v>84</v>
      </c>
      <c r="C50" s="596" t="s">
        <v>265</v>
      </c>
      <c r="D50" s="597" t="s">
        <v>454</v>
      </c>
      <c r="E50" s="367"/>
      <c r="F50" s="368" t="str">
        <f t="shared" si="1"/>
        <v>Сокращенное Название</v>
      </c>
      <c r="G50" s="364" t="s">
        <v>625</v>
      </c>
      <c r="H50" s="364" t="str">
        <f t="shared" ca="1" si="2"/>
        <v>г.р.???</v>
      </c>
      <c r="I50" s="598" t="str">
        <f t="shared" si="4"/>
        <v>Фамилия_1 Имя Отчество</v>
      </c>
      <c r="J50" s="599">
        <f t="shared" si="3"/>
        <v>0</v>
      </c>
      <c r="K50" s="372"/>
      <c r="L50" s="381"/>
      <c r="M50" s="372"/>
      <c r="N50" s="373"/>
      <c r="O50" s="373"/>
      <c r="P50" s="373"/>
      <c r="Q50" s="373"/>
      <c r="R50" s="374"/>
      <c r="S50" s="600"/>
      <c r="T50" s="379"/>
      <c r="U50" s="372"/>
      <c r="V50" s="373"/>
      <c r="W50" s="380"/>
      <c r="X50" s="374"/>
      <c r="Y50" s="372"/>
      <c r="Z50" s="385"/>
      <c r="AA50" s="375"/>
      <c r="AB50" s="385"/>
      <c r="AC50" s="372"/>
      <c r="AD50" s="385"/>
      <c r="AE50" s="375"/>
      <c r="AF50" s="385"/>
      <c r="AG50" s="54"/>
      <c r="AI50" s="16"/>
      <c r="AJ50" s="56"/>
    </row>
    <row r="51" spans="1:36" ht="12" customHeight="1" x14ac:dyDescent="0.25">
      <c r="A51" s="363">
        <f t="shared" si="0"/>
        <v>31</v>
      </c>
      <c r="B51" s="364" t="s">
        <v>84</v>
      </c>
      <c r="C51" s="596" t="s">
        <v>265</v>
      </c>
      <c r="D51" s="597" t="s">
        <v>454</v>
      </c>
      <c r="E51" s="367"/>
      <c r="F51" s="368" t="str">
        <f t="shared" si="1"/>
        <v>Сокращенное Название</v>
      </c>
      <c r="G51" s="364" t="s">
        <v>625</v>
      </c>
      <c r="H51" s="364" t="str">
        <f t="shared" ca="1" si="2"/>
        <v>г.р.???</v>
      </c>
      <c r="I51" s="598" t="str">
        <f t="shared" si="4"/>
        <v>Фамилия_1 Имя Отчество</v>
      </c>
      <c r="J51" s="599">
        <f t="shared" si="3"/>
        <v>0</v>
      </c>
      <c r="K51" s="372"/>
      <c r="L51" s="381"/>
      <c r="M51" s="372"/>
      <c r="N51" s="373"/>
      <c r="O51" s="373"/>
      <c r="P51" s="373"/>
      <c r="Q51" s="373"/>
      <c r="R51" s="374"/>
      <c r="S51" s="600"/>
      <c r="T51" s="379"/>
      <c r="U51" s="372"/>
      <c r="V51" s="373"/>
      <c r="W51" s="380"/>
      <c r="X51" s="374"/>
      <c r="Y51" s="372"/>
      <c r="Z51" s="385"/>
      <c r="AA51" s="375"/>
      <c r="AB51" s="385"/>
      <c r="AC51" s="372"/>
      <c r="AD51" s="385"/>
      <c r="AE51" s="375"/>
      <c r="AF51" s="385"/>
      <c r="AG51" s="54"/>
      <c r="AI51" s="16"/>
      <c r="AJ51" s="56"/>
    </row>
    <row r="52" spans="1:36" ht="12" customHeight="1" x14ac:dyDescent="0.25">
      <c r="A52" s="363">
        <f t="shared" si="0"/>
        <v>32</v>
      </c>
      <c r="B52" s="364" t="s">
        <v>84</v>
      </c>
      <c r="C52" s="596" t="s">
        <v>265</v>
      </c>
      <c r="D52" s="597" t="s">
        <v>454</v>
      </c>
      <c r="E52" s="367"/>
      <c r="F52" s="368" t="str">
        <f t="shared" si="1"/>
        <v>Сокращенное Название</v>
      </c>
      <c r="G52" s="364" t="s">
        <v>625</v>
      </c>
      <c r="H52" s="364" t="str">
        <f t="shared" ca="1" si="2"/>
        <v>г.р.???</v>
      </c>
      <c r="I52" s="598" t="str">
        <f t="shared" si="4"/>
        <v>Фамилия_1 Имя Отчество</v>
      </c>
      <c r="J52" s="599">
        <f t="shared" si="3"/>
        <v>0</v>
      </c>
      <c r="K52" s="372"/>
      <c r="L52" s="381"/>
      <c r="M52" s="372"/>
      <c r="N52" s="373"/>
      <c r="O52" s="373"/>
      <c r="P52" s="373"/>
      <c r="Q52" s="373"/>
      <c r="R52" s="374"/>
      <c r="S52" s="600"/>
      <c r="T52" s="379"/>
      <c r="U52" s="372"/>
      <c r="V52" s="373"/>
      <c r="W52" s="380"/>
      <c r="X52" s="374"/>
      <c r="Y52" s="372"/>
      <c r="Z52" s="385"/>
      <c r="AA52" s="375"/>
      <c r="AB52" s="385"/>
      <c r="AC52" s="372"/>
      <c r="AD52" s="385"/>
      <c r="AE52" s="375"/>
      <c r="AF52" s="385"/>
      <c r="AG52" s="54"/>
      <c r="AI52" s="16"/>
      <c r="AJ52" s="56"/>
    </row>
    <row r="53" spans="1:36" ht="12" customHeight="1" x14ac:dyDescent="0.25">
      <c r="A53" s="363">
        <f t="shared" ref="A53:A70" si="5">A52+1</f>
        <v>33</v>
      </c>
      <c r="B53" s="364" t="s">
        <v>84</v>
      </c>
      <c r="C53" s="596" t="s">
        <v>265</v>
      </c>
      <c r="D53" s="597" t="s">
        <v>454</v>
      </c>
      <c r="E53" s="367"/>
      <c r="F53" s="368" t="str">
        <f t="shared" ref="F53:F70" si="6">$E$16</f>
        <v>Сокращенное Название</v>
      </c>
      <c r="G53" s="364" t="s">
        <v>625</v>
      </c>
      <c r="H53" s="364" t="str">
        <f t="shared" ref="H53:H70" ca="1" si="7">IF(ISNUMBER(E53), IF(ISBLANK($L$5), IF(ISBLANK($N$5), IF(ISBLANK($L$4), IF(ISBLANK($N$4), IF(ISBLANK($L$3), IF(ISBLANK($N$3), IF(ISBLANK($L$2), IF(ISBLANK($N$2), 1, IF(YEAR(TODAY())-$N$2&lt;=E53, 1, "нед-н")), IF(ISBLANK($N$2), IF(YEAR(TODAY())-$L$2&gt;=E53, 1, "нед-н"), IF(YEAR(TODAY())-$N$2&lt;=E53, IF(YEAR(TODAY())-$L$2&gt;=E53, 1, "нед-н"), "нед-н"))), IF(YEAR(TODAY())-$N$3&lt;=E53, 2, IF(ISBLANK($N$2), IF(YEAR(TODAY())-$L$2&gt;=E53, 1, "нед-н"), IF(YEAR(TODAY())-$N$2&lt;=E53, IF(YEAR(TODAY())-$L$2&gt;=E53, 1, "нед-н"), "нед-н")))), IF(YEAR(TODAY())-$N$3&lt;=E53, IF(YEAR(TODAY())-$L$3&gt;=E53, 2, "нед-н"), IF(ISBLANK($N$2), IF(YEAR(TODAY())-$L$2&gt;=E53, 1, "нед-н"), IF(YEAR(TODAY())-$N$2&lt;=E53, IF(YEAR(TODAY())-$L$2&gt;=E53, 1, "нед-н"), "нед-н")))), IF(YEAR(TODAY())-$N$4&lt;=E53, 3, IF(YEAR(TODAY())-$N$3&lt;=E53, IF(YEAR(TODAY())-$L$3&gt;=E53, 2, "нед-н"), IF(ISBLANK($N$2), IF(YEAR(TODAY())-$L$2&gt;=E53, 1, "нед-н"), IF(YEAR(TODAY())-$N$2&lt;=E53, IF(YEAR(TODAY())-$L$2&gt;=E53, 1, "нед-н"), "нед-н"))))), IF(YEAR(TODAY())-$N$4&lt;=E53, IF(YEAR(TODAY())-$L$4&gt;=E53, 3, "нед-н"), IF(YEAR(TODAY())-$N$3&lt;=E53, IF(YEAR(TODAY())-$L$3&gt;=E53, 2, "нед-н"), IF(ISBLANK($N$2), IF(YEAR(TODAY())-$L$2&gt;=E53, 1, "нед-н"), IF(YEAR(TODAY())-$N$2&lt;=E53, IF(YEAR(TODAY())-$L$2&gt;=E53, 1, "нед-н"), "нед-н"))))), IF(YEAR(TODAY())-$N$5&lt;=E53, 4, IF(YEAR(TODAY())-$N$4&lt;=E53, IF(YEAR(TODAY())-$L$4&gt;=E53, 3, "нед-н"), IF(YEAR(TODAY())-$N$3&lt;=E53, IF(YEAR(TODAY())-$L$3&gt;=E53, 2, "нед-н"), IF(ISBLANK($N$2), IF(YEAR(TODAY())-$L$2&gt;=E53, 1, "нед-н"), IF(YEAR(TODAY())-$N$2&lt;=E53, IF(YEAR(TODAY())-$L$2&gt;=E53, 1, "нед-н"), "нед-н")))))), IF(YEAR(TODAY())-$N$5&lt;=E53, IF(YEAR(TODAY())-$L$5&gt;=E53, 4, "нед-н"), IF(YEAR(TODAY())-$N$4&lt;=E53, IF(YEAR(TODAY())-$L$4&gt;=E53, 3, "нед-н"), IF(YEAR(TODAY())-$N$3&lt;=E53, IF(YEAR(TODAY())-$L$3&gt;=E53, 2, "нед-н"), IF(ISBLANK($N$2), IF(YEAR(TODAY())-$L$2&gt;=E53, 1, "нед-н"), IF(YEAR(TODAY())-$N$2&lt;=E53, IF(YEAR(TODAY())-$L$2&gt;=E53, 1, "нед-н"), "нед-н")))))), "г.р.???")</f>
        <v>г.р.???</v>
      </c>
      <c r="I53" s="598" t="str">
        <f t="shared" si="4"/>
        <v>Фамилия_1 Имя Отчество</v>
      </c>
      <c r="J53" s="599">
        <f t="shared" ref="J53:J84" si="8">COUNTA(K53:W53)</f>
        <v>0</v>
      </c>
      <c r="K53" s="372"/>
      <c r="L53" s="381"/>
      <c r="M53" s="372"/>
      <c r="N53" s="373"/>
      <c r="O53" s="373"/>
      <c r="P53" s="373"/>
      <c r="Q53" s="373"/>
      <c r="R53" s="374"/>
      <c r="S53" s="600"/>
      <c r="T53" s="379"/>
      <c r="U53" s="372"/>
      <c r="V53" s="373"/>
      <c r="W53" s="380"/>
      <c r="X53" s="374"/>
      <c r="Y53" s="372"/>
      <c r="Z53" s="385"/>
      <c r="AA53" s="375"/>
      <c r="AB53" s="385"/>
      <c r="AC53" s="372"/>
      <c r="AD53" s="385"/>
      <c r="AE53" s="375"/>
      <c r="AF53" s="385"/>
      <c r="AG53" s="54"/>
      <c r="AI53" s="16"/>
      <c r="AJ53" s="56"/>
    </row>
    <row r="54" spans="1:36" ht="12" customHeight="1" x14ac:dyDescent="0.25">
      <c r="A54" s="363">
        <f t="shared" si="5"/>
        <v>34</v>
      </c>
      <c r="B54" s="364" t="s">
        <v>260</v>
      </c>
      <c r="C54" s="596" t="s">
        <v>265</v>
      </c>
      <c r="D54" s="597" t="s">
        <v>454</v>
      </c>
      <c r="E54" s="367"/>
      <c r="F54" s="368" t="str">
        <f t="shared" si="6"/>
        <v>Сокращенное Название</v>
      </c>
      <c r="G54" s="364" t="s">
        <v>625</v>
      </c>
      <c r="H54" s="364" t="str">
        <f t="shared" ca="1" si="7"/>
        <v>г.р.???</v>
      </c>
      <c r="I54" s="598" t="str">
        <f t="shared" ref="I54:I70" si="9">I53</f>
        <v>Фамилия_1 Имя Отчество</v>
      </c>
      <c r="J54" s="599">
        <f t="shared" si="8"/>
        <v>0</v>
      </c>
      <c r="K54" s="372"/>
      <c r="L54" s="381"/>
      <c r="M54" s="372"/>
      <c r="N54" s="373"/>
      <c r="O54" s="373"/>
      <c r="P54" s="373"/>
      <c r="Q54" s="373"/>
      <c r="R54" s="374"/>
      <c r="S54" s="600"/>
      <c r="T54" s="379"/>
      <c r="U54" s="372"/>
      <c r="V54" s="373"/>
      <c r="W54" s="380"/>
      <c r="X54" s="374"/>
      <c r="Y54" s="372"/>
      <c r="Z54" s="385"/>
      <c r="AA54" s="375"/>
      <c r="AB54" s="385"/>
      <c r="AC54" s="372"/>
      <c r="AD54" s="385"/>
      <c r="AE54" s="375"/>
      <c r="AF54" s="385"/>
      <c r="AG54" s="54"/>
      <c r="AI54" s="16"/>
      <c r="AJ54" s="56"/>
    </row>
    <row r="55" spans="1:36" ht="12" customHeight="1" x14ac:dyDescent="0.25">
      <c r="A55" s="363">
        <f t="shared" si="5"/>
        <v>35</v>
      </c>
      <c r="B55" s="364" t="s">
        <v>261</v>
      </c>
      <c r="C55" s="596" t="s">
        <v>265</v>
      </c>
      <c r="D55" s="597" t="s">
        <v>454</v>
      </c>
      <c r="E55" s="367"/>
      <c r="F55" s="368" t="str">
        <f t="shared" si="6"/>
        <v>Сокращенное Название</v>
      </c>
      <c r="G55" s="364" t="s">
        <v>625</v>
      </c>
      <c r="H55" s="364" t="str">
        <f t="shared" ca="1" si="7"/>
        <v>г.р.???</v>
      </c>
      <c r="I55" s="598" t="str">
        <f t="shared" si="9"/>
        <v>Фамилия_1 Имя Отчество</v>
      </c>
      <c r="J55" s="599">
        <f t="shared" si="8"/>
        <v>0</v>
      </c>
      <c r="K55" s="372"/>
      <c r="L55" s="381"/>
      <c r="M55" s="372"/>
      <c r="N55" s="373"/>
      <c r="O55" s="373"/>
      <c r="P55" s="373"/>
      <c r="Q55" s="373"/>
      <c r="R55" s="374"/>
      <c r="S55" s="600"/>
      <c r="T55" s="379"/>
      <c r="U55" s="372"/>
      <c r="V55" s="373"/>
      <c r="W55" s="380"/>
      <c r="X55" s="374"/>
      <c r="Y55" s="372"/>
      <c r="Z55" s="385"/>
      <c r="AA55" s="375"/>
      <c r="AB55" s="385"/>
      <c r="AC55" s="372"/>
      <c r="AD55" s="385"/>
      <c r="AE55" s="375"/>
      <c r="AF55" s="385"/>
      <c r="AG55" s="54"/>
      <c r="AI55" s="16"/>
      <c r="AJ55" s="56"/>
    </row>
    <row r="56" spans="1:36" ht="12" customHeight="1" x14ac:dyDescent="0.25">
      <c r="A56" s="363">
        <f t="shared" si="5"/>
        <v>36</v>
      </c>
      <c r="B56" s="364" t="s">
        <v>262</v>
      </c>
      <c r="C56" s="596" t="s">
        <v>265</v>
      </c>
      <c r="D56" s="597" t="s">
        <v>454</v>
      </c>
      <c r="E56" s="367"/>
      <c r="F56" s="368" t="str">
        <f t="shared" si="6"/>
        <v>Сокращенное Название</v>
      </c>
      <c r="G56" s="364" t="s">
        <v>625</v>
      </c>
      <c r="H56" s="364" t="str">
        <f t="shared" ca="1" si="7"/>
        <v>г.р.???</v>
      </c>
      <c r="I56" s="598" t="str">
        <f t="shared" si="9"/>
        <v>Фамилия_1 Имя Отчество</v>
      </c>
      <c r="J56" s="599">
        <f t="shared" si="8"/>
        <v>0</v>
      </c>
      <c r="K56" s="372"/>
      <c r="L56" s="381"/>
      <c r="M56" s="372"/>
      <c r="N56" s="373"/>
      <c r="O56" s="373"/>
      <c r="P56" s="373"/>
      <c r="Q56" s="373"/>
      <c r="R56" s="374"/>
      <c r="S56" s="600"/>
      <c r="T56" s="379"/>
      <c r="U56" s="372"/>
      <c r="V56" s="373"/>
      <c r="W56" s="380"/>
      <c r="X56" s="374"/>
      <c r="Y56" s="372"/>
      <c r="Z56" s="385"/>
      <c r="AA56" s="375"/>
      <c r="AB56" s="385"/>
      <c r="AC56" s="372"/>
      <c r="AD56" s="385"/>
      <c r="AE56" s="375"/>
      <c r="AF56" s="385"/>
      <c r="AG56" s="54"/>
      <c r="AI56" s="16"/>
      <c r="AJ56" s="56"/>
    </row>
    <row r="57" spans="1:36" ht="12" customHeight="1" x14ac:dyDescent="0.25">
      <c r="A57" s="363">
        <f t="shared" si="5"/>
        <v>37</v>
      </c>
      <c r="B57" s="364" t="s">
        <v>79</v>
      </c>
      <c r="C57" s="596" t="s">
        <v>265</v>
      </c>
      <c r="D57" s="597" t="s">
        <v>454</v>
      </c>
      <c r="E57" s="367"/>
      <c r="F57" s="368" t="str">
        <f t="shared" si="6"/>
        <v>Сокращенное Название</v>
      </c>
      <c r="G57" s="364" t="s">
        <v>625</v>
      </c>
      <c r="H57" s="364" t="str">
        <f t="shared" ca="1" si="7"/>
        <v>г.р.???</v>
      </c>
      <c r="I57" s="598" t="str">
        <f t="shared" si="9"/>
        <v>Фамилия_1 Имя Отчество</v>
      </c>
      <c r="J57" s="599">
        <f t="shared" si="8"/>
        <v>0</v>
      </c>
      <c r="K57" s="372"/>
      <c r="L57" s="381"/>
      <c r="M57" s="372"/>
      <c r="N57" s="373"/>
      <c r="O57" s="373"/>
      <c r="P57" s="373"/>
      <c r="Q57" s="373"/>
      <c r="R57" s="374"/>
      <c r="S57" s="600"/>
      <c r="T57" s="379"/>
      <c r="U57" s="372"/>
      <c r="V57" s="373"/>
      <c r="W57" s="380"/>
      <c r="X57" s="374"/>
      <c r="Y57" s="372"/>
      <c r="Z57" s="385"/>
      <c r="AA57" s="375"/>
      <c r="AB57" s="385"/>
      <c r="AC57" s="372"/>
      <c r="AD57" s="385"/>
      <c r="AE57" s="375"/>
      <c r="AF57" s="385"/>
      <c r="AG57" s="54"/>
      <c r="AI57" s="16"/>
      <c r="AJ57" s="56"/>
    </row>
    <row r="58" spans="1:36" ht="12" customHeight="1" x14ac:dyDescent="0.25">
      <c r="A58" s="363">
        <f t="shared" si="5"/>
        <v>38</v>
      </c>
      <c r="B58" s="364" t="s">
        <v>79</v>
      </c>
      <c r="C58" s="596" t="s">
        <v>265</v>
      </c>
      <c r="D58" s="597" t="s">
        <v>454</v>
      </c>
      <c r="E58" s="367"/>
      <c r="F58" s="368" t="str">
        <f t="shared" si="6"/>
        <v>Сокращенное Название</v>
      </c>
      <c r="G58" s="364" t="s">
        <v>625</v>
      </c>
      <c r="H58" s="364" t="str">
        <f t="shared" ca="1" si="7"/>
        <v>г.р.???</v>
      </c>
      <c r="I58" s="598" t="str">
        <f t="shared" si="9"/>
        <v>Фамилия_1 Имя Отчество</v>
      </c>
      <c r="J58" s="599">
        <f t="shared" si="8"/>
        <v>0</v>
      </c>
      <c r="K58" s="372"/>
      <c r="L58" s="381"/>
      <c r="M58" s="372"/>
      <c r="N58" s="373"/>
      <c r="O58" s="373"/>
      <c r="P58" s="373"/>
      <c r="Q58" s="373"/>
      <c r="R58" s="374"/>
      <c r="S58" s="600"/>
      <c r="T58" s="379"/>
      <c r="U58" s="372"/>
      <c r="V58" s="373"/>
      <c r="W58" s="380"/>
      <c r="X58" s="374"/>
      <c r="Y58" s="372"/>
      <c r="Z58" s="385"/>
      <c r="AA58" s="375"/>
      <c r="AB58" s="385"/>
      <c r="AC58" s="372"/>
      <c r="AD58" s="385"/>
      <c r="AE58" s="375"/>
      <c r="AF58" s="385"/>
      <c r="AG58" s="54"/>
      <c r="AI58" s="16"/>
      <c r="AJ58" s="56"/>
    </row>
    <row r="59" spans="1:36" ht="12" customHeight="1" x14ac:dyDescent="0.25">
      <c r="A59" s="363">
        <f t="shared" si="5"/>
        <v>39</v>
      </c>
      <c r="B59" s="364" t="s">
        <v>79</v>
      </c>
      <c r="C59" s="596" t="s">
        <v>265</v>
      </c>
      <c r="D59" s="597" t="s">
        <v>454</v>
      </c>
      <c r="E59" s="367"/>
      <c r="F59" s="368" t="str">
        <f t="shared" si="6"/>
        <v>Сокращенное Название</v>
      </c>
      <c r="G59" s="364" t="s">
        <v>625</v>
      </c>
      <c r="H59" s="364" t="str">
        <f t="shared" ca="1" si="7"/>
        <v>г.р.???</v>
      </c>
      <c r="I59" s="598" t="str">
        <f t="shared" si="9"/>
        <v>Фамилия_1 Имя Отчество</v>
      </c>
      <c r="J59" s="599">
        <f t="shared" si="8"/>
        <v>0</v>
      </c>
      <c r="K59" s="372"/>
      <c r="L59" s="381"/>
      <c r="M59" s="372"/>
      <c r="N59" s="373"/>
      <c r="O59" s="373"/>
      <c r="P59" s="373"/>
      <c r="Q59" s="373"/>
      <c r="R59" s="374"/>
      <c r="S59" s="600"/>
      <c r="T59" s="379"/>
      <c r="U59" s="372"/>
      <c r="V59" s="373"/>
      <c r="W59" s="380"/>
      <c r="X59" s="374"/>
      <c r="Y59" s="372"/>
      <c r="Z59" s="385"/>
      <c r="AA59" s="375"/>
      <c r="AB59" s="385"/>
      <c r="AC59" s="372"/>
      <c r="AD59" s="385"/>
      <c r="AE59" s="375"/>
      <c r="AF59" s="385"/>
      <c r="AG59" s="54"/>
      <c r="AI59" s="16"/>
      <c r="AJ59" s="56"/>
    </row>
    <row r="60" spans="1:36" ht="12" customHeight="1" x14ac:dyDescent="0.25">
      <c r="A60" s="363">
        <f t="shared" si="5"/>
        <v>40</v>
      </c>
      <c r="B60" s="364" t="s">
        <v>79</v>
      </c>
      <c r="C60" s="596" t="s">
        <v>265</v>
      </c>
      <c r="D60" s="597" t="s">
        <v>454</v>
      </c>
      <c r="E60" s="367"/>
      <c r="F60" s="368" t="str">
        <f t="shared" si="6"/>
        <v>Сокращенное Название</v>
      </c>
      <c r="G60" s="364" t="s">
        <v>625</v>
      </c>
      <c r="H60" s="364" t="str">
        <f t="shared" ca="1" si="7"/>
        <v>г.р.???</v>
      </c>
      <c r="I60" s="598" t="str">
        <f t="shared" si="9"/>
        <v>Фамилия_1 Имя Отчество</v>
      </c>
      <c r="J60" s="599">
        <f t="shared" si="8"/>
        <v>0</v>
      </c>
      <c r="K60" s="372"/>
      <c r="L60" s="381"/>
      <c r="M60" s="372"/>
      <c r="N60" s="373"/>
      <c r="O60" s="373"/>
      <c r="P60" s="373"/>
      <c r="Q60" s="373"/>
      <c r="R60" s="374"/>
      <c r="S60" s="600"/>
      <c r="T60" s="379"/>
      <c r="U60" s="372"/>
      <c r="V60" s="373"/>
      <c r="W60" s="380"/>
      <c r="X60" s="374"/>
      <c r="Y60" s="372"/>
      <c r="Z60" s="385"/>
      <c r="AA60" s="375"/>
      <c r="AB60" s="385"/>
      <c r="AC60" s="372"/>
      <c r="AD60" s="385"/>
      <c r="AE60" s="375"/>
      <c r="AF60" s="385"/>
      <c r="AG60" s="54"/>
      <c r="AI60" s="16"/>
      <c r="AJ60" s="56"/>
    </row>
    <row r="61" spans="1:36" ht="12" customHeight="1" x14ac:dyDescent="0.25">
      <c r="A61" s="363">
        <f t="shared" si="5"/>
        <v>41</v>
      </c>
      <c r="B61" s="386" t="s">
        <v>117</v>
      </c>
      <c r="C61" s="596" t="s">
        <v>265</v>
      </c>
      <c r="D61" s="597" t="s">
        <v>454</v>
      </c>
      <c r="E61" s="367"/>
      <c r="F61" s="368" t="str">
        <f t="shared" si="6"/>
        <v>Сокращенное Название</v>
      </c>
      <c r="G61" s="364" t="s">
        <v>625</v>
      </c>
      <c r="H61" s="364" t="str">
        <f t="shared" ca="1" si="7"/>
        <v>г.р.???</v>
      </c>
      <c r="I61" s="598" t="str">
        <f t="shared" si="9"/>
        <v>Фамилия_1 Имя Отчество</v>
      </c>
      <c r="J61" s="599">
        <f t="shared" si="8"/>
        <v>0</v>
      </c>
      <c r="K61" s="372"/>
      <c r="L61" s="381"/>
      <c r="M61" s="372"/>
      <c r="N61" s="373"/>
      <c r="O61" s="373"/>
      <c r="P61" s="373"/>
      <c r="Q61" s="373"/>
      <c r="R61" s="374"/>
      <c r="S61" s="600"/>
      <c r="T61" s="379"/>
      <c r="U61" s="372"/>
      <c r="V61" s="373"/>
      <c r="W61" s="380"/>
      <c r="X61" s="374"/>
      <c r="Y61" s="372"/>
      <c r="Z61" s="385"/>
      <c r="AA61" s="375"/>
      <c r="AB61" s="385"/>
      <c r="AC61" s="372"/>
      <c r="AD61" s="385"/>
      <c r="AE61" s="375"/>
      <c r="AF61" s="385"/>
      <c r="AG61" s="54"/>
      <c r="AI61" s="16"/>
      <c r="AJ61" s="56"/>
    </row>
    <row r="62" spans="1:36" ht="12" customHeight="1" x14ac:dyDescent="0.25">
      <c r="A62" s="363">
        <f t="shared" si="5"/>
        <v>42</v>
      </c>
      <c r="B62" s="386" t="s">
        <v>117</v>
      </c>
      <c r="C62" s="596" t="s">
        <v>265</v>
      </c>
      <c r="D62" s="597" t="s">
        <v>454</v>
      </c>
      <c r="E62" s="367"/>
      <c r="F62" s="368" t="str">
        <f t="shared" si="6"/>
        <v>Сокращенное Название</v>
      </c>
      <c r="G62" s="364" t="s">
        <v>625</v>
      </c>
      <c r="H62" s="364" t="str">
        <f t="shared" ca="1" si="7"/>
        <v>г.р.???</v>
      </c>
      <c r="I62" s="598" t="str">
        <f t="shared" si="9"/>
        <v>Фамилия_1 Имя Отчество</v>
      </c>
      <c r="J62" s="599">
        <f t="shared" si="8"/>
        <v>0</v>
      </c>
      <c r="K62" s="372"/>
      <c r="L62" s="381"/>
      <c r="M62" s="372"/>
      <c r="N62" s="373"/>
      <c r="O62" s="373"/>
      <c r="P62" s="373"/>
      <c r="Q62" s="373"/>
      <c r="R62" s="374"/>
      <c r="S62" s="600"/>
      <c r="T62" s="379"/>
      <c r="U62" s="372"/>
      <c r="V62" s="373"/>
      <c r="W62" s="380"/>
      <c r="X62" s="374"/>
      <c r="Y62" s="372"/>
      <c r="Z62" s="385"/>
      <c r="AA62" s="375"/>
      <c r="AB62" s="385"/>
      <c r="AC62" s="372"/>
      <c r="AD62" s="385"/>
      <c r="AE62" s="375"/>
      <c r="AF62" s="385"/>
      <c r="AG62" s="54"/>
      <c r="AI62" s="16"/>
      <c r="AJ62" s="56"/>
    </row>
    <row r="63" spans="1:36" ht="12" customHeight="1" x14ac:dyDescent="0.25">
      <c r="A63" s="363">
        <f t="shared" si="5"/>
        <v>43</v>
      </c>
      <c r="B63" s="386" t="s">
        <v>117</v>
      </c>
      <c r="C63" s="596" t="s">
        <v>265</v>
      </c>
      <c r="D63" s="597" t="s">
        <v>454</v>
      </c>
      <c r="E63" s="367"/>
      <c r="F63" s="368" t="str">
        <f t="shared" si="6"/>
        <v>Сокращенное Название</v>
      </c>
      <c r="G63" s="364" t="s">
        <v>625</v>
      </c>
      <c r="H63" s="364" t="str">
        <f t="shared" ca="1" si="7"/>
        <v>г.р.???</v>
      </c>
      <c r="I63" s="598" t="str">
        <f t="shared" si="9"/>
        <v>Фамилия_1 Имя Отчество</v>
      </c>
      <c r="J63" s="599">
        <f t="shared" si="8"/>
        <v>0</v>
      </c>
      <c r="K63" s="372"/>
      <c r="L63" s="381"/>
      <c r="M63" s="372"/>
      <c r="N63" s="373"/>
      <c r="O63" s="373"/>
      <c r="P63" s="373"/>
      <c r="Q63" s="373"/>
      <c r="R63" s="374"/>
      <c r="S63" s="600"/>
      <c r="T63" s="379"/>
      <c r="U63" s="372"/>
      <c r="V63" s="373"/>
      <c r="W63" s="380"/>
      <c r="X63" s="374"/>
      <c r="Y63" s="372"/>
      <c r="Z63" s="385"/>
      <c r="AA63" s="375"/>
      <c r="AB63" s="385"/>
      <c r="AC63" s="372"/>
      <c r="AD63" s="385"/>
      <c r="AE63" s="375"/>
      <c r="AF63" s="385"/>
      <c r="AG63" s="54"/>
      <c r="AI63" s="16"/>
      <c r="AJ63" s="56"/>
    </row>
    <row r="64" spans="1:36" ht="12" customHeight="1" x14ac:dyDescent="0.25">
      <c r="A64" s="363">
        <f t="shared" si="5"/>
        <v>44</v>
      </c>
      <c r="B64" s="386" t="s">
        <v>117</v>
      </c>
      <c r="C64" s="596" t="s">
        <v>265</v>
      </c>
      <c r="D64" s="597" t="s">
        <v>454</v>
      </c>
      <c r="E64" s="367"/>
      <c r="F64" s="368" t="str">
        <f t="shared" si="6"/>
        <v>Сокращенное Название</v>
      </c>
      <c r="G64" s="364" t="s">
        <v>625</v>
      </c>
      <c r="H64" s="364" t="str">
        <f t="shared" ca="1" si="7"/>
        <v>г.р.???</v>
      </c>
      <c r="I64" s="598" t="str">
        <f t="shared" si="9"/>
        <v>Фамилия_1 Имя Отчество</v>
      </c>
      <c r="J64" s="599">
        <f t="shared" si="8"/>
        <v>0</v>
      </c>
      <c r="K64" s="372"/>
      <c r="L64" s="381"/>
      <c r="M64" s="372"/>
      <c r="N64" s="373"/>
      <c r="O64" s="373"/>
      <c r="P64" s="373"/>
      <c r="Q64" s="373"/>
      <c r="R64" s="374"/>
      <c r="S64" s="600"/>
      <c r="T64" s="379"/>
      <c r="U64" s="372"/>
      <c r="V64" s="373"/>
      <c r="W64" s="380"/>
      <c r="X64" s="374"/>
      <c r="Y64" s="372"/>
      <c r="Z64" s="385"/>
      <c r="AA64" s="375"/>
      <c r="AB64" s="385"/>
      <c r="AC64" s="372"/>
      <c r="AD64" s="385"/>
      <c r="AE64" s="375"/>
      <c r="AF64" s="385"/>
      <c r="AG64" s="54"/>
      <c r="AI64" s="16"/>
      <c r="AJ64" s="56"/>
    </row>
    <row r="65" spans="1:49" ht="12" customHeight="1" x14ac:dyDescent="0.25">
      <c r="A65" s="363">
        <f t="shared" si="5"/>
        <v>45</v>
      </c>
      <c r="B65" s="386" t="s">
        <v>117</v>
      </c>
      <c r="C65" s="596" t="s">
        <v>265</v>
      </c>
      <c r="D65" s="597" t="s">
        <v>454</v>
      </c>
      <c r="E65" s="367"/>
      <c r="F65" s="368" t="str">
        <f t="shared" si="6"/>
        <v>Сокращенное Название</v>
      </c>
      <c r="G65" s="364" t="s">
        <v>625</v>
      </c>
      <c r="H65" s="364" t="str">
        <f t="shared" ca="1" si="7"/>
        <v>г.р.???</v>
      </c>
      <c r="I65" s="598" t="str">
        <f t="shared" si="9"/>
        <v>Фамилия_1 Имя Отчество</v>
      </c>
      <c r="J65" s="599">
        <f t="shared" si="8"/>
        <v>0</v>
      </c>
      <c r="K65" s="372"/>
      <c r="L65" s="381"/>
      <c r="M65" s="372"/>
      <c r="N65" s="373"/>
      <c r="O65" s="373"/>
      <c r="P65" s="373"/>
      <c r="Q65" s="373"/>
      <c r="R65" s="374"/>
      <c r="S65" s="600"/>
      <c r="T65" s="379"/>
      <c r="U65" s="372"/>
      <c r="V65" s="373"/>
      <c r="W65" s="380"/>
      <c r="X65" s="374"/>
      <c r="Y65" s="372"/>
      <c r="Z65" s="385"/>
      <c r="AA65" s="375"/>
      <c r="AB65" s="385"/>
      <c r="AC65" s="372"/>
      <c r="AD65" s="385"/>
      <c r="AE65" s="375"/>
      <c r="AF65" s="385"/>
      <c r="AG65" s="54"/>
      <c r="AI65" s="16"/>
      <c r="AJ65" s="56"/>
    </row>
    <row r="66" spans="1:49" ht="12" customHeight="1" x14ac:dyDescent="0.25">
      <c r="A66" s="363">
        <f t="shared" si="5"/>
        <v>46</v>
      </c>
      <c r="B66" s="386" t="s">
        <v>158</v>
      </c>
      <c r="C66" s="596" t="s">
        <v>265</v>
      </c>
      <c r="D66" s="597" t="s">
        <v>454</v>
      </c>
      <c r="E66" s="367"/>
      <c r="F66" s="368" t="str">
        <f t="shared" si="6"/>
        <v>Сокращенное Название</v>
      </c>
      <c r="G66" s="364" t="s">
        <v>625</v>
      </c>
      <c r="H66" s="364" t="str">
        <f t="shared" ca="1" si="7"/>
        <v>г.р.???</v>
      </c>
      <c r="I66" s="598" t="str">
        <f t="shared" si="9"/>
        <v>Фамилия_1 Имя Отчество</v>
      </c>
      <c r="J66" s="599">
        <f t="shared" si="8"/>
        <v>0</v>
      </c>
      <c r="K66" s="372"/>
      <c r="L66" s="381"/>
      <c r="M66" s="372"/>
      <c r="N66" s="373"/>
      <c r="O66" s="373"/>
      <c r="P66" s="373"/>
      <c r="Q66" s="373"/>
      <c r="R66" s="374"/>
      <c r="S66" s="600"/>
      <c r="T66" s="379"/>
      <c r="U66" s="372"/>
      <c r="V66" s="373"/>
      <c r="W66" s="380"/>
      <c r="X66" s="374"/>
      <c r="Y66" s="372"/>
      <c r="Z66" s="385"/>
      <c r="AA66" s="375"/>
      <c r="AB66" s="385"/>
      <c r="AC66" s="372"/>
      <c r="AD66" s="385"/>
      <c r="AE66" s="375"/>
      <c r="AF66" s="385"/>
      <c r="AG66" s="54"/>
      <c r="AI66" s="16"/>
      <c r="AJ66" s="56"/>
    </row>
    <row r="67" spans="1:49" ht="12" customHeight="1" x14ac:dyDescent="0.25">
      <c r="A67" s="363">
        <f t="shared" si="5"/>
        <v>47</v>
      </c>
      <c r="B67" s="386" t="s">
        <v>100</v>
      </c>
      <c r="C67" s="596" t="s">
        <v>265</v>
      </c>
      <c r="D67" s="597" t="s">
        <v>454</v>
      </c>
      <c r="E67" s="367"/>
      <c r="F67" s="368" t="str">
        <f t="shared" si="6"/>
        <v>Сокращенное Название</v>
      </c>
      <c r="G67" s="364" t="s">
        <v>625</v>
      </c>
      <c r="H67" s="364" t="str">
        <f t="shared" ca="1" si="7"/>
        <v>г.р.???</v>
      </c>
      <c r="I67" s="598" t="str">
        <f t="shared" si="9"/>
        <v>Фамилия_1 Имя Отчество</v>
      </c>
      <c r="J67" s="599">
        <f t="shared" si="8"/>
        <v>0</v>
      </c>
      <c r="K67" s="372"/>
      <c r="L67" s="381"/>
      <c r="M67" s="372"/>
      <c r="N67" s="373"/>
      <c r="O67" s="373"/>
      <c r="P67" s="373"/>
      <c r="Q67" s="373"/>
      <c r="R67" s="374"/>
      <c r="S67" s="600"/>
      <c r="T67" s="379"/>
      <c r="U67" s="372"/>
      <c r="V67" s="373"/>
      <c r="W67" s="380"/>
      <c r="X67" s="374"/>
      <c r="Y67" s="372"/>
      <c r="Z67" s="385"/>
      <c r="AA67" s="375"/>
      <c r="AB67" s="385"/>
      <c r="AC67" s="372"/>
      <c r="AD67" s="385"/>
      <c r="AE67" s="375"/>
      <c r="AF67" s="385"/>
      <c r="AG67" s="54"/>
      <c r="AI67" s="16"/>
      <c r="AJ67" s="56"/>
    </row>
    <row r="68" spans="1:49" ht="12" customHeight="1" x14ac:dyDescent="0.25">
      <c r="A68" s="363">
        <f t="shared" si="5"/>
        <v>48</v>
      </c>
      <c r="B68" s="364" t="s">
        <v>94</v>
      </c>
      <c r="C68" s="596" t="s">
        <v>265</v>
      </c>
      <c r="D68" s="597" t="s">
        <v>454</v>
      </c>
      <c r="E68" s="367"/>
      <c r="F68" s="368" t="str">
        <f t="shared" si="6"/>
        <v>Сокращенное Название</v>
      </c>
      <c r="G68" s="364" t="s">
        <v>625</v>
      </c>
      <c r="H68" s="364" t="str">
        <f t="shared" ca="1" si="7"/>
        <v>г.р.???</v>
      </c>
      <c r="I68" s="598" t="str">
        <f t="shared" si="9"/>
        <v>Фамилия_1 Имя Отчество</v>
      </c>
      <c r="J68" s="599">
        <f t="shared" si="8"/>
        <v>0</v>
      </c>
      <c r="K68" s="372"/>
      <c r="L68" s="381"/>
      <c r="M68" s="372"/>
      <c r="N68" s="373"/>
      <c r="O68" s="373"/>
      <c r="P68" s="373"/>
      <c r="Q68" s="373"/>
      <c r="R68" s="374"/>
      <c r="S68" s="600"/>
      <c r="T68" s="379"/>
      <c r="U68" s="372"/>
      <c r="V68" s="373"/>
      <c r="W68" s="380"/>
      <c r="X68" s="374"/>
      <c r="Y68" s="372"/>
      <c r="Z68" s="385"/>
      <c r="AA68" s="375"/>
      <c r="AB68" s="385"/>
      <c r="AC68" s="372"/>
      <c r="AD68" s="385"/>
      <c r="AE68" s="375"/>
      <c r="AF68" s="385"/>
      <c r="AG68" s="54"/>
      <c r="AI68" s="16"/>
      <c r="AJ68" s="56"/>
    </row>
    <row r="69" spans="1:49" ht="12" customHeight="1" x14ac:dyDescent="0.25">
      <c r="A69" s="363">
        <f t="shared" si="5"/>
        <v>49</v>
      </c>
      <c r="B69" s="386" t="s">
        <v>100</v>
      </c>
      <c r="C69" s="596" t="s">
        <v>265</v>
      </c>
      <c r="D69" s="597" t="s">
        <v>454</v>
      </c>
      <c r="E69" s="367"/>
      <c r="F69" s="368" t="str">
        <f t="shared" si="6"/>
        <v>Сокращенное Название</v>
      </c>
      <c r="G69" s="364" t="s">
        <v>625</v>
      </c>
      <c r="H69" s="364" t="str">
        <f t="shared" ca="1" si="7"/>
        <v>г.р.???</v>
      </c>
      <c r="I69" s="598" t="str">
        <f t="shared" si="9"/>
        <v>Фамилия_1 Имя Отчество</v>
      </c>
      <c r="J69" s="599">
        <f t="shared" si="8"/>
        <v>0</v>
      </c>
      <c r="K69" s="372"/>
      <c r="L69" s="381"/>
      <c r="M69" s="372"/>
      <c r="N69" s="373"/>
      <c r="O69" s="373"/>
      <c r="P69" s="373"/>
      <c r="Q69" s="373"/>
      <c r="R69" s="374"/>
      <c r="S69" s="600"/>
      <c r="T69" s="379"/>
      <c r="U69" s="372"/>
      <c r="V69" s="373"/>
      <c r="W69" s="380"/>
      <c r="X69" s="374"/>
      <c r="Y69" s="372"/>
      <c r="Z69" s="385"/>
      <c r="AA69" s="375"/>
      <c r="AB69" s="385"/>
      <c r="AC69" s="372"/>
      <c r="AD69" s="385"/>
      <c r="AE69" s="375"/>
      <c r="AF69" s="385"/>
      <c r="AG69" s="54"/>
      <c r="AI69" s="16"/>
      <c r="AJ69" s="56"/>
    </row>
    <row r="70" spans="1:49" ht="12.75" customHeight="1" x14ac:dyDescent="0.25">
      <c r="A70" s="435">
        <f t="shared" si="5"/>
        <v>50</v>
      </c>
      <c r="B70" s="436" t="s">
        <v>117</v>
      </c>
      <c r="C70" s="601" t="s">
        <v>265</v>
      </c>
      <c r="D70" s="390" t="s">
        <v>454</v>
      </c>
      <c r="E70" s="391"/>
      <c r="F70" s="392" t="str">
        <f t="shared" si="6"/>
        <v>Сокращенное Название</v>
      </c>
      <c r="G70" s="388" t="s">
        <v>625</v>
      </c>
      <c r="H70" s="388" t="str">
        <f t="shared" ca="1" si="7"/>
        <v>г.р.???</v>
      </c>
      <c r="I70" s="603" t="str">
        <f t="shared" si="9"/>
        <v>Фамилия_1 Имя Отчество</v>
      </c>
      <c r="J70" s="621">
        <f t="shared" si="8"/>
        <v>0</v>
      </c>
      <c r="K70" s="396"/>
      <c r="L70" s="405"/>
      <c r="M70" s="396"/>
      <c r="N70" s="397"/>
      <c r="O70" s="397"/>
      <c r="P70" s="397"/>
      <c r="Q70" s="397"/>
      <c r="R70" s="398"/>
      <c r="S70" s="396"/>
      <c r="T70" s="403"/>
      <c r="U70" s="622"/>
      <c r="V70" s="397"/>
      <c r="W70" s="405"/>
      <c r="X70" s="398"/>
      <c r="Y70" s="396"/>
      <c r="Z70" s="623"/>
      <c r="AA70" s="624"/>
      <c r="AB70" s="623"/>
      <c r="AC70" s="396"/>
      <c r="AD70" s="623"/>
      <c r="AE70" s="624"/>
      <c r="AF70" s="623"/>
      <c r="AG70" s="54"/>
      <c r="AI70" s="16"/>
    </row>
    <row r="71" spans="1:49" ht="10.5" customHeight="1" x14ac:dyDescent="0.25">
      <c r="A71" s="193"/>
      <c r="B71" s="86"/>
      <c r="C71" s="87"/>
      <c r="D71" s="249"/>
      <c r="E71" s="249"/>
      <c r="F71" s="249"/>
      <c r="G71" s="437" t="s">
        <v>626</v>
      </c>
      <c r="I71" s="437" t="s">
        <v>627</v>
      </c>
      <c r="J71" s="438">
        <f>SUMIF(G21:G70, "Ж", J21:J70)</f>
        <v>0</v>
      </c>
      <c r="K71" s="112"/>
      <c r="L71" s="112"/>
      <c r="M71" s="112"/>
      <c r="N71" s="112"/>
      <c r="O71" s="194"/>
      <c r="P71" s="194"/>
      <c r="Q71" s="194"/>
      <c r="R71" s="194"/>
      <c r="S71" s="195"/>
      <c r="T71" s="195"/>
      <c r="U71" s="195"/>
      <c r="V71" s="112"/>
      <c r="W71" s="112"/>
      <c r="X71" s="112"/>
      <c r="Y71" s="112"/>
      <c r="Z71" s="112"/>
      <c r="AA71" s="112"/>
      <c r="AB71" s="439"/>
      <c r="AC71" s="439"/>
      <c r="AD71" s="112"/>
      <c r="AE71" s="112"/>
      <c r="AF71" s="112"/>
      <c r="AG71" s="112"/>
      <c r="AH71" s="112"/>
      <c r="AI71" s="112"/>
      <c r="AJ71" s="112"/>
      <c r="AK71" s="112"/>
      <c r="AL71" s="195"/>
      <c r="AM71" s="202"/>
      <c r="AN71" s="195"/>
      <c r="AO71" s="202"/>
      <c r="AP71" s="195"/>
      <c r="AU71" s="96">
        <f>SUM(AU21:AU70)</f>
        <v>0</v>
      </c>
      <c r="AV71" s="96">
        <f>SUM(AV21:AV70)</f>
        <v>0</v>
      </c>
      <c r="AW71" s="96">
        <f>SUM(AW21:AW70)</f>
        <v>0</v>
      </c>
    </row>
    <row r="72" spans="1:49" ht="10.5" customHeight="1" x14ac:dyDescent="0.25">
      <c r="A72" s="193"/>
      <c r="B72" s="86"/>
      <c r="C72" s="87"/>
      <c r="D72" s="249"/>
      <c r="E72" s="249"/>
      <c r="F72" s="249"/>
      <c r="G72" s="437"/>
      <c r="I72" s="437" t="s">
        <v>628</v>
      </c>
      <c r="J72" s="440">
        <f>SUMIF(G21:G70, "М", J21:J70)</f>
        <v>0</v>
      </c>
      <c r="K72" s="112"/>
      <c r="L72" s="112"/>
      <c r="M72" s="112"/>
      <c r="N72" s="112"/>
      <c r="O72" s="194"/>
      <c r="P72" s="194"/>
      <c r="Q72" s="194"/>
      <c r="R72" s="194"/>
      <c r="S72" s="195"/>
      <c r="T72" s="195"/>
      <c r="U72" s="195"/>
      <c r="V72" s="112"/>
      <c r="W72" s="112"/>
      <c r="X72" s="112"/>
      <c r="Y72" s="112"/>
      <c r="Z72" s="112"/>
      <c r="AA72" s="112"/>
      <c r="AB72" s="439"/>
      <c r="AC72" s="439"/>
      <c r="AD72" s="112"/>
      <c r="AE72" s="112"/>
      <c r="AF72" s="112"/>
      <c r="AG72" s="112"/>
      <c r="AH72" s="112"/>
      <c r="AI72" s="112"/>
      <c r="AJ72" s="112"/>
      <c r="AK72" s="112"/>
      <c r="AL72" s="195"/>
      <c r="AM72" s="202"/>
      <c r="AN72" s="195"/>
      <c r="AO72" s="202"/>
      <c r="AP72" s="195"/>
      <c r="AU72" s="96"/>
      <c r="AV72" s="96"/>
      <c r="AW72" s="96"/>
    </row>
    <row r="73" spans="1:49" ht="10.5" customHeight="1" x14ac:dyDescent="0.25">
      <c r="A73" s="193"/>
      <c r="B73" s="86"/>
      <c r="C73" s="87"/>
      <c r="D73" s="249"/>
      <c r="E73" s="249"/>
      <c r="F73" s="249"/>
      <c r="H73" s="437"/>
      <c r="I73" s="437" t="s">
        <v>626</v>
      </c>
      <c r="J73" s="339">
        <f>SUM(J21:J70)</f>
        <v>0</v>
      </c>
      <c r="K73" s="339"/>
      <c r="L73" s="112"/>
      <c r="M73" s="112"/>
      <c r="N73" s="112"/>
      <c r="O73" s="112"/>
      <c r="P73" s="194"/>
      <c r="Q73" s="194"/>
      <c r="R73" s="194"/>
      <c r="S73" s="194"/>
      <c r="T73" s="195"/>
      <c r="U73" s="195"/>
      <c r="V73" s="195"/>
      <c r="W73" s="112"/>
      <c r="X73" s="112"/>
      <c r="Y73" s="112"/>
      <c r="Z73" s="112"/>
      <c r="AA73" s="112"/>
      <c r="AB73" s="439"/>
      <c r="AC73" s="112"/>
      <c r="AD73" s="112"/>
      <c r="AE73" s="112"/>
      <c r="AF73" s="439"/>
      <c r="AG73" s="439"/>
      <c r="AH73" s="112"/>
      <c r="AI73" s="112"/>
      <c r="AJ73" s="112"/>
      <c r="AK73" s="112"/>
      <c r="AL73" s="112"/>
      <c r="AM73" s="195"/>
      <c r="AN73" s="202"/>
      <c r="AO73" s="195"/>
      <c r="AP73" s="202"/>
      <c r="AQ73" s="195"/>
      <c r="AR73" s="202"/>
      <c r="AS73" s="195"/>
      <c r="AT73" s="96"/>
      <c r="AU73" s="96"/>
      <c r="AV73" s="96"/>
    </row>
    <row r="74" spans="1:49" x14ac:dyDescent="0.25">
      <c r="B74" s="87"/>
      <c r="E74" s="96"/>
      <c r="F74" s="96"/>
      <c r="G74" s="87"/>
      <c r="I74" s="87"/>
      <c r="J74" s="87"/>
      <c r="K74" s="87"/>
      <c r="L74" s="339"/>
      <c r="M74" s="112"/>
      <c r="N74" s="112"/>
      <c r="O74" s="112"/>
      <c r="P74" s="194"/>
      <c r="Q74" s="194"/>
      <c r="AH74" s="112"/>
      <c r="AI74" s="112"/>
      <c r="AJ74" s="112"/>
      <c r="AK74" s="112"/>
      <c r="AL74" s="112"/>
      <c r="AM74" s="195"/>
      <c r="AN74" s="202"/>
      <c r="AO74" s="195"/>
      <c r="AP74" s="202"/>
      <c r="AQ74" s="195"/>
      <c r="AR74" s="202"/>
      <c r="AS74" s="195"/>
      <c r="AT74" s="96"/>
      <c r="AU74" s="96"/>
      <c r="AV74" s="96"/>
    </row>
    <row r="75" spans="1:49" ht="15" customHeight="1" x14ac:dyDescent="0.25">
      <c r="A75" s="441" t="s">
        <v>631</v>
      </c>
      <c r="B75" s="87"/>
      <c r="C75" s="87"/>
      <c r="E75" s="441" t="s">
        <v>632</v>
      </c>
      <c r="F75" s="96"/>
      <c r="G75" s="87"/>
      <c r="I75" s="87"/>
      <c r="J75" s="87"/>
      <c r="K75" s="87"/>
      <c r="L75" s="112"/>
      <c r="M75" s="112"/>
      <c r="N75" s="112"/>
      <c r="P75" s="625"/>
      <c r="Q75" s="625"/>
      <c r="R75" s="625"/>
      <c r="S75" s="625"/>
      <c r="T75" s="625"/>
      <c r="U75" s="625"/>
      <c r="V75" s="625"/>
      <c r="W75" s="625"/>
      <c r="AH75" s="112"/>
      <c r="AI75" s="112"/>
      <c r="AJ75" s="112"/>
      <c r="AK75" s="112"/>
      <c r="AL75" s="112"/>
      <c r="AM75" s="195"/>
      <c r="AN75" s="202"/>
      <c r="AO75" s="195"/>
      <c r="AP75" s="202"/>
      <c r="AQ75" s="195"/>
      <c r="AR75" s="202"/>
      <c r="AS75" s="195"/>
      <c r="AT75" s="96"/>
      <c r="AU75" s="96"/>
      <c r="AV75" s="96"/>
    </row>
    <row r="76" spans="1:49" ht="15" customHeight="1" x14ac:dyDescent="0.25">
      <c r="A76" s="441" t="s">
        <v>631</v>
      </c>
      <c r="B76" s="87"/>
      <c r="C76" s="87"/>
      <c r="E76" s="441" t="s">
        <v>633</v>
      </c>
      <c r="F76" s="96"/>
      <c r="G76" s="87"/>
      <c r="I76" s="87"/>
      <c r="J76" s="87"/>
      <c r="K76" s="87"/>
      <c r="L76" s="112"/>
      <c r="M76" s="112"/>
      <c r="N76" s="112"/>
      <c r="O76" s="625"/>
      <c r="P76" s="625"/>
      <c r="Q76" s="625"/>
      <c r="R76" s="625"/>
      <c r="S76" s="625"/>
      <c r="T76" s="625"/>
      <c r="U76" s="625"/>
      <c r="V76" s="625"/>
      <c r="W76" s="625"/>
      <c r="AH76" s="112"/>
      <c r="AI76" s="112"/>
      <c r="AJ76" s="112"/>
      <c r="AK76" s="112"/>
      <c r="AL76" s="112"/>
      <c r="AM76" s="195"/>
      <c r="AN76" s="202"/>
      <c r="AO76" s="195"/>
      <c r="AP76" s="202"/>
      <c r="AQ76" s="195"/>
      <c r="AR76" s="202"/>
      <c r="AS76" s="195"/>
      <c r="AT76" s="96"/>
      <c r="AU76" s="96"/>
      <c r="AV76" s="96"/>
    </row>
    <row r="77" spans="1:49" ht="15" customHeight="1" x14ac:dyDescent="0.25">
      <c r="A77" s="441" t="s">
        <v>631</v>
      </c>
      <c r="B77" s="87"/>
      <c r="C77" s="87"/>
      <c r="D77" s="39"/>
      <c r="E77" s="441" t="s">
        <v>634</v>
      </c>
      <c r="F77" s="96"/>
      <c r="G77" s="87"/>
      <c r="I77" s="87"/>
      <c r="J77" s="87"/>
      <c r="K77" s="87"/>
      <c r="L77" s="112"/>
      <c r="M77" s="112"/>
      <c r="N77" s="112"/>
      <c r="O77" s="625"/>
      <c r="P77" s="625"/>
      <c r="Q77" s="625"/>
      <c r="R77" s="625"/>
      <c r="S77" s="625"/>
      <c r="T77" s="625"/>
      <c r="U77" s="625"/>
      <c r="V77" s="625"/>
      <c r="W77" s="625"/>
      <c r="AH77" s="112"/>
      <c r="AI77" s="112"/>
      <c r="AJ77" s="112"/>
      <c r="AK77" s="112"/>
      <c r="AL77" s="112"/>
      <c r="AM77" s="195"/>
      <c r="AN77" s="202"/>
      <c r="AO77" s="195"/>
      <c r="AP77" s="202"/>
      <c r="AQ77" s="195"/>
      <c r="AR77" s="202"/>
      <c r="AS77" s="195"/>
      <c r="AT77" s="96"/>
      <c r="AU77" s="96"/>
      <c r="AV77" s="96"/>
    </row>
    <row r="78" spans="1:49" s="300" customFormat="1" ht="35.25" customHeight="1" x14ac:dyDescent="0.25">
      <c r="A78" s="626"/>
      <c r="B78" s="627"/>
      <c r="C78" s="627"/>
      <c r="D78" s="627"/>
      <c r="E78" s="627"/>
      <c r="F78" s="627"/>
      <c r="G78" s="627"/>
      <c r="H78" s="627"/>
      <c r="I78" s="627"/>
      <c r="J78" s="627"/>
      <c r="K78" s="627"/>
      <c r="L78" s="627"/>
      <c r="M78" s="627"/>
      <c r="N78" s="627"/>
      <c r="O78" s="627"/>
      <c r="P78" s="627"/>
      <c r="Q78" s="627"/>
      <c r="R78" s="627"/>
      <c r="S78" s="627"/>
      <c r="T78" s="627"/>
      <c r="U78" s="627"/>
      <c r="V78" s="627"/>
      <c r="AJ78" s="567"/>
      <c r="AK78" s="567"/>
      <c r="AL78" s="567"/>
      <c r="AM78" s="568"/>
      <c r="AN78" s="569"/>
      <c r="AO78" s="568"/>
      <c r="AP78" s="569"/>
      <c r="AQ78" s="568"/>
      <c r="AR78" s="569"/>
      <c r="AS78" s="568"/>
      <c r="AT78" s="311"/>
      <c r="AU78" s="311"/>
      <c r="AV78" s="311"/>
    </row>
    <row r="79" spans="1:49" x14ac:dyDescent="0.25">
      <c r="A79" s="39"/>
      <c r="B79" s="628"/>
      <c r="C79" s="628"/>
      <c r="D79" s="628"/>
      <c r="E79" s="628"/>
      <c r="F79" s="628"/>
      <c r="G79" s="628"/>
      <c r="H79" s="628"/>
      <c r="I79" s="628"/>
      <c r="J79" s="628"/>
      <c r="K79" s="628"/>
      <c r="L79" s="628"/>
      <c r="M79" s="628"/>
      <c r="N79" s="628"/>
      <c r="O79" s="628"/>
      <c r="P79" s="628"/>
      <c r="Q79" s="628"/>
      <c r="R79" s="628"/>
      <c r="S79" s="628"/>
      <c r="T79" s="628"/>
      <c r="U79" s="628"/>
      <c r="V79" s="628"/>
      <c r="AJ79" s="112"/>
      <c r="AK79" s="112"/>
      <c r="AL79" s="112"/>
      <c r="AM79" s="195"/>
      <c r="AN79" s="202"/>
      <c r="AO79" s="195"/>
      <c r="AP79" s="202"/>
      <c r="AQ79" s="195"/>
      <c r="AR79" s="202"/>
      <c r="AS79" s="195"/>
      <c r="AT79" s="96"/>
      <c r="AU79" s="96"/>
      <c r="AV79" s="96"/>
    </row>
    <row r="80" spans="1:49" s="450" customFormat="1" ht="18.75" x14ac:dyDescent="0.25">
      <c r="A80" s="451"/>
      <c r="B80" s="449" t="s">
        <v>691</v>
      </c>
      <c r="C80" s="278"/>
      <c r="D80" s="451"/>
      <c r="E80" s="452"/>
      <c r="F80" s="452"/>
      <c r="G80" s="278"/>
      <c r="H80" s="278"/>
      <c r="I80" s="278"/>
      <c r="J80" s="278"/>
      <c r="K80" s="278"/>
      <c r="L80" s="453"/>
      <c r="M80" s="453"/>
      <c r="N80" s="453"/>
      <c r="O80" s="453"/>
      <c r="P80" s="454"/>
      <c r="Q80" s="454"/>
      <c r="R80" s="454"/>
      <c r="S80" s="454"/>
      <c r="T80" s="455"/>
      <c r="U80" s="455"/>
      <c r="V80" s="455"/>
      <c r="AJ80" s="453"/>
      <c r="AK80" s="453"/>
      <c r="AL80" s="453"/>
      <c r="AM80" s="455"/>
      <c r="AN80" s="456"/>
      <c r="AO80" s="455"/>
      <c r="AP80" s="456"/>
      <c r="AQ80" s="455"/>
      <c r="AR80" s="456"/>
      <c r="AS80" s="455"/>
      <c r="AT80" s="452"/>
      <c r="AU80" s="452"/>
      <c r="AV80" s="452"/>
    </row>
    <row r="81" spans="1:48" s="450" customFormat="1" ht="18.75" x14ac:dyDescent="0.25">
      <c r="A81" s="459"/>
      <c r="B81" s="458" t="s">
        <v>639</v>
      </c>
      <c r="C81" s="259"/>
      <c r="D81" s="459"/>
      <c r="E81" s="460"/>
      <c r="F81" s="460"/>
      <c r="G81" s="259"/>
      <c r="H81" s="259"/>
      <c r="I81" s="259"/>
      <c r="J81" s="259"/>
      <c r="K81" s="259"/>
      <c r="L81" s="461"/>
      <c r="M81" s="462"/>
      <c r="N81" s="462"/>
      <c r="O81" s="463"/>
      <c r="P81" s="463"/>
      <c r="Q81" s="461"/>
      <c r="R81" s="461"/>
      <c r="S81" s="461"/>
      <c r="T81" s="463"/>
      <c r="U81" s="463"/>
      <c r="V81" s="460"/>
    </row>
    <row r="82" spans="1:48" s="450" customFormat="1" ht="18.75" x14ac:dyDescent="0.25">
      <c r="A82" s="451"/>
      <c r="B82" s="278" t="s">
        <v>637</v>
      </c>
      <c r="C82" s="278"/>
      <c r="D82" s="451"/>
      <c r="E82" s="452"/>
      <c r="F82" s="452"/>
      <c r="G82" s="278"/>
      <c r="H82" s="278"/>
      <c r="I82" s="278"/>
      <c r="J82" s="278"/>
      <c r="K82" s="278"/>
      <c r="L82" s="453"/>
      <c r="M82" s="453"/>
      <c r="N82" s="453"/>
      <c r="O82" s="453"/>
      <c r="P82" s="454"/>
      <c r="Q82" s="454"/>
      <c r="R82" s="454"/>
      <c r="S82" s="454"/>
      <c r="T82" s="455"/>
      <c r="U82" s="455"/>
      <c r="V82" s="455"/>
      <c r="W82" s="453"/>
      <c r="X82" s="453"/>
      <c r="Y82" s="453"/>
      <c r="Z82" s="453"/>
      <c r="AA82" s="453"/>
      <c r="AB82" s="453"/>
      <c r="AC82" s="453"/>
      <c r="AD82" s="453"/>
      <c r="AE82" s="453"/>
      <c r="AF82" s="453"/>
      <c r="AG82" s="453"/>
      <c r="AH82" s="453"/>
      <c r="AI82" s="453"/>
      <c r="AJ82" s="453"/>
      <c r="AK82" s="453"/>
      <c r="AL82" s="453"/>
      <c r="AM82" s="455"/>
      <c r="AN82" s="456"/>
      <c r="AO82" s="455"/>
      <c r="AP82" s="456"/>
      <c r="AQ82" s="455"/>
      <c r="AR82" s="456"/>
      <c r="AS82" s="455"/>
      <c r="AT82" s="452"/>
      <c r="AU82" s="452"/>
      <c r="AV82" s="452"/>
    </row>
    <row r="83" spans="1:48" s="450" customFormat="1" ht="18.75" x14ac:dyDescent="0.25">
      <c r="A83" s="451"/>
      <c r="B83" s="449"/>
      <c r="C83" s="278"/>
      <c r="D83" s="451"/>
      <c r="E83" s="452"/>
      <c r="F83" s="452"/>
      <c r="G83" s="278"/>
      <c r="H83" s="278"/>
      <c r="I83" s="278"/>
      <c r="J83" s="278"/>
      <c r="K83" s="278"/>
      <c r="L83" s="453"/>
      <c r="M83" s="453"/>
      <c r="N83" s="453"/>
      <c r="O83" s="453"/>
      <c r="P83" s="454"/>
      <c r="Q83" s="454"/>
      <c r="R83" s="454"/>
      <c r="S83" s="454"/>
      <c r="T83" s="455"/>
      <c r="U83" s="455"/>
      <c r="V83" s="455"/>
      <c r="W83" s="453"/>
      <c r="X83" s="453"/>
      <c r="Y83" s="453"/>
      <c r="Z83" s="453"/>
      <c r="AA83" s="453"/>
      <c r="AB83" s="453"/>
      <c r="AC83" s="453"/>
      <c r="AD83" s="453"/>
      <c r="AE83" s="453"/>
      <c r="AF83" s="453"/>
      <c r="AG83" s="453"/>
      <c r="AH83" s="453"/>
      <c r="AI83" s="453"/>
      <c r="AJ83" s="453"/>
      <c r="AK83" s="453"/>
      <c r="AL83" s="453"/>
      <c r="AM83" s="455"/>
      <c r="AN83" s="456"/>
      <c r="AO83" s="455"/>
      <c r="AP83" s="456"/>
      <c r="AQ83" s="455"/>
      <c r="AR83" s="456"/>
      <c r="AS83" s="455"/>
      <c r="AT83" s="452"/>
      <c r="AU83" s="452"/>
      <c r="AV83" s="452"/>
    </row>
    <row r="84" spans="1:48" s="450" customFormat="1" ht="19.5" x14ac:dyDescent="0.25">
      <c r="A84" s="451"/>
      <c r="B84" s="259" t="s">
        <v>692</v>
      </c>
      <c r="C84" s="278"/>
      <c r="D84" s="451"/>
      <c r="E84" s="452"/>
      <c r="F84" s="452"/>
      <c r="G84" s="278"/>
      <c r="H84" s="278"/>
      <c r="I84" s="278"/>
      <c r="J84" s="278"/>
      <c r="K84" s="278"/>
      <c r="L84" s="453"/>
      <c r="M84" s="454"/>
      <c r="N84" s="454"/>
      <c r="O84" s="455"/>
      <c r="P84" s="455"/>
      <c r="Q84" s="453"/>
      <c r="R84" s="453"/>
      <c r="S84" s="453"/>
      <c r="T84" s="455"/>
      <c r="U84" s="455"/>
      <c r="V84" s="452"/>
      <c r="W84" s="452"/>
    </row>
    <row r="85" spans="1:48" s="450" customFormat="1" ht="18.75" customHeight="1" x14ac:dyDescent="0.25">
      <c r="A85" s="459"/>
      <c r="B85" s="259" t="s">
        <v>693</v>
      </c>
      <c r="C85" s="629"/>
      <c r="D85" s="629"/>
      <c r="E85" s="629"/>
      <c r="F85" s="629"/>
      <c r="G85" s="629"/>
      <c r="H85" s="629"/>
      <c r="I85" s="629"/>
      <c r="J85" s="629"/>
      <c r="K85" s="629"/>
      <c r="L85" s="629"/>
      <c r="M85" s="629"/>
      <c r="N85" s="629"/>
      <c r="O85" s="629"/>
      <c r="P85" s="629"/>
      <c r="Q85" s="629"/>
      <c r="R85" s="629"/>
      <c r="S85" s="629"/>
      <c r="T85" s="629"/>
      <c r="U85" s="629"/>
      <c r="V85" s="629"/>
      <c r="W85" s="629"/>
      <c r="X85" s="629"/>
      <c r="Y85" s="629"/>
      <c r="Z85" s="629"/>
      <c r="AA85" s="629"/>
      <c r="AB85" s="629"/>
      <c r="AC85" s="629"/>
      <c r="AD85" s="629"/>
      <c r="AE85" s="629"/>
      <c r="AF85" s="629"/>
      <c r="AG85" s="629"/>
      <c r="AH85" s="629"/>
    </row>
    <row r="86" spans="1:48" s="450" customFormat="1" ht="18.75" customHeight="1" x14ac:dyDescent="0.25">
      <c r="A86" s="459"/>
      <c r="B86" s="259" t="s">
        <v>694</v>
      </c>
      <c r="C86" s="629"/>
      <c r="D86" s="629"/>
      <c r="E86" s="629"/>
      <c r="F86" s="629"/>
      <c r="G86" s="629"/>
      <c r="H86" s="629"/>
      <c r="I86" s="629"/>
      <c r="J86" s="629"/>
      <c r="K86" s="629"/>
      <c r="L86" s="629"/>
      <c r="M86" s="629"/>
      <c r="N86" s="629"/>
      <c r="O86" s="629"/>
      <c r="P86" s="629"/>
      <c r="Q86" s="629"/>
      <c r="R86" s="629"/>
      <c r="S86" s="629"/>
      <c r="T86" s="629"/>
      <c r="U86" s="629"/>
      <c r="V86" s="629"/>
      <c r="W86" s="629"/>
      <c r="X86" s="629"/>
      <c r="Y86" s="629"/>
      <c r="Z86" s="629"/>
      <c r="AA86" s="629"/>
      <c r="AB86" s="629"/>
      <c r="AC86" s="629"/>
      <c r="AD86" s="629"/>
      <c r="AE86" s="629"/>
      <c r="AF86" s="629"/>
      <c r="AG86" s="629"/>
      <c r="AH86" s="629"/>
    </row>
    <row r="87" spans="1:48" s="450" customFormat="1" ht="18.75" x14ac:dyDescent="0.25">
      <c r="A87" s="459"/>
      <c r="B87" s="451" t="s">
        <v>695</v>
      </c>
      <c r="C87" s="259"/>
      <c r="D87" s="459"/>
      <c r="E87" s="460"/>
      <c r="F87" s="460"/>
      <c r="G87" s="259"/>
      <c r="H87" s="259"/>
      <c r="I87" s="259"/>
      <c r="J87" s="259"/>
      <c r="K87" s="259"/>
      <c r="L87" s="461"/>
      <c r="M87" s="462"/>
      <c r="N87" s="462"/>
      <c r="O87" s="463"/>
      <c r="P87" s="463"/>
      <c r="Q87" s="461"/>
      <c r="R87" s="461"/>
      <c r="S87" s="461"/>
      <c r="T87" s="463"/>
      <c r="U87" s="463"/>
      <c r="V87" s="460"/>
      <c r="W87" s="460"/>
    </row>
    <row r="88" spans="1:48" s="450" customFormat="1" ht="18.75" x14ac:dyDescent="0.25">
      <c r="A88" s="459"/>
      <c r="B88" s="278" t="s">
        <v>696</v>
      </c>
      <c r="C88" s="259"/>
      <c r="D88" s="459"/>
      <c r="E88" s="460"/>
      <c r="F88" s="460"/>
      <c r="G88" s="259"/>
      <c r="H88" s="259"/>
      <c r="I88" s="259"/>
      <c r="J88" s="259"/>
      <c r="K88" s="259"/>
      <c r="L88" s="461"/>
      <c r="M88" s="462"/>
      <c r="N88" s="462"/>
      <c r="O88" s="463"/>
      <c r="P88" s="463"/>
      <c r="Q88" s="461"/>
      <c r="R88" s="461"/>
      <c r="S88" s="461"/>
      <c r="T88" s="463"/>
      <c r="U88" s="463"/>
      <c r="V88" s="460"/>
      <c r="W88" s="460"/>
    </row>
    <row r="89" spans="1:48" s="450" customFormat="1" ht="18.75" x14ac:dyDescent="0.25">
      <c r="A89" s="459"/>
      <c r="B89" s="451" t="s">
        <v>650</v>
      </c>
      <c r="C89" s="259"/>
      <c r="D89" s="459"/>
      <c r="E89" s="460"/>
      <c r="F89" s="460"/>
      <c r="G89" s="259"/>
      <c r="H89" s="259"/>
      <c r="I89" s="259"/>
      <c r="J89" s="259"/>
      <c r="K89" s="259"/>
      <c r="L89" s="461"/>
      <c r="M89" s="462"/>
      <c r="N89" s="462"/>
      <c r="O89" s="463"/>
      <c r="P89" s="463"/>
      <c r="Q89" s="461"/>
      <c r="R89" s="461"/>
      <c r="S89" s="461"/>
      <c r="T89" s="463"/>
      <c r="U89" s="463"/>
      <c r="V89" s="460"/>
      <c r="W89" s="460"/>
    </row>
    <row r="90" spans="1:48" s="450" customFormat="1" ht="19.5" x14ac:dyDescent="0.25">
      <c r="A90" s="630"/>
      <c r="B90" s="451" t="s">
        <v>697</v>
      </c>
      <c r="C90" s="299"/>
      <c r="D90" s="630"/>
      <c r="E90" s="630"/>
      <c r="F90" s="630"/>
      <c r="G90" s="299"/>
      <c r="H90" s="299"/>
      <c r="I90" s="299"/>
      <c r="J90" s="299"/>
      <c r="K90" s="299"/>
      <c r="L90" s="631"/>
      <c r="M90" s="632"/>
      <c r="N90" s="632"/>
      <c r="O90" s="633"/>
      <c r="P90" s="633"/>
      <c r="Q90" s="631"/>
      <c r="R90" s="631"/>
      <c r="S90" s="631"/>
      <c r="T90" s="633"/>
      <c r="U90" s="633"/>
      <c r="V90" s="630"/>
      <c r="W90" s="630"/>
    </row>
    <row r="91" spans="1:48" s="450" customFormat="1" ht="18.75" x14ac:dyDescent="0.25">
      <c r="A91" s="459"/>
      <c r="B91" s="459" t="s">
        <v>698</v>
      </c>
      <c r="C91" s="259"/>
      <c r="D91" s="459"/>
      <c r="E91" s="460"/>
      <c r="F91" s="460"/>
      <c r="G91" s="259"/>
      <c r="H91" s="259"/>
      <c r="I91" s="259"/>
      <c r="J91" s="259"/>
      <c r="K91" s="278" t="s">
        <v>260</v>
      </c>
      <c r="L91" s="634" t="s">
        <v>261</v>
      </c>
      <c r="M91" s="635"/>
      <c r="N91" s="636" t="s">
        <v>262</v>
      </c>
      <c r="O91" s="636" t="s">
        <v>79</v>
      </c>
      <c r="P91" s="452" t="s">
        <v>76</v>
      </c>
      <c r="Q91" s="637" t="s">
        <v>84</v>
      </c>
      <c r="R91" s="637" t="s">
        <v>94</v>
      </c>
      <c r="S91" s="452" t="s">
        <v>100</v>
      </c>
      <c r="T91" s="637" t="s">
        <v>117</v>
      </c>
      <c r="U91" s="637" t="s">
        <v>82</v>
      </c>
      <c r="V91" s="460"/>
    </row>
    <row r="92" spans="1:48" s="450" customFormat="1" ht="54.75" customHeight="1" x14ac:dyDescent="0.25">
      <c r="A92" s="259"/>
      <c r="B92" s="2091" t="s">
        <v>699</v>
      </c>
      <c r="C92" s="2091"/>
      <c r="D92" s="2091"/>
      <c r="E92" s="2091"/>
      <c r="F92" s="2091"/>
      <c r="G92" s="2091"/>
      <c r="H92" s="2091"/>
      <c r="I92" s="2091"/>
      <c r="J92" s="2091"/>
      <c r="K92" s="2091"/>
      <c r="L92" s="2091"/>
      <c r="M92" s="2091"/>
      <c r="N92" s="2091"/>
      <c r="O92" s="2091"/>
      <c r="P92" s="2091"/>
      <c r="Q92" s="2091"/>
      <c r="R92" s="2091"/>
      <c r="S92" s="2091"/>
      <c r="T92" s="2091"/>
      <c r="U92" s="2091"/>
      <c r="V92" s="2091"/>
      <c r="W92" s="2091"/>
      <c r="X92" s="2091"/>
      <c r="Y92" s="2091"/>
      <c r="Z92" s="2091"/>
      <c r="AA92" s="2091"/>
      <c r="AB92" s="2091"/>
      <c r="AC92" s="2091"/>
      <c r="AD92" s="2091"/>
      <c r="AE92" s="2091"/>
      <c r="AF92" s="2091"/>
      <c r="AG92" s="2091"/>
      <c r="AH92" s="2091"/>
      <c r="AI92" s="2091"/>
      <c r="AJ92" s="2091"/>
      <c r="AK92" s="2091"/>
      <c r="AL92" s="2091"/>
      <c r="AM92" s="2091"/>
      <c r="AN92" s="2091"/>
      <c r="AO92" s="2091"/>
    </row>
    <row r="93" spans="1:48" s="450" customFormat="1" ht="18.75" x14ac:dyDescent="0.25">
      <c r="A93" s="259"/>
      <c r="B93" s="2091" t="s">
        <v>700</v>
      </c>
      <c r="C93" s="2091"/>
      <c r="D93" s="2091"/>
      <c r="E93" s="2091"/>
      <c r="F93" s="2091"/>
      <c r="G93" s="2091"/>
      <c r="H93" s="2091"/>
      <c r="I93" s="2091"/>
      <c r="J93" s="2091"/>
      <c r="K93" s="2091"/>
      <c r="L93" s="2091"/>
      <c r="M93" s="2091"/>
      <c r="N93" s="2091"/>
      <c r="O93" s="2091"/>
      <c r="P93" s="2091"/>
      <c r="Q93" s="2091"/>
      <c r="R93" s="2091"/>
      <c r="S93" s="2091"/>
      <c r="T93" s="2091"/>
      <c r="U93" s="465"/>
      <c r="V93" s="460"/>
      <c r="W93" s="460"/>
    </row>
    <row r="94" spans="1:48" s="450" customFormat="1" ht="18.75" x14ac:dyDescent="0.25">
      <c r="A94" s="259"/>
      <c r="B94" s="459" t="s">
        <v>701</v>
      </c>
      <c r="C94" s="465"/>
      <c r="D94" s="465"/>
      <c r="E94" s="465"/>
      <c r="F94" s="465"/>
      <c r="G94" s="465"/>
      <c r="H94" s="465"/>
      <c r="I94" s="465"/>
      <c r="J94" s="465"/>
      <c r="K94" s="465"/>
      <c r="L94" s="466"/>
      <c r="M94" s="466"/>
      <c r="N94" s="466"/>
      <c r="O94" s="466"/>
      <c r="P94" s="466"/>
      <c r="Q94" s="466"/>
      <c r="R94" s="466"/>
      <c r="S94" s="466"/>
      <c r="T94" s="466"/>
      <c r="U94" s="466"/>
      <c r="V94" s="467"/>
      <c r="W94" s="467"/>
    </row>
    <row r="95" spans="1:48" s="450" customFormat="1" ht="37.5" customHeight="1" x14ac:dyDescent="0.25">
      <c r="A95" s="259"/>
      <c r="B95" s="2091" t="s">
        <v>702</v>
      </c>
      <c r="C95" s="2091"/>
      <c r="D95" s="2091"/>
      <c r="E95" s="2091"/>
      <c r="F95" s="2091"/>
      <c r="G95" s="2091"/>
      <c r="H95" s="2091"/>
      <c r="I95" s="2091"/>
      <c r="J95" s="2091"/>
      <c r="K95" s="2091"/>
      <c r="L95" s="2091"/>
      <c r="M95" s="2091"/>
      <c r="N95" s="2091"/>
      <c r="O95" s="2091"/>
      <c r="P95" s="2091"/>
      <c r="Q95" s="2091"/>
      <c r="R95" s="2091"/>
      <c r="S95" s="2091"/>
      <c r="T95" s="2091"/>
      <c r="U95" s="2091"/>
      <c r="V95" s="2091"/>
      <c r="W95" s="2091"/>
      <c r="X95" s="2091"/>
      <c r="Y95" s="2091"/>
      <c r="Z95" s="2091"/>
      <c r="AA95" s="2091"/>
      <c r="AB95" s="2091"/>
      <c r="AC95" s="2091"/>
      <c r="AD95" s="2091"/>
      <c r="AE95" s="2091"/>
      <c r="AF95" s="2091"/>
      <c r="AG95" s="2091"/>
      <c r="AH95" s="2091"/>
      <c r="AI95" s="2091"/>
      <c r="AJ95" s="2091"/>
      <c r="AK95" s="2091"/>
      <c r="AL95" s="2091"/>
      <c r="AM95" s="2091"/>
      <c r="AN95" s="2091"/>
      <c r="AO95" s="2091"/>
    </row>
    <row r="96" spans="1:48" s="450" customFormat="1" ht="18.75" x14ac:dyDescent="0.25">
      <c r="A96" s="259"/>
      <c r="B96" s="465"/>
      <c r="C96" s="465"/>
      <c r="D96" s="465"/>
      <c r="E96" s="465"/>
      <c r="F96" s="465"/>
      <c r="G96" s="465"/>
      <c r="H96" s="465"/>
      <c r="I96" s="465"/>
      <c r="J96" s="465"/>
      <c r="K96" s="465"/>
      <c r="L96" s="466"/>
      <c r="M96" s="466"/>
      <c r="N96" s="466"/>
      <c r="O96" s="466"/>
      <c r="P96" s="466"/>
      <c r="Q96" s="466"/>
      <c r="R96" s="466"/>
      <c r="S96" s="466"/>
      <c r="T96" s="466"/>
      <c r="U96" s="466"/>
      <c r="V96" s="460"/>
      <c r="W96" s="460"/>
    </row>
    <row r="97" spans="1:46" s="450" customFormat="1" ht="19.5" x14ac:dyDescent="0.25">
      <c r="A97" s="259"/>
      <c r="B97" s="2091" t="s">
        <v>703</v>
      </c>
      <c r="C97" s="2091"/>
      <c r="D97" s="2091"/>
      <c r="E97" s="2091"/>
      <c r="F97" s="2091"/>
      <c r="G97" s="2091"/>
      <c r="H97" s="2091"/>
      <c r="I97" s="2091"/>
      <c r="J97" s="2091"/>
      <c r="K97" s="2091"/>
      <c r="L97" s="2091"/>
      <c r="M97" s="2091"/>
      <c r="N97" s="2091"/>
      <c r="O97" s="2091"/>
      <c r="P97" s="2091"/>
      <c r="Q97" s="2091"/>
      <c r="R97" s="2091"/>
      <c r="S97" s="2091"/>
      <c r="T97" s="2091"/>
      <c r="U97" s="2091"/>
      <c r="V97" s="2091"/>
      <c r="W97" s="2091"/>
      <c r="X97" s="2091"/>
      <c r="Y97" s="2091"/>
      <c r="Z97" s="2091"/>
      <c r="AA97" s="2091"/>
      <c r="AB97" s="2091"/>
      <c r="AC97" s="2091"/>
      <c r="AD97" s="2091"/>
      <c r="AE97" s="2091"/>
      <c r="AF97" s="2091"/>
      <c r="AG97" s="2091"/>
      <c r="AH97" s="466"/>
      <c r="AI97" s="466"/>
      <c r="AJ97" s="466"/>
      <c r="AK97" s="466"/>
      <c r="AL97" s="466"/>
      <c r="AM97" s="466"/>
      <c r="AN97" s="299"/>
      <c r="AO97" s="466"/>
      <c r="AP97" s="299"/>
      <c r="AQ97" s="466"/>
      <c r="AR97" s="460"/>
      <c r="AS97" s="460"/>
      <c r="AT97" s="460"/>
    </row>
    <row r="98" spans="1:46" x14ac:dyDescent="0.25">
      <c r="AN98" s="87"/>
      <c r="AP98" s="87"/>
      <c r="AR98" s="87"/>
    </row>
    <row r="99" spans="1:46" x14ac:dyDescent="0.25">
      <c r="AN99" s="87"/>
      <c r="AP99" s="87"/>
      <c r="AR99" s="87"/>
    </row>
    <row r="100" spans="1:46" x14ac:dyDescent="0.25">
      <c r="AN100" s="87"/>
      <c r="AP100" s="87"/>
      <c r="AR100" s="87"/>
    </row>
    <row r="101" spans="1:46" x14ac:dyDescent="0.25">
      <c r="AN101" s="87"/>
      <c r="AP101" s="87"/>
      <c r="AR101" s="87"/>
    </row>
    <row r="102" spans="1:46" x14ac:dyDescent="0.25">
      <c r="AN102" s="87"/>
      <c r="AP102" s="87"/>
      <c r="AR102" s="87"/>
    </row>
    <row r="103" spans="1:46" x14ac:dyDescent="0.25">
      <c r="AN103" s="339"/>
      <c r="AP103" s="339"/>
      <c r="AR103" s="339"/>
    </row>
    <row r="104" spans="1:46" x14ac:dyDescent="0.25">
      <c r="AN104" s="339"/>
      <c r="AP104" s="339"/>
      <c r="AR104" s="339"/>
    </row>
  </sheetData>
  <mergeCells count="28">
    <mergeCell ref="B97:AG97"/>
    <mergeCell ref="B93:T93"/>
    <mergeCell ref="A19:A20"/>
    <mergeCell ref="B19:B20"/>
    <mergeCell ref="C19:D20"/>
    <mergeCell ref="E19:E20"/>
    <mergeCell ref="F19:F20"/>
    <mergeCell ref="G19:G20"/>
    <mergeCell ref="H19:H20"/>
    <mergeCell ref="I19:I20"/>
    <mergeCell ref="J19:J20"/>
    <mergeCell ref="K19:L19"/>
    <mergeCell ref="M19:R19"/>
    <mergeCell ref="S19:T19"/>
    <mergeCell ref="Y19:AF19"/>
    <mergeCell ref="U19:W19"/>
    <mergeCell ref="A1:N1"/>
    <mergeCell ref="B9:AE10"/>
    <mergeCell ref="B12:AE13"/>
    <mergeCell ref="A14:AF14"/>
    <mergeCell ref="B95:AO95"/>
    <mergeCell ref="B92:AO92"/>
    <mergeCell ref="P1:AG1"/>
    <mergeCell ref="W2:AG3"/>
    <mergeCell ref="W4:AG5"/>
    <mergeCell ref="T2:V3"/>
    <mergeCell ref="T4:V5"/>
    <mergeCell ref="P2:S2"/>
  </mergeCells>
  <conditionalFormatting sqref="B21:B70 AI21:AI30">
    <cfRule type="expression" dxfId="146" priority="16">
      <formula>IF($B21&lt;&gt;$P$3, IF($B21&lt;&gt;$P$4, IF($B21&lt;&gt;$P$5, IF($B21&lt;&gt;$Q$3, IF($B21&lt;&gt;$Q$4, IF($B21&lt;&gt;$Q$5, IF($B21&lt;&gt;$R$3, IF($B21&lt;&gt;$R$4, IF($B21&lt;&gt;$R$5, IF($B21&lt;&gt;$S$3, IF($B21&lt;&gt;$S$4, TRUE)))))))))))</formula>
    </cfRule>
  </conditionalFormatting>
  <conditionalFormatting sqref="J21:J70">
    <cfRule type="expression" dxfId="145" priority="15">
      <formula>IF(H21=1, IF(J21&gt;$O$2, TRUE), IF(H21=2, IF(J21&gt;$O$3, TRUE), IF(H21=3, IF(J21&gt;$O$4, TRUE), IF(H21=4, IF(J21&gt;$O$5, TRUE)))))</formula>
    </cfRule>
  </conditionalFormatting>
  <conditionalFormatting sqref="R21:R69">
    <cfRule type="expression" dxfId="144" priority="14">
      <formula>IF(ISNUMBER(R21), IF(YEAR(TODAY())-12&gt;=E21, FALSE, TRUE))</formula>
    </cfRule>
  </conditionalFormatting>
  <conditionalFormatting sqref="L21:L70">
    <cfRule type="expression" dxfId="143" priority="13">
      <formula>IF(ISNUMBER(L21), IF(YEAR(TODAY())-14&gt;=E21, FALSE, TRUE))</formula>
    </cfRule>
  </conditionalFormatting>
  <conditionalFormatting sqref="K21:K70">
    <cfRule type="expression" dxfId="142" priority="12">
      <formula>IF(ISNUMBER(K21), IF(YEAR(TODAY())-12&gt;=E21, FALSE, TRUE))</formula>
    </cfRule>
  </conditionalFormatting>
  <conditionalFormatting sqref="S21:S70">
    <cfRule type="expression" dxfId="141" priority="11">
      <formula>IF(ISNUMBER(S21), IF(YEAR(TODAY())-12&gt;=E21, FALSE, TRUE))</formula>
    </cfRule>
  </conditionalFormatting>
  <conditionalFormatting sqref="T21:T70">
    <cfRule type="expression" dxfId="140" priority="10">
      <formula>IF(ISNUMBER(T21), IF(YEAR(TODAY())-12&gt;=E21, FALSE, TRUE))</formula>
    </cfRule>
  </conditionalFormatting>
  <conditionalFormatting sqref="K21:W70 AC21:AC70 AE21:AE70">
    <cfRule type="expression" dxfId="139" priority="9">
      <formula>IF(NOT(ISBLANK(K21)), IF(ISNUMBER(K21), IF(INT(K21/10000)&gt;23, TRUE, IF(INT(MOD(K21, 10000)/100)&gt;59.99, TRUE, IF(MOD(K21, 100)&gt;59.99, TRUE, FALSE))), TRUE))</formula>
    </cfRule>
  </conditionalFormatting>
  <conditionalFormatting sqref="G21:G70">
    <cfRule type="expression" dxfId="138" priority="8">
      <formula>IF(G21="м", FALSE, IF(G21="ж", FALSE, TRUE))</formula>
    </cfRule>
  </conditionalFormatting>
  <conditionalFormatting sqref="AD21:AD70">
    <cfRule type="expression" dxfId="137" priority="7">
      <formula>IF(ISBLANK(AC21), IF(ISBLANK(AD21), FALSE, TRUE), IF(ISNUMBER(AD21), FALSE, TRUE))</formula>
    </cfRule>
  </conditionalFormatting>
  <conditionalFormatting sqref="AF21:AF70">
    <cfRule type="expression" dxfId="136" priority="6">
      <formula>IF(ISBLANK(AE21), IF(ISBLANK(AF21), FALSE, TRUE), IF(ISNUMBER(AF21), FALSE, TRUE))</formula>
    </cfRule>
  </conditionalFormatting>
  <conditionalFormatting sqref="X21:X70">
    <cfRule type="expression" dxfId="135" priority="5">
      <formula>IF(NOT(ISBLANK(X21)), IF(ISNUMBER(X21), IF(INT(X21/10000)&gt;23, TRUE, IF(INT(MOD(X21, 10000)/100)&gt;59.99, TRUE, IF(MOD(X21, 100)&gt;59.99, TRUE, FALSE))), TRUE))</formula>
    </cfRule>
  </conditionalFormatting>
  <conditionalFormatting sqref="Y21:Y70 AA21:AA70">
    <cfRule type="expression" dxfId="134" priority="4">
      <formula>IF(NOT(ISBLANK(Y21)), IF(ISNUMBER(Y21), IF(INT(Y21/10000)&gt;23, TRUE, IF(INT(MOD(Y21, 10000)/100)&gt;59.99, TRUE, IF(MOD(Y21, 100)&gt;59.99, TRUE, FALSE))), TRUE))</formula>
    </cfRule>
  </conditionalFormatting>
  <conditionalFormatting sqref="Z21:Z70">
    <cfRule type="expression" dxfId="133" priority="3">
      <formula>IF(ISBLANK(Y21), IF(ISBLANK(Z21), FALSE, TRUE), IF(ISNUMBER(Z21), FALSE, TRUE))</formula>
    </cfRule>
  </conditionalFormatting>
  <conditionalFormatting sqref="AB21:AB70">
    <cfRule type="expression" dxfId="132" priority="2">
      <formula>IF(ISBLANK(AA21), IF(ISBLANK(AB21), FALSE, TRUE), IF(ISNUMBER(AB21), FALSE, TRUE))</formula>
    </cfRule>
  </conditionalFormatting>
  <conditionalFormatting sqref="E21:E70">
    <cfRule type="expression" dxfId="131" priority="1">
      <formula>IF(ISBLANK(E21), FALSE, IF(IF(ISNUMBER($G$13), IF(YEAR(TODAY())-$G$13&lt;=E21, FALSE, TRUE), FALSE), TRUE, IF(ISNUMBER($E$13), IF(YEAR(TODAY())-$E$13&lt;E21, TRUE, FALSE), FALSE)))</formula>
    </cfRule>
  </conditionalFormatting>
  <pageMargins left="0.31496062874794006" right="0.31496062874794006" top="0.55118107795715332" bottom="0.39370077848434448" header="0.31496062874794006" footer="0.31496062874794006"/>
  <pageSetup paperSize="9" fitToWidth="0" fitToHeight="0" orientation="landscape"/>
  <headerFooter>
    <oddFooter>&amp;R&amp;8&amp;"Times New Roman,Regular"Стр. &amp;P из &amp;N&amp;12&amp;"-,Regular"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workbookViewId="0"/>
  </sheetViews>
  <sheetFormatPr defaultColWidth="9.140625" defaultRowHeight="15" x14ac:dyDescent="0.25"/>
  <cols>
    <col min="1" max="1" width="3.85546875" customWidth="1"/>
    <col min="2" max="2" width="19.42578125" customWidth="1"/>
    <col min="3" max="3" width="3.140625" customWidth="1"/>
    <col min="4" max="4" width="18" customWidth="1"/>
    <col min="5" max="5" width="14.7109375" customWidth="1"/>
    <col min="6" max="6" width="16.140625" customWidth="1"/>
    <col min="7" max="7" width="10" customWidth="1"/>
    <col min="8" max="8" width="11" customWidth="1"/>
    <col min="9" max="9" width="9.85546875" customWidth="1"/>
    <col min="10" max="10" width="10" customWidth="1"/>
    <col min="11" max="11" width="25.85546875" customWidth="1"/>
    <col min="12" max="30" width="0.7109375" customWidth="1"/>
  </cols>
  <sheetData>
    <row r="1" spans="1:11" ht="23.25" customHeight="1" x14ac:dyDescent="0.25">
      <c r="H1" s="2234" t="s">
        <v>654</v>
      </c>
      <c r="I1" s="2234"/>
      <c r="J1" s="2234"/>
      <c r="K1" s="2234"/>
    </row>
    <row r="2" spans="1:11" ht="15.75" customHeight="1" x14ac:dyDescent="0.25">
      <c r="H2" s="2234"/>
      <c r="I2" s="2234"/>
      <c r="J2" s="2234"/>
      <c r="K2" s="2234"/>
    </row>
    <row r="3" spans="1:11" ht="33" x14ac:dyDescent="0.25">
      <c r="A3" s="2208" t="s">
        <v>655</v>
      </c>
      <c r="B3" s="2208"/>
      <c r="C3" s="2208"/>
      <c r="D3" s="2208"/>
      <c r="E3" s="2208"/>
      <c r="F3" s="2208"/>
      <c r="G3" s="2208"/>
      <c r="H3" s="2208"/>
      <c r="I3" s="2208"/>
      <c r="J3" s="2208"/>
      <c r="K3" s="2208"/>
    </row>
    <row r="4" spans="1:11" ht="23.25" customHeight="1" x14ac:dyDescent="0.25">
      <c r="A4" s="484"/>
      <c r="B4" s="130" t="s">
        <v>656</v>
      </c>
      <c r="C4" s="130"/>
      <c r="D4" s="2209" t="str">
        <f>'Техническая по возраст группам'!E15</f>
        <v>Полное Название команды, город(край, область и пр.)</v>
      </c>
      <c r="E4" s="2475"/>
      <c r="F4" s="2476"/>
      <c r="G4" s="2477"/>
      <c r="H4" s="2478"/>
      <c r="I4" s="2479"/>
      <c r="J4" s="2480"/>
      <c r="K4" s="2481"/>
    </row>
    <row r="5" spans="1:11" ht="36.75" customHeight="1" x14ac:dyDescent="0.25">
      <c r="A5" s="2489" t="s">
        <v>704</v>
      </c>
      <c r="B5" s="2489"/>
      <c r="C5" s="638"/>
      <c r="D5" s="2217" t="str">
        <f>'Техническая по возраст группам'!G17</f>
        <v>Название Соревнований по подводному спорту (1460008511Я) (плавание в ластах)</v>
      </c>
      <c r="E5" s="2482"/>
      <c r="F5" s="2483"/>
      <c r="G5" s="2484"/>
      <c r="H5" s="2485"/>
      <c r="I5" s="2486"/>
      <c r="J5" s="2487"/>
      <c r="K5" s="2488"/>
    </row>
    <row r="6" spans="1:11" ht="26.25" customHeight="1" x14ac:dyDescent="0.25">
      <c r="A6" s="2490" t="s">
        <v>705</v>
      </c>
      <c r="B6" s="2490"/>
      <c r="C6" s="639"/>
      <c r="D6" s="2228" t="str">
        <f>'Техническая по возраст группам'!W2</f>
        <v>г. Город, бассейн "ААА", 50 м</v>
      </c>
      <c r="E6" s="2491"/>
      <c r="F6" s="2492"/>
      <c r="G6" s="2493"/>
      <c r="H6" s="2494"/>
      <c r="I6" s="2495"/>
      <c r="J6" s="486" t="s">
        <v>658</v>
      </c>
      <c r="K6" s="487" t="str">
        <f>'Техническая по возраст группам'!W4</f>
        <v>02-06 декабря 2018 г.</v>
      </c>
    </row>
    <row r="7" spans="1:11" ht="21" customHeight="1" x14ac:dyDescent="0.25">
      <c r="A7" s="488"/>
      <c r="B7" s="488"/>
      <c r="C7" s="488"/>
      <c r="D7" s="489"/>
      <c r="E7" s="490"/>
      <c r="F7" s="490"/>
      <c r="G7" s="490"/>
      <c r="H7" s="490"/>
      <c r="I7" s="490"/>
      <c r="J7" s="490"/>
      <c r="K7" s="490"/>
    </row>
    <row r="8" spans="1:11" ht="51" customHeight="1" x14ac:dyDescent="0.25">
      <c r="A8" s="491" t="s">
        <v>6</v>
      </c>
      <c r="B8" s="2225" t="s">
        <v>659</v>
      </c>
      <c r="C8" s="2471"/>
      <c r="D8" s="2472"/>
      <c r="E8" s="493" t="s">
        <v>660</v>
      </c>
      <c r="F8" s="492" t="s">
        <v>661</v>
      </c>
      <c r="G8" s="493" t="s">
        <v>662</v>
      </c>
      <c r="H8" s="494" t="s">
        <v>663</v>
      </c>
      <c r="I8" s="2225" t="s">
        <v>601</v>
      </c>
      <c r="J8" s="2470"/>
      <c r="K8" s="495" t="s">
        <v>664</v>
      </c>
    </row>
    <row r="9" spans="1:11" s="496" customFormat="1" ht="21" customHeight="1" x14ac:dyDescent="0.25">
      <c r="A9" s="492">
        <v>1</v>
      </c>
      <c r="B9" s="2370" t="str">
        <f>'Техническая по возраст группам'!C21</f>
        <v>Девушки</v>
      </c>
      <c r="C9" s="2468"/>
      <c r="D9" s="640">
        <f>'Техническая по возраст группам'!D21</f>
        <v>0</v>
      </c>
      <c r="E9" s="500">
        <f>'Техническая по возраст группам'!E21</f>
        <v>38019</v>
      </c>
      <c r="F9" s="495" t="str">
        <f>IF('Техническая по возраст группам'!G21="Ж", "спортсменка", IF('Техническая по возраст группам'!G21="М", "спортсмен", "не понятно кто"))</f>
        <v>спортсменка</v>
      </c>
      <c r="G9" s="495" t="str">
        <f ca="1">'Техническая по возраст группам'!H21</f>
        <v>нед-н</v>
      </c>
      <c r="H9" s="495" t="str">
        <f>'Техническая по возраст группам'!B21</f>
        <v>МС</v>
      </c>
      <c r="I9" s="2147" t="str">
        <f>'Техническая по возраст группам'!I21</f>
        <v>Фамилия_1 Имя Отчество</v>
      </c>
      <c r="J9" s="2469"/>
      <c r="K9" s="501"/>
    </row>
    <row r="10" spans="1:11" s="496" customFormat="1" ht="21" customHeight="1" x14ac:dyDescent="0.25">
      <c r="A10" s="492">
        <v>2</v>
      </c>
      <c r="B10" s="2370" t="str">
        <f>'Техническая по возраст группам'!C22</f>
        <v>Девушки</v>
      </c>
      <c r="C10" s="2467"/>
      <c r="D10" s="640" t="str">
        <f>'Техническая по возраст группам'!D22</f>
        <v xml:space="preserve"> </v>
      </c>
      <c r="E10" s="500">
        <f>'Техническая по возраст группам'!E22</f>
        <v>0</v>
      </c>
      <c r="F10" s="495" t="str">
        <f>IF('Техническая по возраст группам'!G22="Ж", "спортсменка", IF('Техническая по возраст группам'!G22="М", "спортсмен", "не понятно кто"))</f>
        <v>спортсменка</v>
      </c>
      <c r="G10" s="495" t="str">
        <f ca="1">'Техническая по возраст группам'!H22</f>
        <v>г.р.???</v>
      </c>
      <c r="H10" s="495" t="str">
        <f>'Техническая по возраст группам'!B22</f>
        <v>КМС</v>
      </c>
      <c r="I10" s="2147" t="str">
        <f>'Техническая по возраст группам'!I22</f>
        <v>Фамилия_1 Имя Отчество</v>
      </c>
      <c r="J10" s="2465"/>
      <c r="K10" s="501"/>
    </row>
    <row r="11" spans="1:11" s="496" customFormat="1" ht="21" customHeight="1" x14ac:dyDescent="0.25">
      <c r="A11" s="492">
        <v>3</v>
      </c>
      <c r="B11" s="2370" t="str">
        <f>'Техническая по возраст группам'!C23</f>
        <v>Девушки</v>
      </c>
      <c r="C11" s="2466"/>
      <c r="D11" s="640" t="str">
        <f>'Техническая по возраст группам'!D23</f>
        <v xml:space="preserve"> </v>
      </c>
      <c r="E11" s="500">
        <f>'Техническая по возраст группам'!E23</f>
        <v>0</v>
      </c>
      <c r="F11" s="495" t="str">
        <f>IF('Техническая по возраст группам'!G23="Ж", "спортсменка", IF('Техническая по возраст группам'!G23="М", "спортсмен", "не понятно кто"))</f>
        <v>спортсменка</v>
      </c>
      <c r="G11" s="495" t="str">
        <f ca="1">'Техническая по возраст группам'!H23</f>
        <v>г.р.???</v>
      </c>
      <c r="H11" s="495" t="str">
        <f>'Техническая по возраст группам'!B23</f>
        <v>I</v>
      </c>
      <c r="I11" s="2147" t="str">
        <f>'Техническая по возраст группам'!I23</f>
        <v>Фамилия_1 Имя Отчество</v>
      </c>
      <c r="J11" s="2464"/>
      <c r="K11" s="501"/>
    </row>
    <row r="12" spans="1:11" s="496" customFormat="1" ht="21" customHeight="1" x14ac:dyDescent="0.25">
      <c r="A12" s="492">
        <v>4</v>
      </c>
      <c r="B12" s="2370" t="str">
        <f>'Техническая по возраст группам'!C24</f>
        <v>Девушки</v>
      </c>
      <c r="C12" s="2473"/>
      <c r="D12" s="640" t="str">
        <f>'Техническая по возраст группам'!D24</f>
        <v xml:space="preserve"> </v>
      </c>
      <c r="E12" s="500">
        <f>'Техническая по возраст группам'!E24</f>
        <v>0</v>
      </c>
      <c r="F12" s="495" t="str">
        <f>IF('Техническая по возраст группам'!G24="Ж", "спортсменка", IF('Техническая по возраст группам'!G24="М", "спортсмен", "не понятно кто"))</f>
        <v>спортсменка</v>
      </c>
      <c r="G12" s="495" t="str">
        <f ca="1">'Техническая по возраст группам'!H24</f>
        <v>г.р.???</v>
      </c>
      <c r="H12" s="495" t="str">
        <f>'Техническая по возраст группам'!B24</f>
        <v>II</v>
      </c>
      <c r="I12" s="2147" t="str">
        <f>'Техническая по возраст группам'!I24</f>
        <v>Фамилия_1 Имя Отчество</v>
      </c>
      <c r="J12" s="2463"/>
      <c r="K12" s="501"/>
    </row>
    <row r="13" spans="1:11" s="496" customFormat="1" ht="21" customHeight="1" x14ac:dyDescent="0.25">
      <c r="A13" s="492">
        <v>5</v>
      </c>
      <c r="B13" s="2370" t="str">
        <f>'Техническая по возраст группам'!C25</f>
        <v>Девушки</v>
      </c>
      <c r="C13" s="2474"/>
      <c r="D13" s="640" t="str">
        <f>'Техническая по возраст группам'!D25</f>
        <v xml:space="preserve"> </v>
      </c>
      <c r="E13" s="500">
        <f>'Техническая по возраст группам'!E25</f>
        <v>0</v>
      </c>
      <c r="F13" s="495" t="str">
        <f>IF('Техническая по возраст группам'!G25="Ж", "спортсменка", IF('Техническая по возраст группам'!G25="М", "спортсмен", "не понятно кто"))</f>
        <v>спортсменка</v>
      </c>
      <c r="G13" s="495" t="str">
        <f ca="1">'Техническая по возраст группам'!H25</f>
        <v>г.р.???</v>
      </c>
      <c r="H13" s="495" t="str">
        <f>'Техническая по возраст группам'!B25</f>
        <v>III</v>
      </c>
      <c r="I13" s="2147" t="str">
        <f>'Техническая по возраст группам'!I25</f>
        <v>Фамилия_1 Имя Отчество</v>
      </c>
      <c r="J13" s="2462"/>
      <c r="K13" s="501"/>
    </row>
    <row r="14" spans="1:11" s="496" customFormat="1" ht="21" customHeight="1" x14ac:dyDescent="0.25">
      <c r="A14" s="492">
        <v>6</v>
      </c>
      <c r="B14" s="2370" t="str">
        <f>'Техническая по возраст группам'!C26</f>
        <v>Девушки</v>
      </c>
      <c r="C14" s="2420"/>
      <c r="D14" s="640" t="str">
        <f>'Техническая по возраст группам'!D26</f>
        <v xml:space="preserve"> </v>
      </c>
      <c r="E14" s="500">
        <f>'Техническая по возраст группам'!E26</f>
        <v>0</v>
      </c>
      <c r="F14" s="495" t="str">
        <f>IF('Техническая по возраст группам'!G26="Ж", "спортсменка", IF('Техническая по возраст группам'!G26="М", "спортсмен", "не понятно кто"))</f>
        <v>спортсменка</v>
      </c>
      <c r="G14" s="495" t="str">
        <f ca="1">'Техническая по возраст группам'!H26</f>
        <v>г.р.???</v>
      </c>
      <c r="H14" s="495" t="str">
        <f>'Техническая по возраст группам'!B26</f>
        <v>I юн</v>
      </c>
      <c r="I14" s="2147" t="str">
        <f>'Техническая по возраст группам'!I26</f>
        <v>Фамилия_1 Имя Отчество</v>
      </c>
      <c r="J14" s="2411"/>
      <c r="K14" s="501"/>
    </row>
    <row r="15" spans="1:11" s="496" customFormat="1" ht="21" customHeight="1" x14ac:dyDescent="0.25">
      <c r="A15" s="492">
        <v>7</v>
      </c>
      <c r="B15" s="2370" t="str">
        <f>'Техническая по возраст группам'!C27</f>
        <v>Девушки</v>
      </c>
      <c r="C15" s="2415"/>
      <c r="D15" s="640" t="str">
        <f>'Техническая по возраст группам'!D27</f>
        <v xml:space="preserve"> </v>
      </c>
      <c r="E15" s="500">
        <f>'Техническая по возраст группам'!E27</f>
        <v>0</v>
      </c>
      <c r="F15" s="495" t="str">
        <f>IF('Техническая по возраст группам'!G27="Ж", "спортсменка", IF('Техническая по возраст группам'!G27="М", "спортсмен", "не понятно кто"))</f>
        <v>спортсменка</v>
      </c>
      <c r="G15" s="495" t="str">
        <f ca="1">'Техническая по возраст группам'!H27</f>
        <v>г.р.???</v>
      </c>
      <c r="H15" s="495" t="str">
        <f>'Техническая по возраст группам'!B27</f>
        <v>II юн</v>
      </c>
      <c r="I15" s="2147" t="str">
        <f>'Техническая по возраст группам'!I27</f>
        <v>Фамилия_1 Имя Отчество</v>
      </c>
      <c r="J15" s="2410"/>
      <c r="K15" s="501"/>
    </row>
    <row r="16" spans="1:11" s="496" customFormat="1" ht="21" customHeight="1" x14ac:dyDescent="0.25">
      <c r="A16" s="492">
        <v>8</v>
      </c>
      <c r="B16" s="2370" t="str">
        <f>'Техническая по возраст группам'!C28</f>
        <v>Девушки</v>
      </c>
      <c r="C16" s="2416"/>
      <c r="D16" s="640" t="str">
        <f>'Техническая по возраст группам'!D28</f>
        <v xml:space="preserve"> </v>
      </c>
      <c r="E16" s="500">
        <f>'Техническая по возраст группам'!E28</f>
        <v>0</v>
      </c>
      <c r="F16" s="495" t="str">
        <f>IF('Техническая по возраст группам'!G28="Ж", "спортсменка", IF('Техническая по возраст группам'!G28="М", "спортсмен", "не понятно кто"))</f>
        <v>спортсменка</v>
      </c>
      <c r="G16" s="495" t="str">
        <f ca="1">'Техническая по возраст группам'!H28</f>
        <v>г.р.???</v>
      </c>
      <c r="H16" s="495" t="str">
        <f>'Техническая по возраст группам'!B28</f>
        <v>III юн</v>
      </c>
      <c r="I16" s="2147" t="str">
        <f>'Техническая по возраст группам'!I28</f>
        <v>Фамилия_1 Имя Отчество</v>
      </c>
      <c r="J16" s="2409"/>
      <c r="K16" s="501"/>
    </row>
    <row r="17" spans="1:11" s="496" customFormat="1" ht="21" customHeight="1" x14ac:dyDescent="0.25">
      <c r="A17" s="492">
        <v>9</v>
      </c>
      <c r="B17" s="2370" t="str">
        <f>'Техническая по возраст группам'!C29</f>
        <v>Девушки</v>
      </c>
      <c r="C17" s="2418"/>
      <c r="D17" s="640" t="str">
        <f>'Техническая по возраст группам'!D29</f>
        <v xml:space="preserve"> </v>
      </c>
      <c r="E17" s="500">
        <f>'Техническая по возраст группам'!E29</f>
        <v>0</v>
      </c>
      <c r="F17" s="495" t="str">
        <f>IF('Техническая по возраст группам'!G29="Ж", "спортсменка", IF('Техническая по возраст группам'!G29="М", "спортсмен", "не понятно кто"))</f>
        <v>спортсменка</v>
      </c>
      <c r="G17" s="495" t="str">
        <f ca="1">'Техническая по возраст группам'!H29</f>
        <v>г.р.???</v>
      </c>
      <c r="H17" s="495" t="str">
        <f>'Техническая по возраст группам'!B29</f>
        <v>III</v>
      </c>
      <c r="I17" s="2147" t="str">
        <f>'Техническая по возраст группам'!I29</f>
        <v>Фамилия_1 Имя Отчество</v>
      </c>
      <c r="J17" s="2408"/>
      <c r="K17" s="501"/>
    </row>
    <row r="18" spans="1:11" s="496" customFormat="1" ht="21" customHeight="1" x14ac:dyDescent="0.25">
      <c r="A18" s="492">
        <v>10</v>
      </c>
      <c r="B18" s="2370" t="str">
        <f>'Техническая по возраст группам'!C30</f>
        <v>Девушки</v>
      </c>
      <c r="C18" s="2417"/>
      <c r="D18" s="640" t="str">
        <f>'Техническая по возраст группам'!D30</f>
        <v xml:space="preserve"> </v>
      </c>
      <c r="E18" s="500">
        <f>'Техническая по возраст группам'!E30</f>
        <v>0</v>
      </c>
      <c r="F18" s="495" t="str">
        <f>IF('Техническая по возраст группам'!G30="Ж", "спортсменка", IF('Техническая по возраст группам'!G30="М", "спортсмен", "не понятно кто"))</f>
        <v>спортсменка</v>
      </c>
      <c r="G18" s="495" t="str">
        <f ca="1">'Техническая по возраст группам'!H30</f>
        <v>г.р.???</v>
      </c>
      <c r="H18" s="495" t="str">
        <f>'Техническая по возраст группам'!B30</f>
        <v>I</v>
      </c>
      <c r="I18" s="2147" t="str">
        <f>'Техническая по возраст группам'!I30</f>
        <v>Фамилия_1 Имя Отчество</v>
      </c>
      <c r="J18" s="2407"/>
      <c r="K18" s="501"/>
    </row>
    <row r="19" spans="1:11" s="496" customFormat="1" ht="21" customHeight="1" x14ac:dyDescent="0.25">
      <c r="A19" s="492">
        <v>11</v>
      </c>
      <c r="B19" s="2370" t="str">
        <f>'Техническая по возраст группам'!C31</f>
        <v>Девушки</v>
      </c>
      <c r="C19" s="2419"/>
      <c r="D19" s="640" t="str">
        <f>'Техническая по возраст группам'!D31</f>
        <v xml:space="preserve"> </v>
      </c>
      <c r="E19" s="500">
        <f>'Техническая по возраст группам'!E31</f>
        <v>0</v>
      </c>
      <c r="F19" s="495" t="str">
        <f>IF('Техническая по возраст группам'!G31="Ж", "спортсменка", IF('Техническая по возраст группам'!G31="М", "спортсмен", "не понятно кто"))</f>
        <v>спортсменка</v>
      </c>
      <c r="G19" s="495" t="str">
        <f ca="1">'Техническая по возраст группам'!H31</f>
        <v>г.р.???</v>
      </c>
      <c r="H19" s="495" t="str">
        <f>'Техническая по возраст группам'!B31</f>
        <v>I юн</v>
      </c>
      <c r="I19" s="2147" t="str">
        <f>'Техническая по возраст группам'!I31</f>
        <v>Фамилия_1 Имя Отчество</v>
      </c>
      <c r="J19" s="2406"/>
      <c r="K19" s="501"/>
    </row>
    <row r="20" spans="1:11" s="496" customFormat="1" ht="21" customHeight="1" x14ac:dyDescent="0.25">
      <c r="A20" s="492">
        <v>12</v>
      </c>
      <c r="B20" s="2370" t="str">
        <f>'Техническая по возраст группам'!C32</f>
        <v>Девушки</v>
      </c>
      <c r="C20" s="2459"/>
      <c r="D20" s="640" t="str">
        <f>'Техническая по возраст группам'!D32</f>
        <v xml:space="preserve"> </v>
      </c>
      <c r="E20" s="500">
        <f>'Техническая по возраст группам'!E32</f>
        <v>0</v>
      </c>
      <c r="F20" s="495" t="str">
        <f>IF('Техническая по возраст группам'!G32="Ж", "спортсменка", IF('Техническая по возраст группам'!G32="М", "спортсмен", "не понятно кто"))</f>
        <v>спортсменка</v>
      </c>
      <c r="G20" s="495" t="str">
        <f ca="1">'Техническая по возраст группам'!H32</f>
        <v>г.р.???</v>
      </c>
      <c r="H20" s="495" t="str">
        <f>'Техническая по возраст группам'!B32</f>
        <v>МС</v>
      </c>
      <c r="I20" s="2147" t="str">
        <f>'Техническая по возраст группам'!I32</f>
        <v>Фамилия_1 Имя Отчество</v>
      </c>
      <c r="J20" s="2405"/>
      <c r="K20" s="501"/>
    </row>
    <row r="21" spans="1:11" s="496" customFormat="1" ht="21" customHeight="1" x14ac:dyDescent="0.25">
      <c r="A21" s="492">
        <v>13</v>
      </c>
      <c r="B21" s="2370" t="str">
        <f>'Техническая по возраст группам'!C33</f>
        <v>Девушки</v>
      </c>
      <c r="C21" s="2458"/>
      <c r="D21" s="640" t="str">
        <f>'Техническая по возраст группам'!D33</f>
        <v xml:space="preserve"> </v>
      </c>
      <c r="E21" s="500">
        <f>'Техническая по возраст группам'!E33</f>
        <v>0</v>
      </c>
      <c r="F21" s="495" t="str">
        <f>IF('Техническая по возраст группам'!G33="Ж", "спортсменка", IF('Техническая по возраст группам'!G33="М", "спортсмен", "не понятно кто"))</f>
        <v>спортсменка</v>
      </c>
      <c r="G21" s="495" t="str">
        <f ca="1">'Техническая по возраст группам'!H33</f>
        <v>г.р.???</v>
      </c>
      <c r="H21" s="495" t="str">
        <f>'Техническая по возраст группам'!B33</f>
        <v>КМС</v>
      </c>
      <c r="I21" s="2147" t="str">
        <f>'Техническая по возраст группам'!I33</f>
        <v>Фамилия_1 Имя Отчество</v>
      </c>
      <c r="J21" s="2404"/>
      <c r="K21" s="501"/>
    </row>
    <row r="22" spans="1:11" s="496" customFormat="1" ht="21" customHeight="1" x14ac:dyDescent="0.25">
      <c r="A22" s="492">
        <v>14</v>
      </c>
      <c r="B22" s="2370" t="str">
        <f>'Техническая по возраст группам'!C34</f>
        <v>Девушки</v>
      </c>
      <c r="C22" s="2457"/>
      <c r="D22" s="640" t="str">
        <f>'Техническая по возраст группам'!D34</f>
        <v xml:space="preserve"> </v>
      </c>
      <c r="E22" s="500">
        <f>'Техническая по возраст группам'!E34</f>
        <v>0</v>
      </c>
      <c r="F22" s="495" t="str">
        <f>IF('Техническая по возраст группам'!G34="Ж", "спортсменка", IF('Техническая по возраст группам'!G34="М", "спортсмен", "не понятно кто"))</f>
        <v>спортсменка</v>
      </c>
      <c r="G22" s="495" t="str">
        <f ca="1">'Техническая по возраст группам'!H34</f>
        <v>г.р.???</v>
      </c>
      <c r="H22" s="495" t="str">
        <f>'Техническая по возраст группам'!B34</f>
        <v>I</v>
      </c>
      <c r="I22" s="2147" t="str">
        <f>'Техническая по возраст группам'!I34</f>
        <v>Фамилия_1 Имя Отчество</v>
      </c>
      <c r="J22" s="2403"/>
      <c r="K22" s="501"/>
    </row>
    <row r="23" spans="1:11" s="496" customFormat="1" ht="21" customHeight="1" x14ac:dyDescent="0.25">
      <c r="A23" s="492">
        <v>15</v>
      </c>
      <c r="B23" s="2370" t="str">
        <f>'Техническая по возраст группам'!C35</f>
        <v>Девушки</v>
      </c>
      <c r="C23" s="2456"/>
      <c r="D23" s="640" t="str">
        <f>'Техническая по возраст группам'!D35</f>
        <v xml:space="preserve"> </v>
      </c>
      <c r="E23" s="500">
        <f>'Техническая по возраст группам'!E35</f>
        <v>0</v>
      </c>
      <c r="F23" s="495" t="str">
        <f>IF('Техническая по возраст группам'!G35="Ж", "спортсменка", IF('Техническая по возраст группам'!G35="М", "спортсмен", "не понятно кто"))</f>
        <v>спортсменка</v>
      </c>
      <c r="G23" s="495" t="str">
        <f ca="1">'Техническая по возраст группам'!H35</f>
        <v>г.р.???</v>
      </c>
      <c r="H23" s="495" t="str">
        <f>'Техническая по возраст группам'!B35</f>
        <v>II</v>
      </c>
      <c r="I23" s="2147" t="str">
        <f>'Техническая по возраст группам'!I35</f>
        <v>Фамилия_1 Имя Отчество</v>
      </c>
      <c r="J23" s="2402"/>
      <c r="K23" s="501"/>
    </row>
    <row r="24" spans="1:11" s="496" customFormat="1" ht="21" customHeight="1" x14ac:dyDescent="0.25">
      <c r="A24" s="492">
        <v>16</v>
      </c>
      <c r="B24" s="2370" t="str">
        <f>'Техническая по возраст группам'!C36</f>
        <v>Девушки</v>
      </c>
      <c r="C24" s="2455"/>
      <c r="D24" s="640" t="str">
        <f>'Техническая по возраст группам'!D36</f>
        <v xml:space="preserve"> </v>
      </c>
      <c r="E24" s="500">
        <f>'Техническая по возраст группам'!E36</f>
        <v>0</v>
      </c>
      <c r="F24" s="495" t="str">
        <f>IF('Техническая по возраст группам'!G36="Ж", "спортсменка", IF('Техническая по возраст группам'!G36="М", "спортсмен", "не понятно кто"))</f>
        <v>спортсменка</v>
      </c>
      <c r="G24" s="495" t="str">
        <f ca="1">'Техническая по возраст группам'!H36</f>
        <v>г.р.???</v>
      </c>
      <c r="H24" s="495" t="str">
        <f>'Техническая по возраст группам'!B36</f>
        <v>II</v>
      </c>
      <c r="I24" s="2147" t="str">
        <f>'Техническая по возраст группам'!I36</f>
        <v>Фамилия_1 Имя Отчество</v>
      </c>
      <c r="J24" s="2401"/>
      <c r="K24" s="501"/>
    </row>
    <row r="25" spans="1:11" s="496" customFormat="1" ht="21" customHeight="1" x14ac:dyDescent="0.25">
      <c r="A25" s="492">
        <v>17</v>
      </c>
      <c r="B25" s="2370" t="str">
        <f>'Техническая по возраст группам'!C37</f>
        <v>Девушки</v>
      </c>
      <c r="C25" s="2454"/>
      <c r="D25" s="640" t="str">
        <f>'Техническая по возраст группам'!D37</f>
        <v xml:space="preserve"> </v>
      </c>
      <c r="E25" s="500">
        <f>'Техническая по возраст группам'!E37</f>
        <v>0</v>
      </c>
      <c r="F25" s="495" t="str">
        <f>IF('Техническая по возраст группам'!G37="Ж", "спортсменка", IF('Техническая по возраст группам'!G37="М", "спортсмен", "не понятно кто"))</f>
        <v>спортсменка</v>
      </c>
      <c r="G25" s="495" t="str">
        <f ca="1">'Техническая по возраст группам'!H37</f>
        <v>г.р.???</v>
      </c>
      <c r="H25" s="495" t="str">
        <f>'Техническая по возраст группам'!B37</f>
        <v>II</v>
      </c>
      <c r="I25" s="2147" t="str">
        <f>'Техническая по возраст группам'!I37</f>
        <v>Фамилия_1 Имя Отчество</v>
      </c>
      <c r="J25" s="2400"/>
      <c r="K25" s="501"/>
    </row>
    <row r="26" spans="1:11" s="496" customFormat="1" ht="21" customHeight="1" x14ac:dyDescent="0.25">
      <c r="A26" s="492">
        <v>18</v>
      </c>
      <c r="B26" s="2370" t="str">
        <f>'Техническая по возраст группам'!C38</f>
        <v>Девушки</v>
      </c>
      <c r="C26" s="2450"/>
      <c r="D26" s="640" t="str">
        <f>'Техническая по возраст группам'!D38</f>
        <v xml:space="preserve"> </v>
      </c>
      <c r="E26" s="500">
        <f>'Техническая по возраст группам'!E38</f>
        <v>0</v>
      </c>
      <c r="F26" s="495" t="str">
        <f>IF('Техническая по возраст группам'!G38="Ж", "спортсменка", IF('Техническая по возраст группам'!G38="М", "спортсмен", "не понятно кто"))</f>
        <v>спортсменка</v>
      </c>
      <c r="G26" s="495" t="str">
        <f ca="1">'Техническая по возраст группам'!H38</f>
        <v>г.р.???</v>
      </c>
      <c r="H26" s="495" t="str">
        <f>'Техническая по возраст группам'!B38</f>
        <v>II</v>
      </c>
      <c r="I26" s="2147" t="str">
        <f>'Техническая по возраст группам'!I38</f>
        <v>Фамилия_1 Имя Отчество</v>
      </c>
      <c r="J26" s="2399"/>
      <c r="K26" s="501"/>
    </row>
    <row r="27" spans="1:11" s="496" customFormat="1" ht="21" customHeight="1" x14ac:dyDescent="0.25">
      <c r="A27" s="492">
        <v>19</v>
      </c>
      <c r="B27" s="2370" t="str">
        <f>'Техническая по возраст группам'!C39</f>
        <v>Девушки</v>
      </c>
      <c r="C27" s="2460"/>
      <c r="D27" s="640" t="str">
        <f>'Техническая по возраст группам'!D39</f>
        <v xml:space="preserve"> </v>
      </c>
      <c r="E27" s="500">
        <f>'Техническая по возраст группам'!E39</f>
        <v>0</v>
      </c>
      <c r="F27" s="495" t="str">
        <f>IF('Техническая по возраст группам'!G39="Ж", "спортсменка", IF('Техническая по возраст группам'!G39="М", "спортсмен", "не понятно кто"))</f>
        <v>спортсменка</v>
      </c>
      <c r="G27" s="495" t="str">
        <f ca="1">'Техническая по возраст группам'!H39</f>
        <v>г.р.???</v>
      </c>
      <c r="H27" s="495" t="str">
        <f>'Техническая по возраст группам'!B39</f>
        <v>II</v>
      </c>
      <c r="I27" s="2147" t="str">
        <f>'Техническая по возраст группам'!I39</f>
        <v>Фамилия_1 Имя Отчество</v>
      </c>
      <c r="J27" s="2412"/>
      <c r="K27" s="501"/>
    </row>
    <row r="28" spans="1:11" s="496" customFormat="1" ht="21" customHeight="1" x14ac:dyDescent="0.25">
      <c r="A28" s="492">
        <v>20</v>
      </c>
      <c r="B28" s="2370" t="str">
        <f>'Техническая по возраст группам'!C40</f>
        <v>Девушки</v>
      </c>
      <c r="C28" s="2461"/>
      <c r="D28" s="640" t="str">
        <f>'Техническая по возраст группам'!D40</f>
        <v xml:space="preserve"> </v>
      </c>
      <c r="E28" s="500">
        <f>'Техническая по возраст группам'!E40</f>
        <v>0</v>
      </c>
      <c r="F28" s="495" t="str">
        <f>IF('Техническая по возраст группам'!G40="Ж", "спортсменка", IF('Техническая по возраст группам'!G40="М", "спортсмен", "не понятно кто"))</f>
        <v>спортсменка</v>
      </c>
      <c r="G28" s="495" t="str">
        <f ca="1">'Техническая по возраст группам'!H40</f>
        <v>г.р.???</v>
      </c>
      <c r="H28" s="495" t="str">
        <f>'Техническая по возраст группам'!B40</f>
        <v>II</v>
      </c>
      <c r="I28" s="2147" t="str">
        <f>'Техническая по возраст группам'!I40</f>
        <v>Фамилия_1 Имя Отчество</v>
      </c>
      <c r="J28" s="2413"/>
      <c r="K28" s="501"/>
    </row>
    <row r="29" spans="1:11" s="496" customFormat="1" ht="21" customHeight="1" x14ac:dyDescent="0.25">
      <c r="A29" s="492">
        <v>21</v>
      </c>
      <c r="B29" s="2370" t="str">
        <f>'Техническая по возраст группам'!C41</f>
        <v>Девушки</v>
      </c>
      <c r="C29" s="2453"/>
      <c r="D29" s="640" t="str">
        <f>'Техническая по возраст группам'!D41</f>
        <v xml:space="preserve"> </v>
      </c>
      <c r="E29" s="500">
        <f>'Техническая по возраст группам'!E41</f>
        <v>0</v>
      </c>
      <c r="F29" s="495" t="str">
        <f>IF('Техническая по возраст группам'!G41="Ж", "спортсменка", IF('Техническая по возраст группам'!G41="М", "спортсмен", "не понятно кто"))</f>
        <v>спортсменка</v>
      </c>
      <c r="G29" s="495" t="str">
        <f ca="1">'Техническая по возраст группам'!H41</f>
        <v>г.р.???</v>
      </c>
      <c r="H29" s="495" t="str">
        <f>'Техническая по возраст группам'!B41</f>
        <v>II</v>
      </c>
      <c r="I29" s="2147" t="str">
        <f>'Техническая по возраст группам'!I41</f>
        <v>Фамилия_1 Имя Отчество</v>
      </c>
      <c r="J29" s="2414"/>
      <c r="K29" s="501"/>
    </row>
    <row r="30" spans="1:11" s="496" customFormat="1" ht="21" customHeight="1" x14ac:dyDescent="0.25">
      <c r="A30" s="492">
        <v>22</v>
      </c>
      <c r="B30" s="2370" t="str">
        <f>'Техническая по возраст группам'!C42</f>
        <v>Девушки</v>
      </c>
      <c r="C30" s="2452"/>
      <c r="D30" s="640" t="str">
        <f>'Техническая по возраст группам'!D42</f>
        <v xml:space="preserve"> </v>
      </c>
      <c r="E30" s="500">
        <f>'Техническая по возраст группам'!E42</f>
        <v>0</v>
      </c>
      <c r="F30" s="495" t="str">
        <f>IF('Техническая по возраст группам'!G42="Ж", "спортсменка", IF('Техническая по возраст группам'!G42="М", "спортсмен", "не понятно кто"))</f>
        <v>спортсменка</v>
      </c>
      <c r="G30" s="495" t="str">
        <f ca="1">'Техническая по возраст группам'!H42</f>
        <v>г.р.???</v>
      </c>
      <c r="H30" s="495" t="str">
        <f>'Техническая по возраст группам'!B42</f>
        <v>I юн</v>
      </c>
      <c r="I30" s="2147" t="str">
        <f>'Техническая по возраст группам'!I42</f>
        <v>Фамилия_1 Имя Отчество</v>
      </c>
      <c r="J30" s="2449"/>
      <c r="K30" s="501"/>
    </row>
    <row r="31" spans="1:11" s="496" customFormat="1" ht="21" customHeight="1" x14ac:dyDescent="0.25">
      <c r="A31" s="492">
        <v>23</v>
      </c>
      <c r="B31" s="2370" t="str">
        <f>'Техническая по возраст группам'!C43</f>
        <v>Девушки</v>
      </c>
      <c r="C31" s="2451"/>
      <c r="D31" s="640" t="str">
        <f>'Техническая по возраст группам'!D43</f>
        <v xml:space="preserve"> </v>
      </c>
      <c r="E31" s="500">
        <f>'Техническая по возраст группам'!E43</f>
        <v>0</v>
      </c>
      <c r="F31" s="495" t="str">
        <f>IF('Техническая по возраст группам'!G43="Ж", "спортсменка", IF('Техническая по возраст группам'!G43="М", "спортсмен", "не понятно кто"))</f>
        <v>спортсменка</v>
      </c>
      <c r="G31" s="495" t="str">
        <f ca="1">'Техническая по возраст группам'!H43</f>
        <v>г.р.???</v>
      </c>
      <c r="H31" s="495" t="str">
        <f>'Техническая по возраст группам'!B43</f>
        <v>МС</v>
      </c>
      <c r="I31" s="2147" t="str">
        <f>'Техническая по возраст группам'!I43</f>
        <v>Фамилия_1 Имя Отчество</v>
      </c>
      <c r="J31" s="2448"/>
      <c r="K31" s="501"/>
    </row>
    <row r="32" spans="1:11" s="496" customFormat="1" ht="21" customHeight="1" x14ac:dyDescent="0.25">
      <c r="A32" s="492">
        <v>24</v>
      </c>
      <c r="B32" s="2370" t="str">
        <f>'Техническая по возраст группам'!C44</f>
        <v>Девушки</v>
      </c>
      <c r="C32" s="2398"/>
      <c r="D32" s="640" t="str">
        <f>'Техническая по возраст группам'!D44</f>
        <v xml:space="preserve"> </v>
      </c>
      <c r="E32" s="500">
        <f>'Техническая по возраст группам'!E44</f>
        <v>0</v>
      </c>
      <c r="F32" s="495" t="str">
        <f>IF('Техническая по возраст группам'!G44="Ж", "спортсменка", IF('Техническая по возраст группам'!G44="М", "спортсмен", "не понятно кто"))</f>
        <v>спортсменка</v>
      </c>
      <c r="G32" s="495" t="str">
        <f ca="1">'Техническая по возраст группам'!H44</f>
        <v>г.р.???</v>
      </c>
      <c r="H32" s="495" t="str">
        <f>'Техническая по возраст группам'!B44</f>
        <v>I</v>
      </c>
      <c r="I32" s="2147" t="str">
        <f>'Техническая по возраст группам'!I44</f>
        <v>Фамилия_1 Имя Отчество</v>
      </c>
      <c r="J32" s="2443"/>
      <c r="K32" s="501"/>
    </row>
    <row r="33" spans="1:11" s="496" customFormat="1" ht="21" customHeight="1" x14ac:dyDescent="0.25">
      <c r="A33" s="492">
        <v>25</v>
      </c>
      <c r="B33" s="2370" t="str">
        <f>'Техническая по возраст группам'!C45</f>
        <v>Девушки</v>
      </c>
      <c r="C33" s="2397"/>
      <c r="D33" s="640" t="str">
        <f>'Техническая по возраст группам'!D45</f>
        <v xml:space="preserve"> </v>
      </c>
      <c r="E33" s="500">
        <f>'Техническая по возраст группам'!E45</f>
        <v>0</v>
      </c>
      <c r="F33" s="495" t="str">
        <f>IF('Техническая по возраст группам'!G45="Ж", "спортсменка", IF('Техническая по возраст группам'!G45="М", "спортсмен", "не понятно кто"))</f>
        <v>спортсменка</v>
      </c>
      <c r="G33" s="495" t="str">
        <f ca="1">'Техническая по возраст группам'!H45</f>
        <v>г.р.???</v>
      </c>
      <c r="H33" s="495" t="str">
        <f>'Техническая по возраст группам'!B45</f>
        <v>II</v>
      </c>
      <c r="I33" s="2147" t="str">
        <f>'Техническая по возраст группам'!I45</f>
        <v>Фамилия_1 Имя Отчество</v>
      </c>
      <c r="J33" s="2444"/>
      <c r="K33" s="501"/>
    </row>
    <row r="34" spans="1:11" s="496" customFormat="1" ht="21" customHeight="1" x14ac:dyDescent="0.25">
      <c r="A34" s="492">
        <v>26</v>
      </c>
      <c r="B34" s="2370" t="str">
        <f>'Техническая по возраст группам'!C46</f>
        <v>Юноши</v>
      </c>
      <c r="C34" s="2396"/>
      <c r="D34" s="640" t="str">
        <f>'Техническая по возраст группам'!D46</f>
        <v xml:space="preserve"> </v>
      </c>
      <c r="E34" s="500">
        <f>'Техническая по возраст группам'!E46</f>
        <v>0</v>
      </c>
      <c r="F34" s="495" t="str">
        <f>IF('Техническая по возраст группам'!G46="Ж", "спортсменка", IF('Техническая по возраст группам'!G46="М", "спортсмен", "не понятно кто"))</f>
        <v>спортсмен</v>
      </c>
      <c r="G34" s="495" t="str">
        <f ca="1">'Техническая по возраст группам'!H46</f>
        <v>г.р.???</v>
      </c>
      <c r="H34" s="495" t="str">
        <f>'Техническая по возраст группам'!B46</f>
        <v>III юн</v>
      </c>
      <c r="I34" s="2147" t="str">
        <f>'Техническая по возраст группам'!I46</f>
        <v>Фамилия_1 Имя Отчество</v>
      </c>
      <c r="J34" s="2445"/>
      <c r="K34" s="501"/>
    </row>
    <row r="35" spans="1:11" s="496" customFormat="1" ht="21" customHeight="1" x14ac:dyDescent="0.25">
      <c r="A35" s="492">
        <v>27</v>
      </c>
      <c r="B35" s="2370" t="str">
        <f>'Техническая по возраст группам'!C47</f>
        <v>Юноши</v>
      </c>
      <c r="C35" s="2395"/>
      <c r="D35" s="640" t="str">
        <f>'Техническая по возраст группам'!D47</f>
        <v xml:space="preserve"> </v>
      </c>
      <c r="E35" s="500">
        <f>'Техническая по возраст группам'!E47</f>
        <v>0</v>
      </c>
      <c r="F35" s="495" t="str">
        <f>IF('Техническая по возраст группам'!G47="Ж", "спортсменка", IF('Техническая по возраст группам'!G47="М", "спортсмен", "не понятно кто"))</f>
        <v>спортсмен</v>
      </c>
      <c r="G35" s="495" t="str">
        <f ca="1">'Техническая по возраст группам'!H47</f>
        <v>г.р.???</v>
      </c>
      <c r="H35" s="495" t="str">
        <f>'Техническая по возраст группам'!B47</f>
        <v>II</v>
      </c>
      <c r="I35" s="2147" t="str">
        <f>'Техническая по возраст группам'!I47</f>
        <v>Фамилия_1 Имя Отчество</v>
      </c>
      <c r="J35" s="2446"/>
      <c r="K35" s="501"/>
    </row>
    <row r="36" spans="1:11" s="496" customFormat="1" ht="21" customHeight="1" x14ac:dyDescent="0.25">
      <c r="A36" s="492">
        <v>28</v>
      </c>
      <c r="B36" s="2370" t="str">
        <f>'Техническая по возраст группам'!C48</f>
        <v>Юноши</v>
      </c>
      <c r="C36" s="2394"/>
      <c r="D36" s="640" t="str">
        <f>'Техническая по возраст группам'!D48</f>
        <v xml:space="preserve"> </v>
      </c>
      <c r="E36" s="500">
        <f>'Техническая по возраст группам'!E48</f>
        <v>0</v>
      </c>
      <c r="F36" s="495" t="str">
        <f>IF('Техническая по возраст группам'!G48="Ж", "спортсменка", IF('Техническая по возраст группам'!G48="М", "спортсмен", "не понятно кто"))</f>
        <v>спортсмен</v>
      </c>
      <c r="G36" s="495" t="str">
        <f ca="1">'Техническая по возраст группам'!H48</f>
        <v>г.р.???</v>
      </c>
      <c r="H36" s="495" t="str">
        <f>'Техническая по возраст группам'!B48</f>
        <v>II</v>
      </c>
      <c r="I36" s="2147" t="str">
        <f>'Техническая по возраст группам'!I48</f>
        <v>Фамилия_1 Имя Отчество</v>
      </c>
      <c r="J36" s="2447"/>
      <c r="K36" s="501"/>
    </row>
    <row r="37" spans="1:11" s="496" customFormat="1" ht="21" customHeight="1" x14ac:dyDescent="0.25">
      <c r="A37" s="492">
        <v>29</v>
      </c>
      <c r="B37" s="2370" t="str">
        <f>'Техническая по возраст группам'!C49</f>
        <v>Юноши</v>
      </c>
      <c r="C37" s="2393"/>
      <c r="D37" s="640" t="str">
        <f>'Техническая по возраст группам'!D49</f>
        <v xml:space="preserve"> </v>
      </c>
      <c r="E37" s="500">
        <f>'Техническая по возраст группам'!E49</f>
        <v>0</v>
      </c>
      <c r="F37" s="495" t="str">
        <f>IF('Техническая по возраст группам'!G49="Ж", "спортсменка", IF('Техническая по возраст группам'!G49="М", "спортсмен", "не понятно кто"))</f>
        <v>спортсмен</v>
      </c>
      <c r="G37" s="495" t="str">
        <f ca="1">'Техническая по возраст группам'!H49</f>
        <v>г.р.???</v>
      </c>
      <c r="H37" s="495" t="str">
        <f>'Техническая по возраст группам'!B49</f>
        <v>II</v>
      </c>
      <c r="I37" s="2147" t="str">
        <f>'Техническая по возраст группам'!I49</f>
        <v>Фамилия_1 Имя Отчество</v>
      </c>
      <c r="J37" s="2434"/>
      <c r="K37" s="501"/>
    </row>
    <row r="38" spans="1:11" s="496" customFormat="1" ht="21" customHeight="1" x14ac:dyDescent="0.25">
      <c r="A38" s="492">
        <v>30</v>
      </c>
      <c r="B38" s="2370" t="str">
        <f>'Техническая по возраст группам'!C50</f>
        <v>Юноши</v>
      </c>
      <c r="C38" s="2392"/>
      <c r="D38" s="640" t="str">
        <f>'Техническая по возраст группам'!D50</f>
        <v xml:space="preserve"> </v>
      </c>
      <c r="E38" s="500">
        <f>'Техническая по возраст группам'!E50</f>
        <v>0</v>
      </c>
      <c r="F38" s="495" t="str">
        <f>IF('Техническая по возраст группам'!G50="Ж", "спортсменка", IF('Техническая по возраст группам'!G50="М", "спортсмен", "не понятно кто"))</f>
        <v>спортсмен</v>
      </c>
      <c r="G38" s="495" t="str">
        <f ca="1">'Техническая по возраст группам'!H50</f>
        <v>г.р.???</v>
      </c>
      <c r="H38" s="495" t="str">
        <f>'Техническая по возраст группам'!B50</f>
        <v>II</v>
      </c>
      <c r="I38" s="2147" t="str">
        <f>'Техническая по возраст группам'!I50</f>
        <v>Фамилия_1 Имя Отчество</v>
      </c>
      <c r="J38" s="2435"/>
      <c r="K38" s="501"/>
    </row>
    <row r="39" spans="1:11" s="496" customFormat="1" ht="21" customHeight="1" x14ac:dyDescent="0.25">
      <c r="A39" s="492">
        <v>31</v>
      </c>
      <c r="B39" s="2370" t="str">
        <f>'Техническая по возраст группам'!C51</f>
        <v>Юноши</v>
      </c>
      <c r="C39" s="2391"/>
      <c r="D39" s="640" t="str">
        <f>'Техническая по возраст группам'!D51</f>
        <v xml:space="preserve"> </v>
      </c>
      <c r="E39" s="500">
        <f>'Техническая по возраст группам'!E51</f>
        <v>0</v>
      </c>
      <c r="F39" s="495" t="str">
        <f>IF('Техническая по возраст группам'!G51="Ж", "спортсменка", IF('Техническая по возраст группам'!G51="М", "спортсмен", "не понятно кто"))</f>
        <v>спортсмен</v>
      </c>
      <c r="G39" s="495" t="str">
        <f ca="1">'Техническая по возраст группам'!H51</f>
        <v>г.р.???</v>
      </c>
      <c r="H39" s="495" t="str">
        <f>'Техническая по возраст группам'!B51</f>
        <v>II</v>
      </c>
      <c r="I39" s="2147" t="str">
        <f>'Техническая по возраст группам'!I51</f>
        <v>Фамилия_1 Имя Отчество</v>
      </c>
      <c r="J39" s="2436"/>
      <c r="K39" s="501"/>
    </row>
    <row r="40" spans="1:11" s="496" customFormat="1" ht="21" customHeight="1" x14ac:dyDescent="0.25">
      <c r="A40" s="492">
        <v>32</v>
      </c>
      <c r="B40" s="2370" t="str">
        <f>'Техническая по возраст группам'!C52</f>
        <v>Юноши</v>
      </c>
      <c r="C40" s="2390"/>
      <c r="D40" s="640" t="str">
        <f>'Техническая по возраст группам'!D52</f>
        <v xml:space="preserve"> </v>
      </c>
      <c r="E40" s="500">
        <f>'Техническая по возраст группам'!E52</f>
        <v>0</v>
      </c>
      <c r="F40" s="495" t="str">
        <f>IF('Техническая по возраст группам'!G52="Ж", "спортсменка", IF('Техническая по возраст группам'!G52="М", "спортсмен", "не понятно кто"))</f>
        <v>спортсмен</v>
      </c>
      <c r="G40" s="495" t="str">
        <f ca="1">'Техническая по возраст группам'!H52</f>
        <v>г.р.???</v>
      </c>
      <c r="H40" s="495" t="str">
        <f>'Техническая по возраст группам'!B52</f>
        <v>II</v>
      </c>
      <c r="I40" s="2147" t="str">
        <f>'Техническая по возраст группам'!I52</f>
        <v>Фамилия_1 Имя Отчество</v>
      </c>
      <c r="J40" s="2438"/>
      <c r="K40" s="501"/>
    </row>
    <row r="41" spans="1:11" s="496" customFormat="1" ht="21" customHeight="1" x14ac:dyDescent="0.25">
      <c r="A41" s="492">
        <v>33</v>
      </c>
      <c r="B41" s="2370" t="str">
        <f>'Техническая по возраст группам'!C53</f>
        <v>Юноши</v>
      </c>
      <c r="C41" s="2389"/>
      <c r="D41" s="640" t="str">
        <f>'Техническая по возраст группам'!D53</f>
        <v xml:space="preserve"> </v>
      </c>
      <c r="E41" s="500">
        <f>'Техническая по возраст группам'!E53</f>
        <v>0</v>
      </c>
      <c r="F41" s="495" t="str">
        <f>IF('Техническая по возраст группам'!G53="Ж", "спортсменка", IF('Техническая по возраст группам'!G53="М", "спортсмен", "не понятно кто"))</f>
        <v>спортсмен</v>
      </c>
      <c r="G41" s="495" t="str">
        <f ca="1">'Техническая по возраст группам'!H53</f>
        <v>г.р.???</v>
      </c>
      <c r="H41" s="495" t="str">
        <f>'Техническая по возраст группам'!B53</f>
        <v>II</v>
      </c>
      <c r="I41" s="2147" t="str">
        <f>'Техническая по возраст группам'!I53</f>
        <v>Фамилия_1 Имя Отчество</v>
      </c>
      <c r="J41" s="2439"/>
      <c r="K41" s="501"/>
    </row>
    <row r="42" spans="1:11" s="496" customFormat="1" ht="21" customHeight="1" x14ac:dyDescent="0.25">
      <c r="A42" s="492">
        <v>34</v>
      </c>
      <c r="B42" s="2370" t="str">
        <f>'Техническая по возраст группам'!C54</f>
        <v>Юноши</v>
      </c>
      <c r="C42" s="2388"/>
      <c r="D42" s="640" t="str">
        <f>'Техническая по возраст группам'!D54</f>
        <v xml:space="preserve"> </v>
      </c>
      <c r="E42" s="500">
        <f>'Техническая по возраст группам'!E54</f>
        <v>0</v>
      </c>
      <c r="F42" s="495" t="str">
        <f>IF('Техническая по возраст группам'!G54="Ж", "спортсменка", IF('Техническая по возраст группам'!G54="М", "спортсмен", "не понятно кто"))</f>
        <v>спортсмен</v>
      </c>
      <c r="G42" s="495" t="str">
        <f ca="1">'Техническая по возраст группам'!H54</f>
        <v>г.р.???</v>
      </c>
      <c r="H42" s="495" t="str">
        <f>'Техническая по возраст группам'!B54</f>
        <v>ЗМС</v>
      </c>
      <c r="I42" s="2147" t="str">
        <f>'Техническая по возраст группам'!I54</f>
        <v>Фамилия_1 Имя Отчество</v>
      </c>
      <c r="J42" s="2440"/>
      <c r="K42" s="501"/>
    </row>
    <row r="43" spans="1:11" s="496" customFormat="1" ht="21" customHeight="1" x14ac:dyDescent="0.25">
      <c r="A43" s="492">
        <v>35</v>
      </c>
      <c r="B43" s="2370" t="str">
        <f>'Техническая по возраст группам'!C55</f>
        <v>Юноши</v>
      </c>
      <c r="C43" s="2387"/>
      <c r="D43" s="640" t="str">
        <f>'Техническая по возраст группам'!D55</f>
        <v xml:space="preserve"> </v>
      </c>
      <c r="E43" s="500">
        <f>'Техническая по возраст группам'!E55</f>
        <v>0</v>
      </c>
      <c r="F43" s="495" t="str">
        <f>IF('Техническая по возраст группам'!G55="Ж", "спортсменка", IF('Техническая по возраст группам'!G55="М", "спортсмен", "не понятно кто"))</f>
        <v>спортсмен</v>
      </c>
      <c r="G43" s="495" t="str">
        <f ca="1">'Техническая по возраст группам'!H55</f>
        <v>г.р.???</v>
      </c>
      <c r="H43" s="495" t="str">
        <f>'Техническая по возраст группам'!B55</f>
        <v>МСМК</v>
      </c>
      <c r="I43" s="2147" t="str">
        <f>'Техническая по возраст группам'!I55</f>
        <v>Фамилия_1 Имя Отчество</v>
      </c>
      <c r="J43" s="2441"/>
      <c r="K43" s="501"/>
    </row>
    <row r="44" spans="1:11" s="496" customFormat="1" ht="21" customHeight="1" x14ac:dyDescent="0.25">
      <c r="A44" s="492">
        <v>36</v>
      </c>
      <c r="B44" s="2370" t="str">
        <f>'Техническая по возраст группам'!C56</f>
        <v>Юноши</v>
      </c>
      <c r="C44" s="2386"/>
      <c r="D44" s="640" t="str">
        <f>'Техническая по возраст группам'!D56</f>
        <v xml:space="preserve"> </v>
      </c>
      <c r="E44" s="500">
        <f>'Техническая по возраст группам'!E56</f>
        <v>0</v>
      </c>
      <c r="F44" s="495" t="str">
        <f>IF('Техническая по возраст группам'!G56="Ж", "спортсменка", IF('Техническая по возраст группам'!G56="М", "спортсмен", "не понятно кто"))</f>
        <v>спортсмен</v>
      </c>
      <c r="G44" s="495" t="str">
        <f ca="1">'Техническая по возраст группам'!H56</f>
        <v>г.р.???</v>
      </c>
      <c r="H44" s="495" t="str">
        <f>'Техническая по возраст группам'!B56</f>
        <v>МС</v>
      </c>
      <c r="I44" s="2147" t="str">
        <f>'Техническая по возраст группам'!I56</f>
        <v>Фамилия_1 Имя Отчество</v>
      </c>
      <c r="J44" s="2442"/>
      <c r="K44" s="501"/>
    </row>
    <row r="45" spans="1:11" s="496" customFormat="1" ht="21" customHeight="1" x14ac:dyDescent="0.25">
      <c r="A45" s="492">
        <v>37</v>
      </c>
      <c r="B45" s="2370" t="str">
        <f>'Техническая по возраст группам'!C57</f>
        <v>Юноши</v>
      </c>
      <c r="C45" s="2385"/>
      <c r="D45" s="640" t="str">
        <f>'Техническая по возраст группам'!D57</f>
        <v xml:space="preserve"> </v>
      </c>
      <c r="E45" s="500">
        <f>'Техническая по возраст группам'!E57</f>
        <v>0</v>
      </c>
      <c r="F45" s="495" t="str">
        <f>IF('Техническая по возраст группам'!G57="Ж", "спортсменка", IF('Техническая по возраст группам'!G57="М", "спортсмен", "не понятно кто"))</f>
        <v>спортсмен</v>
      </c>
      <c r="G45" s="495" t="str">
        <f ca="1">'Техническая по возраст группам'!H57</f>
        <v>г.р.???</v>
      </c>
      <c r="H45" s="495" t="str">
        <f>'Техническая по возраст группам'!B57</f>
        <v>КМС</v>
      </c>
      <c r="I45" s="2147" t="str">
        <f>'Техническая по возраст группам'!I57</f>
        <v>Фамилия_1 Имя Отчество</v>
      </c>
      <c r="J45" s="2437"/>
      <c r="K45" s="501"/>
    </row>
    <row r="46" spans="1:11" s="496" customFormat="1" ht="21" customHeight="1" x14ac:dyDescent="0.25">
      <c r="A46" s="492">
        <v>38</v>
      </c>
      <c r="B46" s="2370" t="str">
        <f>'Техническая по возраст группам'!C58</f>
        <v>Юноши</v>
      </c>
      <c r="C46" s="2384"/>
      <c r="D46" s="640" t="str">
        <f>'Техническая по возраст группам'!D58</f>
        <v xml:space="preserve"> </v>
      </c>
      <c r="E46" s="500">
        <f>'Техническая по возраст группам'!E58</f>
        <v>0</v>
      </c>
      <c r="F46" s="495" t="str">
        <f>IF('Техническая по возраст группам'!G58="Ж", "спортсменка", IF('Техническая по возраст группам'!G58="М", "спортсмен", "не понятно кто"))</f>
        <v>спортсмен</v>
      </c>
      <c r="G46" s="495" t="str">
        <f ca="1">'Техническая по возраст группам'!H58</f>
        <v>г.р.???</v>
      </c>
      <c r="H46" s="495" t="str">
        <f>'Техническая по возраст группам'!B58</f>
        <v>КМС</v>
      </c>
      <c r="I46" s="2147" t="str">
        <f>'Техническая по возраст группам'!I58</f>
        <v>Фамилия_1 Имя Отчество</v>
      </c>
      <c r="J46" s="2421"/>
      <c r="K46" s="501"/>
    </row>
    <row r="47" spans="1:11" s="496" customFormat="1" ht="21" customHeight="1" x14ac:dyDescent="0.25">
      <c r="A47" s="492">
        <v>39</v>
      </c>
      <c r="B47" s="2370" t="str">
        <f>'Техническая по возраст группам'!C59</f>
        <v>Юноши</v>
      </c>
      <c r="C47" s="2383"/>
      <c r="D47" s="640" t="str">
        <f>'Техническая по возраст группам'!D59</f>
        <v xml:space="preserve"> </v>
      </c>
      <c r="E47" s="500">
        <f>'Техническая по возраст группам'!E59</f>
        <v>0</v>
      </c>
      <c r="F47" s="495" t="str">
        <f>IF('Техническая по возраст группам'!G59="Ж", "спортсменка", IF('Техническая по возраст группам'!G59="М", "спортсмен", "не понятно кто"))</f>
        <v>спортсмен</v>
      </c>
      <c r="G47" s="495" t="str">
        <f ca="1">'Техническая по возраст группам'!H59</f>
        <v>г.р.???</v>
      </c>
      <c r="H47" s="495" t="str">
        <f>'Техническая по возраст группам'!B59</f>
        <v>КМС</v>
      </c>
      <c r="I47" s="2147" t="str">
        <f>'Техническая по возраст группам'!I59</f>
        <v>Фамилия_1 Имя Отчество</v>
      </c>
      <c r="J47" s="2422"/>
      <c r="K47" s="501"/>
    </row>
    <row r="48" spans="1:11" s="496" customFormat="1" ht="21" customHeight="1" x14ac:dyDescent="0.25">
      <c r="A48" s="492">
        <v>40</v>
      </c>
      <c r="B48" s="2370" t="str">
        <f>'Техническая по возраст группам'!C60</f>
        <v>Юноши</v>
      </c>
      <c r="C48" s="2382"/>
      <c r="D48" s="640" t="str">
        <f>'Техническая по возраст группам'!D60</f>
        <v xml:space="preserve"> </v>
      </c>
      <c r="E48" s="500">
        <f>'Техническая по возраст группам'!E60</f>
        <v>0</v>
      </c>
      <c r="F48" s="495" t="str">
        <f>IF('Техническая по возраст группам'!G60="Ж", "спортсменка", IF('Техническая по возраст группам'!G60="М", "спортсмен", "не понятно кто"))</f>
        <v>спортсмен</v>
      </c>
      <c r="G48" s="495" t="str">
        <f ca="1">'Техническая по возраст группам'!H60</f>
        <v>г.р.???</v>
      </c>
      <c r="H48" s="495" t="str">
        <f>'Техническая по возраст группам'!B60</f>
        <v>КМС</v>
      </c>
      <c r="I48" s="2147" t="str">
        <f>'Техническая по возраст группам'!I60</f>
        <v>Фамилия_1 Имя Отчество</v>
      </c>
      <c r="J48" s="2423"/>
      <c r="K48" s="501"/>
    </row>
    <row r="49" spans="1:11" s="496" customFormat="1" ht="21" customHeight="1" x14ac:dyDescent="0.25">
      <c r="A49" s="492">
        <v>41</v>
      </c>
      <c r="B49" s="2370" t="str">
        <f>'Техническая по возраст группам'!C61</f>
        <v>Юноши</v>
      </c>
      <c r="C49" s="2381"/>
      <c r="D49" s="640" t="str">
        <f>'Техническая по возраст группам'!D61</f>
        <v xml:space="preserve"> </v>
      </c>
      <c r="E49" s="500">
        <f>'Техническая по возраст группам'!E61</f>
        <v>0</v>
      </c>
      <c r="F49" s="495" t="str">
        <f>IF('Техническая по возраст группам'!G61="Ж", "спортсменка", IF('Техническая по возраст группам'!G61="М", "спортсмен", "не понятно кто"))</f>
        <v>спортсмен</v>
      </c>
      <c r="G49" s="495" t="str">
        <f ca="1">'Техническая по возраст группам'!H61</f>
        <v>г.р.???</v>
      </c>
      <c r="H49" s="495" t="str">
        <f>'Техническая по возраст группам'!B61</f>
        <v>II юн</v>
      </c>
      <c r="I49" s="2147" t="str">
        <f>'Техническая по возраст группам'!I61</f>
        <v>Фамилия_1 Имя Отчество</v>
      </c>
      <c r="J49" s="2424"/>
      <c r="K49" s="501"/>
    </row>
    <row r="50" spans="1:11" s="496" customFormat="1" ht="21" customHeight="1" x14ac:dyDescent="0.25">
      <c r="A50" s="492">
        <v>42</v>
      </c>
      <c r="B50" s="2370" t="str">
        <f>'Техническая по возраст группам'!C62</f>
        <v>Юноши</v>
      </c>
      <c r="C50" s="2380"/>
      <c r="D50" s="640" t="str">
        <f>'Техническая по возраст группам'!D62</f>
        <v xml:space="preserve"> </v>
      </c>
      <c r="E50" s="500">
        <f>'Техническая по возраст группам'!E62</f>
        <v>0</v>
      </c>
      <c r="F50" s="495" t="str">
        <f>IF('Техническая по возраст группам'!G62="Ж", "спортсменка", IF('Техническая по возраст группам'!G62="М", "спортсмен", "не понятно кто"))</f>
        <v>спортсмен</v>
      </c>
      <c r="G50" s="495" t="str">
        <f ca="1">'Техническая по возраст группам'!H62</f>
        <v>г.р.???</v>
      </c>
      <c r="H50" s="495" t="str">
        <f>'Техническая по возраст группам'!B62</f>
        <v>II юн</v>
      </c>
      <c r="I50" s="2147" t="str">
        <f>'Техническая по возраст группам'!I62</f>
        <v>Фамилия_1 Имя Отчество</v>
      </c>
      <c r="J50" s="2425"/>
      <c r="K50" s="501"/>
    </row>
    <row r="51" spans="1:11" s="496" customFormat="1" ht="21" customHeight="1" x14ac:dyDescent="0.25">
      <c r="A51" s="492">
        <v>43</v>
      </c>
      <c r="B51" s="2370" t="str">
        <f>'Техническая по возраст группам'!C63</f>
        <v>Юноши</v>
      </c>
      <c r="C51" s="2379"/>
      <c r="D51" s="640" t="str">
        <f>'Техническая по возраст группам'!D63</f>
        <v xml:space="preserve"> </v>
      </c>
      <c r="E51" s="500">
        <f>'Техническая по возраст группам'!E63</f>
        <v>0</v>
      </c>
      <c r="F51" s="495" t="str">
        <f>IF('Техническая по возраст группам'!G63="Ж", "спортсменка", IF('Техническая по возраст группам'!G63="М", "спортсмен", "не понятно кто"))</f>
        <v>спортсмен</v>
      </c>
      <c r="G51" s="495" t="str">
        <f ca="1">'Техническая по возраст группам'!H63</f>
        <v>г.р.???</v>
      </c>
      <c r="H51" s="495" t="str">
        <f>'Техническая по возраст группам'!B63</f>
        <v>II юн</v>
      </c>
      <c r="I51" s="2147" t="str">
        <f>'Техническая по возраст группам'!I63</f>
        <v>Фамилия_1 Имя Отчество</v>
      </c>
      <c r="J51" s="2426"/>
      <c r="K51" s="501"/>
    </row>
    <row r="52" spans="1:11" s="496" customFormat="1" ht="21" customHeight="1" x14ac:dyDescent="0.25">
      <c r="A52" s="492">
        <v>44</v>
      </c>
      <c r="B52" s="2370" t="str">
        <f>'Техническая по возраст группам'!C64</f>
        <v>Юноши</v>
      </c>
      <c r="C52" s="2378"/>
      <c r="D52" s="640" t="str">
        <f>'Техническая по возраст группам'!D64</f>
        <v xml:space="preserve"> </v>
      </c>
      <c r="E52" s="500">
        <f>'Техническая по возраст группам'!E64</f>
        <v>0</v>
      </c>
      <c r="F52" s="495" t="str">
        <f>IF('Техническая по возраст группам'!G64="Ж", "спортсменка", IF('Техническая по возраст группам'!G64="М", "спортсмен", "не понятно кто"))</f>
        <v>спортсмен</v>
      </c>
      <c r="G52" s="495" t="str">
        <f ca="1">'Техническая по возраст группам'!H64</f>
        <v>г.р.???</v>
      </c>
      <c r="H52" s="495" t="str">
        <f>'Техническая по возраст группам'!B64</f>
        <v>II юн</v>
      </c>
      <c r="I52" s="2147" t="str">
        <f>'Техническая по возраст группам'!I64</f>
        <v>Фамилия_1 Имя Отчество</v>
      </c>
      <c r="J52" s="2427"/>
      <c r="K52" s="501"/>
    </row>
    <row r="53" spans="1:11" s="496" customFormat="1" ht="21" customHeight="1" x14ac:dyDescent="0.25">
      <c r="A53" s="492">
        <v>45</v>
      </c>
      <c r="B53" s="2370" t="str">
        <f>'Техническая по возраст группам'!C65</f>
        <v>Юноши</v>
      </c>
      <c r="C53" s="2377"/>
      <c r="D53" s="640" t="str">
        <f>'Техническая по возраст группам'!D65</f>
        <v xml:space="preserve"> </v>
      </c>
      <c r="E53" s="500">
        <f>'Техническая по возраст группам'!E65</f>
        <v>0</v>
      </c>
      <c r="F53" s="495" t="str">
        <f>IF('Техническая по возраст группам'!G65="Ж", "спортсменка", IF('Техническая по возраст группам'!G65="М", "спортсмен", "не понятно кто"))</f>
        <v>спортсмен</v>
      </c>
      <c r="G53" s="495" t="str">
        <f ca="1">'Техническая по возраст группам'!H65</f>
        <v>г.р.???</v>
      </c>
      <c r="H53" s="495" t="str">
        <f>'Техническая по возраст группам'!B65</f>
        <v>II юн</v>
      </c>
      <c r="I53" s="2147" t="str">
        <f>'Техническая по возраст группам'!I65</f>
        <v>Фамилия_1 Имя Отчество</v>
      </c>
      <c r="J53" s="2428"/>
      <c r="K53" s="501"/>
    </row>
    <row r="54" spans="1:11" s="496" customFormat="1" ht="21" customHeight="1" x14ac:dyDescent="0.25">
      <c r="A54" s="492">
        <v>46</v>
      </c>
      <c r="B54" s="2370" t="str">
        <f>'Техническая по возраст группам'!C66</f>
        <v>Юноши</v>
      </c>
      <c r="C54" s="2376"/>
      <c r="D54" s="640" t="str">
        <f>'Техническая по возраст группам'!D66</f>
        <v xml:space="preserve"> </v>
      </c>
      <c r="E54" s="500">
        <f>'Техническая по возраст группам'!E66</f>
        <v>0</v>
      </c>
      <c r="F54" s="495" t="str">
        <f>IF('Техническая по возраст группам'!G66="Ж", "спортсменка", IF('Техническая по возраст группам'!G66="М", "спортсмен", "не понятно кто"))</f>
        <v>спортсмен</v>
      </c>
      <c r="G54" s="495" t="str">
        <f ca="1">'Техническая по возраст группам'!H66</f>
        <v>г.р.???</v>
      </c>
      <c r="H54" s="495" t="str">
        <f>'Техническая по возраст группам'!B66</f>
        <v>III юн</v>
      </c>
      <c r="I54" s="2147" t="str">
        <f>'Техническая по возраст группам'!I66</f>
        <v>Фамилия_1 Имя Отчество</v>
      </c>
      <c r="J54" s="2429"/>
      <c r="K54" s="501"/>
    </row>
    <row r="55" spans="1:11" s="496" customFormat="1" ht="21" customHeight="1" x14ac:dyDescent="0.25">
      <c r="A55" s="492">
        <v>47</v>
      </c>
      <c r="B55" s="2370" t="str">
        <f>'Техническая по возраст группам'!C67</f>
        <v>Юноши</v>
      </c>
      <c r="C55" s="2375"/>
      <c r="D55" s="640" t="str">
        <f>'Техническая по возраст группам'!D67</f>
        <v xml:space="preserve"> </v>
      </c>
      <c r="E55" s="500">
        <f>'Техническая по возраст группам'!E67</f>
        <v>0</v>
      </c>
      <c r="F55" s="495" t="str">
        <f>IF('Техническая по возраст группам'!G67="Ж", "спортсменка", IF('Техническая по возраст группам'!G67="М", "спортсмен", "не понятно кто"))</f>
        <v>спортсмен</v>
      </c>
      <c r="G55" s="495" t="str">
        <f ca="1">'Техническая по возраст группам'!H67</f>
        <v>г.р.???</v>
      </c>
      <c r="H55" s="495" t="str">
        <f>'Техническая по возраст группам'!B67</f>
        <v>I юн</v>
      </c>
      <c r="I55" s="2147" t="str">
        <f>'Техническая по возраст группам'!I67</f>
        <v>Фамилия_1 Имя Отчество</v>
      </c>
      <c r="J55" s="2430"/>
      <c r="K55" s="501"/>
    </row>
    <row r="56" spans="1:11" s="496" customFormat="1" ht="21" customHeight="1" x14ac:dyDescent="0.25">
      <c r="A56" s="492">
        <v>48</v>
      </c>
      <c r="B56" s="2370" t="str">
        <f>'Техническая по возраст группам'!C68</f>
        <v>Юноши</v>
      </c>
      <c r="C56" s="2374"/>
      <c r="D56" s="640" t="str">
        <f>'Техническая по возраст группам'!D68</f>
        <v xml:space="preserve"> </v>
      </c>
      <c r="E56" s="500">
        <f>'Техническая по возраст группам'!E68</f>
        <v>0</v>
      </c>
      <c r="F56" s="495" t="str">
        <f>IF('Техническая по возраст группам'!G68="Ж", "спортсменка", IF('Техническая по возраст группам'!G68="М", "спортсмен", "не понятно кто"))</f>
        <v>спортсмен</v>
      </c>
      <c r="G56" s="495" t="str">
        <f ca="1">'Техническая по возраст группам'!H68</f>
        <v>г.р.???</v>
      </c>
      <c r="H56" s="495" t="str">
        <f>'Техническая по возраст группам'!B68</f>
        <v>III</v>
      </c>
      <c r="I56" s="2147" t="str">
        <f>'Техническая по возраст группам'!I68</f>
        <v>Фамилия_1 Имя Отчество</v>
      </c>
      <c r="J56" s="2431"/>
      <c r="K56" s="501"/>
    </row>
    <row r="57" spans="1:11" s="496" customFormat="1" ht="21" customHeight="1" x14ac:dyDescent="0.25">
      <c r="A57" s="492">
        <v>49</v>
      </c>
      <c r="B57" s="2370" t="str">
        <f>'Техническая по возраст группам'!C69</f>
        <v>Юноши</v>
      </c>
      <c r="C57" s="2372"/>
      <c r="D57" s="640" t="str">
        <f>'Техническая по возраст группам'!D69</f>
        <v xml:space="preserve"> </v>
      </c>
      <c r="E57" s="500">
        <f>'Техническая по возраст группам'!E69</f>
        <v>0</v>
      </c>
      <c r="F57" s="495" t="str">
        <f>IF('Техническая по возраст группам'!G69="Ж", "спортсменка", IF('Техническая по возраст группам'!G69="М", "спортсмен", "не понятно кто"))</f>
        <v>спортсмен</v>
      </c>
      <c r="G57" s="495" t="str">
        <f ca="1">'Техническая по возраст группам'!H69</f>
        <v>г.р.???</v>
      </c>
      <c r="H57" s="495" t="str">
        <f>'Техническая по возраст группам'!B69</f>
        <v>I юн</v>
      </c>
      <c r="I57" s="2147" t="str">
        <f>'Техническая по возраст группам'!I69</f>
        <v>Фамилия_1 Имя Отчество</v>
      </c>
      <c r="J57" s="2432"/>
      <c r="K57" s="501"/>
    </row>
    <row r="58" spans="1:11" s="496" customFormat="1" ht="21" customHeight="1" x14ac:dyDescent="0.25">
      <c r="A58" s="492">
        <v>50</v>
      </c>
      <c r="B58" s="2370" t="str">
        <f>'Техническая по возраст группам'!C70</f>
        <v>Юноши</v>
      </c>
      <c r="C58" s="2371"/>
      <c r="D58" s="640" t="str">
        <f>'Техническая по возраст группам'!D70</f>
        <v xml:space="preserve"> </v>
      </c>
      <c r="E58" s="500">
        <f>'Техническая по возраст группам'!E70</f>
        <v>0</v>
      </c>
      <c r="F58" s="495" t="str">
        <f>IF('Техническая по возраст группам'!G70="Ж", "спортсменка", IF('Техническая по возраст группам'!G70="М", "спортсмен", "не понятно кто"))</f>
        <v>спортсмен</v>
      </c>
      <c r="G58" s="495" t="str">
        <f ca="1">'Техническая по возраст группам'!H70</f>
        <v>г.р.???</v>
      </c>
      <c r="H58" s="495" t="str">
        <f>'Техническая по возраст группам'!B70</f>
        <v>II юн</v>
      </c>
      <c r="I58" s="2147" t="str">
        <f>'Техническая по возраст группам'!I70</f>
        <v>Фамилия_1 Имя Отчество</v>
      </c>
      <c r="J58" s="2433"/>
      <c r="K58" s="501"/>
    </row>
    <row r="59" spans="1:11" ht="12" customHeight="1" x14ac:dyDescent="0.25">
      <c r="A59" s="490"/>
      <c r="B59" s="502"/>
      <c r="C59" s="502"/>
      <c r="D59" s="489"/>
      <c r="E59" s="490"/>
      <c r="F59" s="490"/>
      <c r="G59" s="490"/>
      <c r="H59" s="503"/>
      <c r="I59" s="641"/>
      <c r="J59" s="488"/>
      <c r="K59" s="489"/>
    </row>
    <row r="60" spans="1:11" s="496" customFormat="1" ht="24.75" customHeight="1" x14ac:dyDescent="0.3">
      <c r="A60" s="504"/>
      <c r="B60" s="485" t="s">
        <v>665</v>
      </c>
      <c r="C60" s="485"/>
      <c r="D60" s="505" t="str">
        <f>'Техническая по возраст группам'!E75</f>
        <v>Фамилия_1 Имя Отчество</v>
      </c>
      <c r="E60" s="506"/>
      <c r="F60" s="506"/>
      <c r="G60" s="485" t="s">
        <v>666</v>
      </c>
      <c r="H60" s="2203"/>
      <c r="I60" s="2503"/>
      <c r="J60" s="2504"/>
      <c r="K60" s="2505"/>
    </row>
    <row r="61" spans="1:11" s="496" customFormat="1" ht="24.75" customHeight="1" x14ac:dyDescent="0.3">
      <c r="A61" s="490"/>
      <c r="B61" s="147"/>
      <c r="C61" s="147"/>
      <c r="D61" s="505" t="str">
        <f>'Техническая по возраст группам'!E76</f>
        <v>Фамилия_2 Имя Отчество</v>
      </c>
      <c r="E61" s="507"/>
      <c r="F61" s="507"/>
      <c r="G61" s="243"/>
      <c r="H61" s="2196"/>
      <c r="I61" s="2500"/>
      <c r="J61" s="2501"/>
      <c r="K61" s="2502"/>
    </row>
    <row r="62" spans="1:11" s="496" customFormat="1" ht="24.75" customHeight="1" x14ac:dyDescent="0.3">
      <c r="A62" s="490"/>
      <c r="B62" s="147"/>
      <c r="C62" s="147"/>
      <c r="D62" s="505" t="str">
        <f>'Техническая по возраст группам'!E77</f>
        <v>Фамилия_3 Имя Отчество</v>
      </c>
      <c r="E62" s="507"/>
      <c r="F62" s="507"/>
      <c r="G62" s="243"/>
      <c r="H62" s="2196"/>
      <c r="I62" s="2506"/>
      <c r="J62" s="2507"/>
      <c r="K62" s="2508"/>
    </row>
    <row r="63" spans="1:11" s="496" customFormat="1" ht="21" customHeight="1" x14ac:dyDescent="0.3">
      <c r="A63" s="243"/>
      <c r="B63" s="147"/>
      <c r="C63" s="147"/>
      <c r="D63" s="147"/>
      <c r="E63" s="243"/>
      <c r="F63" s="243"/>
      <c r="G63" s="243"/>
      <c r="H63" s="243"/>
      <c r="I63" s="243"/>
      <c r="J63" s="243"/>
      <c r="K63" s="508"/>
    </row>
    <row r="64" spans="1:11" s="496" customFormat="1" ht="17.25" customHeight="1" x14ac:dyDescent="0.3">
      <c r="D64" s="509" t="s">
        <v>667</v>
      </c>
      <c r="E64" s="506"/>
      <c r="F64" s="506"/>
      <c r="G64" s="506"/>
      <c r="H64" s="2192" t="str">
        <f>'Техническая по возраст группам'!E75</f>
        <v>Фамилия_1 Имя Отчество</v>
      </c>
      <c r="I64" s="2509"/>
      <c r="J64" s="2510"/>
      <c r="K64" s="2511"/>
    </row>
    <row r="65" spans="1:11" s="510" customFormat="1" ht="12.75" customHeight="1" x14ac:dyDescent="0.25">
      <c r="A65" s="511"/>
      <c r="B65" s="511"/>
      <c r="C65" s="511"/>
      <c r="F65" s="512" t="s">
        <v>668</v>
      </c>
      <c r="G65" s="513"/>
      <c r="H65" s="512"/>
      <c r="I65" s="512"/>
      <c r="J65" s="512" t="s">
        <v>669</v>
      </c>
      <c r="K65" s="514"/>
    </row>
    <row r="66" spans="1:11" s="47" customFormat="1" ht="21" customHeight="1" x14ac:dyDescent="0.2">
      <c r="A66" s="4"/>
      <c r="B66" s="4"/>
      <c r="C66" s="4"/>
      <c r="F66" s="515"/>
      <c r="G66" s="516"/>
      <c r="H66" s="515"/>
      <c r="I66" s="515"/>
      <c r="J66" s="515"/>
      <c r="K66" s="517"/>
    </row>
    <row r="67" spans="1:11" s="496" customFormat="1" ht="19.5" x14ac:dyDescent="0.35">
      <c r="A67" s="518" t="s">
        <v>670</v>
      </c>
      <c r="B67" s="518"/>
      <c r="C67" s="518"/>
      <c r="D67" s="519"/>
      <c r="E67" s="520"/>
      <c r="F67" s="2373" t="s">
        <v>706</v>
      </c>
      <c r="G67" s="2373"/>
      <c r="H67" s="521"/>
      <c r="I67" s="521"/>
      <c r="J67" s="2187"/>
      <c r="K67" s="2512"/>
    </row>
    <row r="68" spans="1:11" s="513" customFormat="1" ht="12" x14ac:dyDescent="0.25">
      <c r="A68" s="522"/>
      <c r="B68" s="522"/>
      <c r="C68" s="522"/>
      <c r="E68" s="522"/>
      <c r="F68" s="512"/>
      <c r="I68" s="512" t="s">
        <v>668</v>
      </c>
      <c r="J68" s="512"/>
      <c r="K68" s="512" t="s">
        <v>669</v>
      </c>
    </row>
    <row r="70" spans="1:11" s="496" customFormat="1" ht="33.75" customHeight="1" x14ac:dyDescent="0.35">
      <c r="A70" s="2186" t="s">
        <v>673</v>
      </c>
      <c r="B70" s="2186"/>
      <c r="C70" s="2186"/>
      <c r="D70" s="2186"/>
      <c r="E70" s="523"/>
      <c r="F70" s="523"/>
      <c r="G70" s="523"/>
      <c r="H70" s="523"/>
      <c r="I70" s="2187"/>
      <c r="J70" s="2498"/>
      <c r="K70" s="2499"/>
    </row>
    <row r="71" spans="1:11" s="510" customFormat="1" ht="12.75" customHeight="1" x14ac:dyDescent="0.25">
      <c r="A71" s="511"/>
      <c r="B71" s="511"/>
      <c r="C71" s="511"/>
      <c r="F71" s="512" t="s">
        <v>668</v>
      </c>
      <c r="G71" s="513"/>
      <c r="H71" s="512"/>
      <c r="I71" s="512"/>
      <c r="J71" s="512" t="s">
        <v>669</v>
      </c>
      <c r="K71" s="514"/>
    </row>
    <row r="72" spans="1:11" s="496" customFormat="1" ht="12" customHeight="1" x14ac:dyDescent="0.25">
      <c r="A72" s="488"/>
      <c r="B72" s="490"/>
      <c r="C72" s="490"/>
      <c r="D72" s="490"/>
      <c r="E72" s="490"/>
      <c r="F72" s="490"/>
      <c r="G72" s="490"/>
      <c r="H72" s="490"/>
      <c r="I72" s="490"/>
      <c r="J72" s="490"/>
      <c r="K72" s="490"/>
    </row>
    <row r="73" spans="1:11" s="496" customFormat="1" ht="33.75" customHeight="1" x14ac:dyDescent="0.35">
      <c r="A73" s="2186" t="s">
        <v>674</v>
      </c>
      <c r="B73" s="2186"/>
      <c r="C73" s="2186"/>
      <c r="D73" s="2186"/>
      <c r="E73" s="523"/>
      <c r="F73" s="523"/>
      <c r="G73" s="523"/>
      <c r="H73" s="523"/>
      <c r="I73" s="2187"/>
      <c r="J73" s="2496"/>
      <c r="K73" s="2497"/>
    </row>
    <row r="74" spans="1:11" s="510" customFormat="1" ht="12.75" customHeight="1" x14ac:dyDescent="0.25">
      <c r="A74" s="511"/>
      <c r="B74" s="511"/>
      <c r="C74" s="511"/>
      <c r="F74" s="512" t="s">
        <v>668</v>
      </c>
      <c r="G74" s="513"/>
      <c r="H74" s="512"/>
      <c r="I74" s="512"/>
      <c r="J74" s="512" t="s">
        <v>669</v>
      </c>
      <c r="K74" s="514"/>
    </row>
    <row r="75" spans="1:11" s="496" customFormat="1" ht="12" customHeight="1" x14ac:dyDescent="0.25">
      <c r="A75" s="488"/>
      <c r="B75" s="488"/>
      <c r="C75" s="488"/>
      <c r="D75" s="490"/>
      <c r="E75" s="490"/>
      <c r="F75" s="490"/>
      <c r="G75" s="490"/>
      <c r="H75" s="490"/>
      <c r="I75" s="490"/>
      <c r="J75" s="490"/>
      <c r="K75" s="490"/>
    </row>
    <row r="76" spans="1:11" s="496" customFormat="1" ht="18.75" x14ac:dyDescent="0.3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</row>
  </sheetData>
  <mergeCells count="119">
    <mergeCell ref="I73:K73"/>
    <mergeCell ref="I70:K70"/>
    <mergeCell ref="H61:K61"/>
    <mergeCell ref="H60:K60"/>
    <mergeCell ref="H62:K62"/>
    <mergeCell ref="H64:K64"/>
    <mergeCell ref="J67:K67"/>
    <mergeCell ref="B9:C9"/>
    <mergeCell ref="I9:J9"/>
    <mergeCell ref="I8:J8"/>
    <mergeCell ref="B8:D8"/>
    <mergeCell ref="B12:C12"/>
    <mergeCell ref="B13:C13"/>
    <mergeCell ref="A3:K3"/>
    <mergeCell ref="H1:K2"/>
    <mergeCell ref="D4:K4"/>
    <mergeCell ref="D5:K5"/>
    <mergeCell ref="A5:B5"/>
    <mergeCell ref="A6:B6"/>
    <mergeCell ref="D6:I6"/>
    <mergeCell ref="B20:C20"/>
    <mergeCell ref="B27:C27"/>
    <mergeCell ref="B28:C28"/>
    <mergeCell ref="I13:J13"/>
    <mergeCell ref="I12:J12"/>
    <mergeCell ref="I11:J11"/>
    <mergeCell ref="I10:J10"/>
    <mergeCell ref="B11:C11"/>
    <mergeCell ref="B10:C10"/>
    <mergeCell ref="I58:J58"/>
    <mergeCell ref="I37:J37"/>
    <mergeCell ref="I38:J38"/>
    <mergeCell ref="I39:J39"/>
    <mergeCell ref="I45:J45"/>
    <mergeCell ref="I40:J40"/>
    <mergeCell ref="I41:J41"/>
    <mergeCell ref="I42:J42"/>
    <mergeCell ref="I43:J43"/>
    <mergeCell ref="I44:J44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B15:C15"/>
    <mergeCell ref="B16:C16"/>
    <mergeCell ref="B18:C18"/>
    <mergeCell ref="B17:C17"/>
    <mergeCell ref="B19:C19"/>
    <mergeCell ref="B14:C14"/>
    <mergeCell ref="I46:J46"/>
    <mergeCell ref="I47:J47"/>
    <mergeCell ref="I48:J48"/>
    <mergeCell ref="I32:J32"/>
    <mergeCell ref="I33:J33"/>
    <mergeCell ref="I34:J34"/>
    <mergeCell ref="I35:J35"/>
    <mergeCell ref="I36:J36"/>
    <mergeCell ref="I31:J31"/>
    <mergeCell ref="I30:J30"/>
    <mergeCell ref="B26:C26"/>
    <mergeCell ref="B31:C31"/>
    <mergeCell ref="B30:C30"/>
    <mergeCell ref="B29:C29"/>
    <mergeCell ref="B25:C25"/>
    <mergeCell ref="B24:C24"/>
    <mergeCell ref="B23:C23"/>
    <mergeCell ref="B22:C22"/>
    <mergeCell ref="I20:J20"/>
    <mergeCell ref="I19:J19"/>
    <mergeCell ref="I18:J18"/>
    <mergeCell ref="I17:J17"/>
    <mergeCell ref="I16:J16"/>
    <mergeCell ref="I15:J15"/>
    <mergeCell ref="I14:J14"/>
    <mergeCell ref="I27:J27"/>
    <mergeCell ref="I28:J28"/>
    <mergeCell ref="B34:C34"/>
    <mergeCell ref="B33:C33"/>
    <mergeCell ref="B32:C32"/>
    <mergeCell ref="I26:J26"/>
    <mergeCell ref="I25:J25"/>
    <mergeCell ref="I24:J24"/>
    <mergeCell ref="I23:J23"/>
    <mergeCell ref="I22:J22"/>
    <mergeCell ref="I21:J21"/>
    <mergeCell ref="I29:J29"/>
    <mergeCell ref="B21:C21"/>
    <mergeCell ref="B43:C43"/>
    <mergeCell ref="B42:C42"/>
    <mergeCell ref="B41:C41"/>
    <mergeCell ref="B40:C40"/>
    <mergeCell ref="B39:C39"/>
    <mergeCell ref="B38:C38"/>
    <mergeCell ref="B37:C37"/>
    <mergeCell ref="B36:C36"/>
    <mergeCell ref="B35:C35"/>
    <mergeCell ref="B52:C52"/>
    <mergeCell ref="B51:C51"/>
    <mergeCell ref="B50:C50"/>
    <mergeCell ref="B49:C49"/>
    <mergeCell ref="B48:C48"/>
    <mergeCell ref="B47:C47"/>
    <mergeCell ref="B46:C46"/>
    <mergeCell ref="B45:C45"/>
    <mergeCell ref="B44:C44"/>
    <mergeCell ref="A73:D73"/>
    <mergeCell ref="A70:D70"/>
    <mergeCell ref="B58:C58"/>
    <mergeCell ref="B57:C57"/>
    <mergeCell ref="F67:G67"/>
    <mergeCell ref="B56:C56"/>
    <mergeCell ref="B55:C55"/>
    <mergeCell ref="B54:C54"/>
    <mergeCell ref="B53:C53"/>
  </mergeCells>
  <pageMargins left="0.31496062874794006" right="0.31496062874794006" top="0.55118107795715332" bottom="0.31496062874794006" header="0" footer="0.11811023205518723"/>
  <pageSetup paperSize="9" fitToWidth="0" fitToHeight="0" orientation="landscape"/>
  <headerFooter>
    <oddFooter>&amp;R&amp;8&amp;"Times New Roman,Regular"Стр. &amp;P из &amp;N&amp;12&amp;"-,Regular"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2"/>
  <sheetViews>
    <sheetView workbookViewId="0"/>
  </sheetViews>
  <sheetFormatPr defaultColWidth="9.140625" defaultRowHeight="15" x14ac:dyDescent="0.25"/>
  <cols>
    <col min="1" max="1" width="2.7109375" style="46" customWidth="1"/>
    <col min="2" max="2" width="6.5703125" style="46" customWidth="1"/>
    <col min="3" max="3" width="19.85546875" style="46" customWidth="1"/>
    <col min="4" max="4" width="11.28515625" style="46" customWidth="1"/>
    <col min="5" max="5" width="6.28515625" style="46" customWidth="1"/>
    <col min="6" max="6" width="8.5703125" style="46" customWidth="1"/>
    <col min="7" max="7" width="4.42578125" style="46" customWidth="1"/>
    <col min="8" max="8" width="6.140625" style="46" customWidth="1"/>
    <col min="9" max="9" width="8.7109375" style="46" customWidth="1"/>
    <col min="10" max="10" width="2.7109375" style="46" customWidth="1"/>
    <col min="11" max="11" width="6.28515625" style="46" customWidth="1"/>
    <col min="12" max="12" width="6.28515625" style="46" hidden="1" customWidth="1"/>
    <col min="13" max="13" width="6.28515625" style="46" customWidth="1"/>
    <col min="14" max="14" width="6.28515625" style="46" hidden="1" customWidth="1"/>
    <col min="15" max="15" width="6.28515625" style="46" customWidth="1"/>
    <col min="16" max="16" width="6.28515625" style="46" hidden="1" customWidth="1"/>
    <col min="17" max="17" width="6.28515625" style="46" customWidth="1"/>
    <col min="18" max="18" width="6.28515625" style="46" hidden="1" customWidth="1"/>
    <col min="19" max="19" width="6.28515625" style="46" customWidth="1"/>
    <col min="20" max="20" width="6.28515625" style="46" hidden="1" customWidth="1"/>
    <col min="21" max="21" width="6.28515625" style="46" customWidth="1"/>
    <col min="22" max="22" width="6.28515625" style="46" hidden="1" customWidth="1"/>
    <col min="23" max="23" width="6.28515625" style="46" customWidth="1"/>
    <col min="24" max="24" width="6.28515625" style="46" hidden="1" customWidth="1"/>
    <col min="25" max="25" width="6.28515625" style="46" customWidth="1"/>
    <col min="26" max="26" width="6.28515625" style="46" hidden="1" customWidth="1"/>
    <col min="27" max="27" width="6.28515625" style="46" customWidth="1"/>
    <col min="28" max="28" width="6.28515625" style="46" hidden="1" customWidth="1"/>
    <col min="29" max="29" width="6.28515625" style="46" customWidth="1"/>
    <col min="30" max="30" width="6.28515625" style="46" hidden="1" customWidth="1"/>
    <col min="31" max="31" width="6.28515625" style="46" customWidth="1"/>
    <col min="32" max="32" width="6.28515625" style="46" hidden="1" customWidth="1"/>
    <col min="33" max="33" width="6.28515625" style="46" customWidth="1"/>
    <col min="34" max="34" width="6.28515625" style="46" hidden="1" customWidth="1"/>
    <col min="35" max="35" width="6.28515625" style="46" customWidth="1"/>
    <col min="36" max="36" width="6.28515625" style="46" hidden="1" customWidth="1"/>
    <col min="37" max="37" width="6.28515625" style="46" customWidth="1"/>
    <col min="38" max="38" width="6.28515625" style="46" hidden="1" customWidth="1"/>
    <col min="39" max="39" width="6.28515625" style="46" customWidth="1"/>
    <col min="40" max="40" width="2.42578125" style="46" customWidth="1"/>
    <col min="41" max="41" width="6.28515625" style="46" customWidth="1"/>
    <col min="42" max="42" width="2.42578125" style="46" customWidth="1"/>
    <col min="43" max="43" width="6.28515625" style="46" customWidth="1"/>
    <col min="44" max="44" width="2.42578125" style="46" customWidth="1"/>
    <col min="45" max="45" width="6.28515625" style="46" customWidth="1"/>
    <col min="46" max="46" width="2.42578125" style="46" customWidth="1"/>
    <col min="47" max="48" width="2" style="46" bestFit="1" customWidth="1"/>
    <col min="49" max="49" width="6.140625" style="46" customWidth="1"/>
    <col min="50" max="50" width="2" style="46" customWidth="1"/>
    <col min="51" max="66" width="1.140625" style="46" customWidth="1"/>
    <col min="67" max="67" width="9.140625" style="46" bestFit="1" customWidth="1"/>
    <col min="68" max="16384" width="9.140625" style="46"/>
  </cols>
  <sheetData>
    <row r="1" spans="1:62" ht="40.5" customHeight="1" x14ac:dyDescent="0.25">
      <c r="A1" s="2248" t="s">
        <v>581</v>
      </c>
      <c r="B1" s="2615"/>
      <c r="C1" s="2616"/>
      <c r="D1" s="2617"/>
      <c r="E1" s="2618"/>
      <c r="F1" s="2619"/>
      <c r="G1" s="2620"/>
      <c r="H1" s="2621"/>
      <c r="I1" s="2622"/>
      <c r="J1" s="2623"/>
      <c r="K1" s="2624"/>
      <c r="L1" s="2625"/>
      <c r="M1" s="2626"/>
      <c r="N1" s="2627"/>
      <c r="O1" s="2628"/>
      <c r="P1" s="2629"/>
      <c r="Q1" s="2630"/>
      <c r="R1" s="642"/>
      <c r="S1" s="524" t="s">
        <v>675</v>
      </c>
      <c r="T1" s="643"/>
      <c r="U1" s="2248" t="s">
        <v>581</v>
      </c>
      <c r="V1" s="2513"/>
      <c r="W1" s="2514"/>
      <c r="X1" s="2515"/>
      <c r="Y1" s="2516"/>
      <c r="Z1" s="2517"/>
      <c r="AA1" s="2518"/>
      <c r="AB1" s="2519"/>
      <c r="AC1" s="2520"/>
      <c r="AD1" s="2521"/>
      <c r="AE1" s="2522"/>
      <c r="AF1" s="2523"/>
      <c r="AG1" s="2524"/>
      <c r="AH1" s="2525"/>
      <c r="AI1" s="2526"/>
      <c r="AJ1" s="2527"/>
      <c r="AK1" s="2528"/>
      <c r="AL1" s="2529"/>
      <c r="AM1" s="2530"/>
      <c r="AN1" s="2531"/>
      <c r="AO1" s="2532"/>
      <c r="AP1" s="2533"/>
      <c r="AQ1" s="2534"/>
      <c r="AR1" s="2535"/>
      <c r="AS1" s="2536"/>
      <c r="AT1" s="2537"/>
      <c r="AU1" s="2538"/>
      <c r="AV1" s="112"/>
      <c r="AW1" s="112"/>
      <c r="AX1" s="112"/>
      <c r="AY1" s="112"/>
      <c r="AZ1" s="112"/>
      <c r="BA1" s="195"/>
      <c r="BB1" s="202"/>
      <c r="BC1" s="195"/>
      <c r="BD1" s="202"/>
      <c r="BE1" s="195"/>
      <c r="BF1" s="202"/>
      <c r="BG1" s="195"/>
      <c r="BH1" s="96"/>
      <c r="BI1" s="96"/>
      <c r="BJ1" s="96"/>
    </row>
    <row r="2" spans="1:62" ht="15.75" customHeight="1" x14ac:dyDescent="0.25">
      <c r="A2" s="525" t="s">
        <v>578</v>
      </c>
      <c r="B2" s="526"/>
      <c r="C2" s="526"/>
      <c r="D2" s="526"/>
      <c r="E2" s="526"/>
      <c r="F2" s="526"/>
      <c r="G2" s="527"/>
      <c r="H2" s="527"/>
      <c r="I2" s="528" t="s">
        <v>676</v>
      </c>
      <c r="J2" s="529"/>
      <c r="K2" s="530" t="s">
        <v>588</v>
      </c>
      <c r="L2" s="644"/>
      <c r="M2" s="531">
        <v>14</v>
      </c>
      <c r="N2" s="645"/>
      <c r="O2" s="532" t="s">
        <v>589</v>
      </c>
      <c r="P2" s="532"/>
      <c r="Q2" s="533"/>
      <c r="R2" s="645"/>
      <c r="S2" s="534">
        <v>3</v>
      </c>
      <c r="T2" s="646"/>
      <c r="U2" s="2318" t="s">
        <v>579</v>
      </c>
      <c r="V2" s="2609"/>
      <c r="W2" s="2610"/>
      <c r="X2" s="2611"/>
      <c r="Y2" s="2612"/>
      <c r="Z2" s="2613"/>
      <c r="AA2" s="2614"/>
      <c r="AB2" s="647"/>
      <c r="AC2" s="2018" t="s">
        <v>246</v>
      </c>
      <c r="AD2" s="2589"/>
      <c r="AE2" s="2590"/>
      <c r="AF2" s="2591"/>
      <c r="AG2" s="2592"/>
      <c r="AH2" s="648"/>
      <c r="AI2" s="2028" t="s">
        <v>580</v>
      </c>
      <c r="AJ2" s="2539"/>
      <c r="AK2" s="2540"/>
      <c r="AL2" s="2541"/>
      <c r="AM2" s="2542"/>
      <c r="AN2" s="2543"/>
      <c r="AO2" s="2544"/>
      <c r="AP2" s="2545"/>
      <c r="AQ2" s="2546"/>
      <c r="AR2" s="2547"/>
      <c r="AS2" s="2548"/>
      <c r="AT2" s="2549"/>
      <c r="AU2" s="2550"/>
      <c r="AV2" s="649"/>
      <c r="AW2" s="328"/>
      <c r="AX2" s="318"/>
      <c r="AY2" s="318"/>
      <c r="AZ2" s="535"/>
      <c r="BA2" s="346"/>
      <c r="BB2" s="536"/>
      <c r="BC2" s="346"/>
      <c r="BD2" s="536"/>
      <c r="BE2" s="346"/>
      <c r="BF2" s="318"/>
      <c r="BG2" s="96"/>
      <c r="BH2" s="96"/>
      <c r="BI2" s="96"/>
    </row>
    <row r="3" spans="1:62" ht="15.75" customHeight="1" x14ac:dyDescent="0.25">
      <c r="A3" s="537"/>
      <c r="B3" s="319"/>
      <c r="C3" s="538"/>
      <c r="D3" s="319"/>
      <c r="E3" s="539"/>
      <c r="F3" s="540" t="s">
        <v>677</v>
      </c>
      <c r="G3" s="539"/>
      <c r="H3" s="541"/>
      <c r="I3" s="542" t="s">
        <v>678</v>
      </c>
      <c r="J3" s="543"/>
      <c r="K3" s="544" t="s">
        <v>588</v>
      </c>
      <c r="L3" s="650"/>
      <c r="M3" s="545"/>
      <c r="N3" s="651"/>
      <c r="O3" s="546" t="s">
        <v>589</v>
      </c>
      <c r="P3" s="546"/>
      <c r="Q3" s="322"/>
      <c r="R3" s="651"/>
      <c r="S3" s="547">
        <v>2</v>
      </c>
      <c r="T3" s="652"/>
      <c r="U3" s="548" t="s">
        <v>260</v>
      </c>
      <c r="V3" s="548"/>
      <c r="W3" s="325" t="s">
        <v>79</v>
      </c>
      <c r="X3" s="325"/>
      <c r="Y3" s="325" t="s">
        <v>94</v>
      </c>
      <c r="Z3" s="653"/>
      <c r="AA3" s="326" t="s">
        <v>158</v>
      </c>
      <c r="AB3" s="654"/>
      <c r="AC3" s="2593"/>
      <c r="AD3" s="2594"/>
      <c r="AE3" s="2595"/>
      <c r="AF3" s="2596"/>
      <c r="AG3" s="2597"/>
      <c r="AH3" s="655"/>
      <c r="AI3" s="2551"/>
      <c r="AJ3" s="2552"/>
      <c r="AK3" s="2553"/>
      <c r="AL3" s="2554"/>
      <c r="AM3" s="2555"/>
      <c r="AN3" s="2556"/>
      <c r="AO3" s="2557"/>
      <c r="AP3" s="2558"/>
      <c r="AQ3" s="2559"/>
      <c r="AR3" s="2560"/>
      <c r="AS3" s="2561"/>
      <c r="AT3" s="2562"/>
      <c r="AU3" s="2563"/>
      <c r="AV3" s="649"/>
      <c r="AW3" s="328"/>
      <c r="AX3" s="318"/>
      <c r="AY3" s="318"/>
      <c r="AZ3" s="535"/>
      <c r="BA3" s="346"/>
      <c r="BB3" s="536"/>
      <c r="BC3" s="346"/>
      <c r="BD3" s="549"/>
      <c r="BE3" s="318"/>
      <c r="BF3" s="327"/>
      <c r="BG3" s="96"/>
      <c r="BH3" s="96"/>
      <c r="BI3" s="96"/>
    </row>
    <row r="4" spans="1:62" ht="15.75" customHeight="1" x14ac:dyDescent="0.25">
      <c r="A4" s="537"/>
      <c r="B4" s="315"/>
      <c r="C4" s="538"/>
      <c r="D4" s="319"/>
      <c r="E4" s="539"/>
      <c r="F4" s="319"/>
      <c r="G4" s="541"/>
      <c r="H4" s="541"/>
      <c r="I4" s="542" t="s">
        <v>679</v>
      </c>
      <c r="J4" s="543"/>
      <c r="K4" s="544" t="s">
        <v>588</v>
      </c>
      <c r="L4" s="650"/>
      <c r="M4" s="545"/>
      <c r="N4" s="651"/>
      <c r="O4" s="546" t="s">
        <v>589</v>
      </c>
      <c r="P4" s="546"/>
      <c r="Q4" s="322"/>
      <c r="R4" s="651"/>
      <c r="S4" s="547">
        <v>2</v>
      </c>
      <c r="T4" s="652"/>
      <c r="U4" s="548" t="s">
        <v>261</v>
      </c>
      <c r="V4" s="548"/>
      <c r="W4" s="325" t="s">
        <v>76</v>
      </c>
      <c r="X4" s="325"/>
      <c r="Y4" s="325" t="s">
        <v>100</v>
      </c>
      <c r="Z4" s="653"/>
      <c r="AA4" s="326" t="s">
        <v>82</v>
      </c>
      <c r="AB4" s="654"/>
      <c r="AC4" s="2018" t="s">
        <v>248</v>
      </c>
      <c r="AD4" s="2598"/>
      <c r="AE4" s="2599"/>
      <c r="AF4" s="2600"/>
      <c r="AG4" s="2601"/>
      <c r="AH4" s="648"/>
      <c r="AI4" s="2028" t="s">
        <v>680</v>
      </c>
      <c r="AJ4" s="2564"/>
      <c r="AK4" s="2565"/>
      <c r="AL4" s="2566"/>
      <c r="AM4" s="2567"/>
      <c r="AN4" s="2568"/>
      <c r="AO4" s="2569"/>
      <c r="AP4" s="2570"/>
      <c r="AQ4" s="2571"/>
      <c r="AR4" s="2572"/>
      <c r="AS4" s="2573"/>
      <c r="AT4" s="2574"/>
      <c r="AU4" s="2575"/>
      <c r="AV4" s="649"/>
      <c r="AW4" s="328"/>
      <c r="AX4" s="318"/>
      <c r="AY4" s="318"/>
      <c r="AZ4" s="535"/>
      <c r="BA4" s="346"/>
      <c r="BB4" s="536"/>
      <c r="BC4" s="346"/>
      <c r="BD4" s="536"/>
      <c r="BE4" s="346"/>
      <c r="BF4" s="318"/>
      <c r="BG4" s="96"/>
      <c r="BH4" s="96"/>
      <c r="BI4" s="96"/>
    </row>
    <row r="5" spans="1:62" ht="16.5" customHeight="1" x14ac:dyDescent="0.25">
      <c r="A5" s="550"/>
      <c r="B5" s="551"/>
      <c r="C5" s="552" t="s">
        <v>587</v>
      </c>
      <c r="D5" s="553" t="s">
        <v>588</v>
      </c>
      <c r="E5" s="554">
        <f>IF(ISBLANK(M5), IF(ISBLANK(Q5), IF(ISBLANK(M4), IF(ISBLANK(Q4), IF(ISBLANK(M3), IF(ISBLANK(Q3), IF(ISBLANK(M2), IF(ISBLANK(Q2), 0, 0), M2), 0), M3), 0), M4), 0), M5)</f>
        <v>14</v>
      </c>
      <c r="F5" s="553" t="s">
        <v>589</v>
      </c>
      <c r="G5" s="555">
        <f>IF(ISBLANK(Q2), 999, Q2)</f>
        <v>999</v>
      </c>
      <c r="H5" s="556" t="s">
        <v>681</v>
      </c>
      <c r="I5" s="557" t="s">
        <v>682</v>
      </c>
      <c r="J5" s="558"/>
      <c r="K5" s="559" t="s">
        <v>588</v>
      </c>
      <c r="L5" s="656"/>
      <c r="M5" s="560"/>
      <c r="N5" s="657"/>
      <c r="O5" s="561" t="s">
        <v>589</v>
      </c>
      <c r="P5" s="561"/>
      <c r="Q5" s="562"/>
      <c r="R5" s="657"/>
      <c r="S5" s="563">
        <v>2</v>
      </c>
      <c r="T5" s="658"/>
      <c r="U5" s="564" t="s">
        <v>262</v>
      </c>
      <c r="V5" s="564"/>
      <c r="W5" s="565" t="s">
        <v>84</v>
      </c>
      <c r="X5" s="565"/>
      <c r="Y5" s="565" t="s">
        <v>117</v>
      </c>
      <c r="Z5" s="659"/>
      <c r="AA5" s="566"/>
      <c r="AB5" s="564"/>
      <c r="AC5" s="2602"/>
      <c r="AD5" s="2603"/>
      <c r="AE5" s="2604"/>
      <c r="AF5" s="2605"/>
      <c r="AG5" s="2606"/>
      <c r="AH5" s="655"/>
      <c r="AI5" s="2576"/>
      <c r="AJ5" s="2577"/>
      <c r="AK5" s="2578"/>
      <c r="AL5" s="2579"/>
      <c r="AM5" s="2580"/>
      <c r="AN5" s="2581"/>
      <c r="AO5" s="2582"/>
      <c r="AP5" s="2583"/>
      <c r="AQ5" s="2584"/>
      <c r="AR5" s="2585"/>
      <c r="AS5" s="2586"/>
      <c r="AT5" s="2587"/>
      <c r="AU5" s="2588"/>
      <c r="AV5" s="660"/>
      <c r="AW5" s="328"/>
      <c r="AX5" s="112"/>
      <c r="AY5" s="112"/>
      <c r="AZ5" s="195"/>
      <c r="BA5" s="346"/>
      <c r="BB5" s="195"/>
      <c r="BC5" s="346"/>
      <c r="BD5" s="195"/>
      <c r="BE5" s="346"/>
      <c r="BF5" s="195"/>
      <c r="BG5" s="96"/>
      <c r="BH5" s="96"/>
      <c r="BI5" s="96"/>
    </row>
    <row r="6" spans="1:62" ht="19.5" x14ac:dyDescent="0.25">
      <c r="A6" s="661"/>
      <c r="B6" s="662" t="s">
        <v>572</v>
      </c>
      <c r="C6" s="663"/>
      <c r="D6" s="661"/>
      <c r="E6" s="664"/>
      <c r="F6" s="664"/>
      <c r="G6" s="663"/>
      <c r="H6" s="663"/>
      <c r="I6" s="663"/>
      <c r="J6" s="663"/>
      <c r="K6" s="663"/>
      <c r="L6" s="663"/>
      <c r="M6" s="660"/>
      <c r="N6" s="660"/>
      <c r="O6" s="660"/>
      <c r="P6" s="660"/>
      <c r="Q6" s="660"/>
      <c r="R6" s="660"/>
      <c r="S6" s="660"/>
      <c r="T6" s="660"/>
      <c r="U6" s="319"/>
      <c r="V6" s="319"/>
      <c r="W6" s="319"/>
      <c r="X6" s="319"/>
      <c r="Y6" s="319"/>
      <c r="Z6" s="319"/>
      <c r="AA6" s="319"/>
      <c r="AB6" s="319"/>
      <c r="AC6" s="665"/>
      <c r="AD6" s="665"/>
      <c r="AE6" s="665"/>
      <c r="AF6" s="665"/>
      <c r="AG6" s="665"/>
      <c r="AH6" s="665"/>
      <c r="AI6" s="660"/>
      <c r="AJ6" s="660"/>
      <c r="AK6" s="660"/>
      <c r="AL6" s="660"/>
      <c r="AM6" s="660"/>
      <c r="AN6" s="660"/>
      <c r="AO6" s="660"/>
      <c r="AP6" s="660"/>
      <c r="AQ6" s="660"/>
      <c r="AR6" s="660"/>
      <c r="AS6" s="660"/>
      <c r="AT6" s="660"/>
      <c r="AU6" s="660"/>
      <c r="AV6" s="660"/>
      <c r="AW6" s="660"/>
      <c r="AX6" s="112"/>
      <c r="AY6" s="112"/>
      <c r="AZ6" s="112"/>
      <c r="BA6" s="195"/>
      <c r="BB6" s="202"/>
      <c r="BC6" s="195"/>
      <c r="BD6" s="202"/>
      <c r="BE6" s="195"/>
      <c r="BF6" s="202"/>
      <c r="BG6" s="195"/>
      <c r="BH6" s="96"/>
      <c r="BI6" s="96"/>
      <c r="BJ6" s="96"/>
    </row>
    <row r="7" spans="1:62" s="300" customFormat="1" x14ac:dyDescent="0.25">
      <c r="A7" s="2607" t="s">
        <v>573</v>
      </c>
      <c r="B7" s="2607"/>
      <c r="C7" s="2607"/>
      <c r="D7" s="2607"/>
      <c r="E7" s="2607"/>
      <c r="F7" s="2607"/>
      <c r="G7" s="2607"/>
      <c r="H7" s="2607"/>
      <c r="I7" s="2607"/>
      <c r="J7" s="2607"/>
      <c r="K7" s="2607"/>
      <c r="L7" s="2607"/>
      <c r="M7" s="2607"/>
      <c r="N7" s="2607"/>
      <c r="O7" s="2607"/>
      <c r="P7" s="2607"/>
      <c r="Q7" s="2607"/>
      <c r="R7" s="2607"/>
      <c r="S7" s="2607"/>
      <c r="T7" s="2607"/>
      <c r="U7" s="2607"/>
      <c r="V7" s="2607"/>
      <c r="W7" s="2607"/>
      <c r="X7" s="2607"/>
      <c r="Y7" s="2607"/>
      <c r="Z7" s="2607"/>
      <c r="AA7" s="2607"/>
      <c r="AB7" s="2607"/>
      <c r="AC7" s="2607"/>
      <c r="AD7" s="2607"/>
      <c r="AE7" s="2607"/>
      <c r="AF7" s="2607"/>
      <c r="AG7" s="2607"/>
      <c r="AH7" s="2607"/>
      <c r="AI7" s="2607"/>
      <c r="AJ7" s="2607"/>
      <c r="AK7" s="2607"/>
      <c r="AL7" s="2607"/>
      <c r="AM7" s="2607"/>
      <c r="AN7" s="2607"/>
      <c r="AO7" s="2607"/>
      <c r="AP7" s="2607"/>
      <c r="AQ7" s="2607"/>
      <c r="AR7" s="2607"/>
      <c r="AS7" s="2607"/>
      <c r="AT7" s="2607"/>
      <c r="AU7" s="2607"/>
      <c r="AV7" s="2607"/>
      <c r="AW7" s="2607"/>
      <c r="AX7" s="567"/>
      <c r="AY7" s="567"/>
      <c r="AZ7" s="567"/>
      <c r="BA7" s="568"/>
      <c r="BB7" s="569"/>
      <c r="BC7" s="568"/>
      <c r="BD7" s="569"/>
      <c r="BE7" s="568"/>
      <c r="BF7" s="569"/>
      <c r="BG7" s="568"/>
      <c r="BH7" s="311"/>
      <c r="BI7" s="311"/>
      <c r="BJ7" s="311"/>
    </row>
    <row r="8" spans="1:62" s="300" customFormat="1" x14ac:dyDescent="0.25">
      <c r="A8" s="2607" t="s">
        <v>683</v>
      </c>
      <c r="B8" s="2607"/>
      <c r="C8" s="2607"/>
      <c r="D8" s="2607"/>
      <c r="E8" s="2607"/>
      <c r="F8" s="2607"/>
      <c r="G8" s="2607"/>
      <c r="H8" s="2607"/>
      <c r="I8" s="2607"/>
      <c r="J8" s="2607"/>
      <c r="K8" s="2607"/>
      <c r="L8" s="2607"/>
      <c r="M8" s="2607"/>
      <c r="N8" s="2607"/>
      <c r="O8" s="2607"/>
      <c r="P8" s="2607"/>
      <c r="Q8" s="2607"/>
      <c r="R8" s="2607"/>
      <c r="S8" s="2607"/>
      <c r="T8" s="2607"/>
      <c r="U8" s="2607"/>
      <c r="V8" s="2607"/>
      <c r="W8" s="2607"/>
      <c r="X8" s="2607"/>
      <c r="Y8" s="2607"/>
      <c r="Z8" s="2607"/>
      <c r="AA8" s="2607"/>
      <c r="AB8" s="2607"/>
      <c r="AC8" s="2607"/>
      <c r="AD8" s="2607"/>
      <c r="AE8" s="2607"/>
      <c r="AF8" s="2607"/>
      <c r="AG8" s="2607"/>
      <c r="AH8" s="2607"/>
      <c r="AI8" s="2607"/>
      <c r="AJ8" s="2607"/>
      <c r="AK8" s="2607"/>
      <c r="AL8" s="2607"/>
      <c r="AM8" s="2607"/>
      <c r="AN8" s="2607"/>
      <c r="AO8" s="2607"/>
      <c r="AP8" s="2607"/>
      <c r="AQ8" s="2607"/>
      <c r="AR8" s="2607"/>
      <c r="AS8" s="2607"/>
      <c r="AT8" s="2607"/>
      <c r="AU8" s="2607"/>
      <c r="AV8" s="2607"/>
      <c r="AW8" s="2607"/>
      <c r="AX8" s="567"/>
      <c r="AY8" s="567"/>
      <c r="AZ8" s="567"/>
      <c r="BA8" s="568"/>
      <c r="BB8" s="569"/>
      <c r="BC8" s="568"/>
      <c r="BD8" s="569"/>
      <c r="BE8" s="568"/>
      <c r="BF8" s="569"/>
      <c r="BG8" s="568"/>
      <c r="BH8" s="311"/>
      <c r="BI8" s="311"/>
      <c r="BJ8" s="311"/>
    </row>
    <row r="9" spans="1:62" s="300" customFormat="1" ht="64.5" customHeight="1" x14ac:dyDescent="0.25">
      <c r="A9" s="2608" t="s">
        <v>684</v>
      </c>
      <c r="B9" s="2608"/>
      <c r="C9" s="2608"/>
      <c r="D9" s="2608"/>
      <c r="E9" s="2608"/>
      <c r="F9" s="2608"/>
      <c r="G9" s="2608"/>
      <c r="H9" s="2608"/>
      <c r="I9" s="2608"/>
      <c r="J9" s="2608"/>
      <c r="K9" s="2608"/>
      <c r="L9" s="2608"/>
      <c r="M9" s="2608"/>
      <c r="N9" s="2608"/>
      <c r="O9" s="2608"/>
      <c r="P9" s="2608"/>
      <c r="Q9" s="2608"/>
      <c r="R9" s="2608"/>
      <c r="S9" s="2608"/>
      <c r="T9" s="2608"/>
      <c r="U9" s="2608"/>
      <c r="V9" s="2608"/>
      <c r="W9" s="2608"/>
      <c r="X9" s="2608"/>
      <c r="Y9" s="2608"/>
      <c r="Z9" s="2608"/>
      <c r="AA9" s="2608"/>
      <c r="AB9" s="2608"/>
      <c r="AC9" s="2608"/>
      <c r="AD9" s="2608"/>
      <c r="AE9" s="2608"/>
      <c r="AF9" s="2608"/>
      <c r="AG9" s="2608"/>
      <c r="AH9" s="2608"/>
      <c r="AI9" s="2608"/>
      <c r="AJ9" s="2608"/>
      <c r="AK9" s="2608"/>
      <c r="AL9" s="2608"/>
      <c r="AM9" s="2608"/>
      <c r="AN9" s="2608"/>
      <c r="AO9" s="2608"/>
      <c r="AP9" s="2608"/>
      <c r="AQ9" s="2608"/>
      <c r="AR9" s="2608"/>
      <c r="AS9" s="2608"/>
      <c r="AT9" s="2608"/>
      <c r="AU9" s="2608"/>
      <c r="AV9" s="2608"/>
      <c r="AW9" s="2608"/>
      <c r="AX9" s="567"/>
      <c r="AY9" s="567"/>
      <c r="AZ9" s="567"/>
      <c r="BA9" s="568"/>
      <c r="BB9" s="569"/>
      <c r="BC9" s="568"/>
      <c r="BD9" s="569"/>
      <c r="BE9" s="568"/>
      <c r="BF9" s="569"/>
      <c r="BG9" s="568"/>
      <c r="BH9" s="311"/>
      <c r="BI9" s="311"/>
      <c r="BJ9" s="311"/>
    </row>
    <row r="10" spans="1:62" s="300" customFormat="1" x14ac:dyDescent="0.25">
      <c r="A10" s="2607" t="s">
        <v>576</v>
      </c>
      <c r="B10" s="2607"/>
      <c r="C10" s="2607"/>
      <c r="D10" s="2607"/>
      <c r="E10" s="2607"/>
      <c r="F10" s="2607"/>
      <c r="G10" s="2607"/>
      <c r="H10" s="2607"/>
      <c r="I10" s="2607"/>
      <c r="J10" s="2607"/>
      <c r="K10" s="2607"/>
      <c r="L10" s="2607"/>
      <c r="M10" s="2607"/>
      <c r="N10" s="2607"/>
      <c r="O10" s="2607"/>
      <c r="P10" s="2607"/>
      <c r="Q10" s="2607"/>
      <c r="R10" s="2607"/>
      <c r="S10" s="2607"/>
      <c r="T10" s="2607"/>
      <c r="U10" s="2607"/>
      <c r="V10" s="2607"/>
      <c r="W10" s="2607"/>
      <c r="X10" s="2607"/>
      <c r="Y10" s="2607"/>
      <c r="Z10" s="2607"/>
      <c r="AA10" s="2607"/>
      <c r="AB10" s="2607"/>
      <c r="AC10" s="2607"/>
      <c r="AD10" s="2607"/>
      <c r="AE10" s="2607"/>
      <c r="AF10" s="2607"/>
      <c r="AG10" s="2607"/>
      <c r="AH10" s="2607"/>
      <c r="AI10" s="2607"/>
      <c r="AJ10" s="2607"/>
      <c r="AK10" s="2607"/>
      <c r="AL10" s="2607"/>
      <c r="AM10" s="2607"/>
      <c r="AN10" s="2607"/>
      <c r="AO10" s="2607"/>
      <c r="AP10" s="2607"/>
      <c r="AQ10" s="2607"/>
      <c r="AR10" s="2607"/>
      <c r="AS10" s="2607"/>
      <c r="AT10" s="2607"/>
      <c r="AU10" s="2607"/>
      <c r="AV10" s="2607"/>
      <c r="AW10" s="2607"/>
      <c r="AX10" s="567"/>
      <c r="AY10" s="567"/>
      <c r="AZ10" s="567"/>
      <c r="BA10" s="568"/>
      <c r="BB10" s="569"/>
      <c r="BC10" s="568"/>
      <c r="BD10" s="569"/>
      <c r="BE10" s="568"/>
      <c r="BF10" s="569"/>
      <c r="BG10" s="568"/>
      <c r="BH10" s="311"/>
      <c r="BI10" s="311"/>
      <c r="BJ10" s="311"/>
    </row>
    <row r="11" spans="1:62" s="300" customFormat="1" ht="44.25" customHeight="1" x14ac:dyDescent="0.25">
      <c r="A11" s="2608" t="s">
        <v>707</v>
      </c>
      <c r="B11" s="2608"/>
      <c r="C11" s="2608"/>
      <c r="D11" s="2608"/>
      <c r="E11" s="2608"/>
      <c r="F11" s="2608"/>
      <c r="G11" s="2608"/>
      <c r="H11" s="2608"/>
      <c r="I11" s="2608"/>
      <c r="J11" s="2608"/>
      <c r="K11" s="2608"/>
      <c r="L11" s="2608"/>
      <c r="M11" s="2608"/>
      <c r="N11" s="2608"/>
      <c r="O11" s="2608"/>
      <c r="P11" s="2608"/>
      <c r="Q11" s="2608"/>
      <c r="R11" s="2608"/>
      <c r="S11" s="2608"/>
      <c r="T11" s="2608"/>
      <c r="U11" s="2608"/>
      <c r="V11" s="2608"/>
      <c r="W11" s="2608"/>
      <c r="X11" s="2608"/>
      <c r="Y11" s="2608"/>
      <c r="Z11" s="2608"/>
      <c r="AA11" s="2608"/>
      <c r="AB11" s="2608"/>
      <c r="AC11" s="2608"/>
      <c r="AD11" s="2608"/>
      <c r="AE11" s="2608"/>
      <c r="AF11" s="2608"/>
      <c r="AG11" s="2608"/>
      <c r="AH11" s="2608"/>
      <c r="AI11" s="2608"/>
      <c r="AJ11" s="2608"/>
      <c r="AK11" s="2608"/>
      <c r="AL11" s="2608"/>
      <c r="AM11" s="2608"/>
      <c r="AN11" s="2608"/>
      <c r="AO11" s="2608"/>
      <c r="AP11" s="2608"/>
      <c r="AQ11" s="2608"/>
      <c r="AR11" s="2608"/>
      <c r="AS11" s="2608"/>
      <c r="AT11" s="2608"/>
      <c r="AU11" s="2608"/>
      <c r="AV11" s="2608"/>
      <c r="AW11" s="2608"/>
      <c r="AX11" s="567"/>
      <c r="AY11" s="567"/>
      <c r="AZ11" s="567"/>
      <c r="BA11" s="568"/>
      <c r="BB11" s="569"/>
      <c r="BC11" s="568"/>
      <c r="BD11" s="569"/>
      <c r="BE11" s="568"/>
      <c r="BF11" s="569"/>
      <c r="BG11" s="568"/>
      <c r="BH11" s="311"/>
      <c r="BI11" s="311"/>
      <c r="BJ11" s="311"/>
    </row>
    <row r="12" spans="1:62" ht="25.5" x14ac:dyDescent="0.25">
      <c r="A12" s="1980" t="s">
        <v>590</v>
      </c>
      <c r="B12" s="1980"/>
      <c r="C12" s="1980"/>
      <c r="D12" s="1980"/>
      <c r="E12" s="1980"/>
      <c r="F12" s="1980"/>
      <c r="G12" s="1980"/>
      <c r="H12" s="1980"/>
      <c r="I12" s="1980"/>
      <c r="J12" s="1980"/>
      <c r="K12" s="1980"/>
      <c r="L12" s="1980"/>
      <c r="M12" s="1980"/>
      <c r="N12" s="1980"/>
      <c r="O12" s="1980"/>
      <c r="P12" s="1980"/>
      <c r="Q12" s="1980"/>
      <c r="R12" s="1980"/>
      <c r="S12" s="1980"/>
      <c r="T12" s="1980"/>
      <c r="U12" s="1980"/>
      <c r="V12" s="1980"/>
      <c r="W12" s="1980"/>
      <c r="X12" s="1980"/>
      <c r="Y12" s="1980"/>
      <c r="Z12" s="1980"/>
      <c r="AA12" s="1980"/>
      <c r="AB12" s="1980"/>
      <c r="AC12" s="1980"/>
      <c r="AD12" s="1980"/>
      <c r="AE12" s="1980"/>
      <c r="AF12" s="1980"/>
      <c r="AG12" s="1980"/>
      <c r="AH12" s="1980"/>
      <c r="AI12" s="1980"/>
      <c r="AJ12" s="1980"/>
      <c r="AK12" s="1980"/>
      <c r="AL12" s="1980"/>
      <c r="AM12" s="1980"/>
      <c r="AN12" s="1980"/>
      <c r="AO12" s="1980"/>
      <c r="AP12" s="1980"/>
      <c r="AQ12" s="1980"/>
      <c r="AR12" s="1980"/>
      <c r="AS12" s="1980"/>
      <c r="AT12" s="1980"/>
      <c r="AU12" s="570"/>
      <c r="AV12" s="570"/>
      <c r="AW12" s="570"/>
      <c r="AX12" s="570"/>
      <c r="AY12" s="570"/>
      <c r="AZ12" s="570"/>
      <c r="BA12" s="570"/>
      <c r="BB12" s="570"/>
      <c r="BC12" s="570"/>
      <c r="BD12" s="570"/>
      <c r="BE12" s="570"/>
      <c r="BF12" s="333"/>
      <c r="BG12" s="333"/>
      <c r="BH12" s="96"/>
      <c r="BI12" s="96"/>
      <c r="BJ12" s="96"/>
    </row>
    <row r="13" spans="1:62" ht="15.75" customHeight="1" x14ac:dyDescent="0.25">
      <c r="A13" s="193"/>
      <c r="B13" s="87"/>
      <c r="C13" s="334"/>
      <c r="D13" s="335" t="s">
        <v>591</v>
      </c>
      <c r="E13" s="336" t="s">
        <v>686</v>
      </c>
      <c r="F13" s="336"/>
      <c r="G13" s="334"/>
      <c r="H13" s="334"/>
      <c r="I13" s="334"/>
      <c r="J13" s="334"/>
      <c r="K13" s="334"/>
      <c r="L13" s="334"/>
      <c r="M13" s="337"/>
      <c r="N13" s="337"/>
      <c r="O13" s="337"/>
      <c r="P13" s="337"/>
      <c r="Q13" s="337"/>
      <c r="R13" s="337"/>
      <c r="S13" s="337"/>
      <c r="T13" s="337"/>
      <c r="U13" s="337"/>
      <c r="V13" s="337"/>
      <c r="W13" s="337"/>
      <c r="X13" s="337"/>
      <c r="Y13" s="337"/>
      <c r="Z13" s="337"/>
      <c r="AA13" s="337"/>
      <c r="AB13" s="337"/>
      <c r="AC13" s="337"/>
      <c r="AD13" s="337"/>
      <c r="AE13" s="337"/>
      <c r="AF13" s="337"/>
      <c r="AG13" s="337"/>
      <c r="AH13" s="337"/>
      <c r="AI13" s="112"/>
      <c r="AJ13" s="112"/>
      <c r="AK13" s="112"/>
      <c r="AL13" s="112"/>
      <c r="AM13" s="112"/>
      <c r="AQ13" s="112"/>
      <c r="AW13" s="112"/>
      <c r="AY13" s="112"/>
      <c r="BA13" s="112"/>
      <c r="BG13" s="195"/>
      <c r="BH13" s="96"/>
      <c r="BI13" s="96"/>
      <c r="BJ13" s="96"/>
    </row>
    <row r="14" spans="1:62" ht="15.75" customHeight="1" x14ac:dyDescent="0.25">
      <c r="A14" s="193"/>
      <c r="B14" s="87"/>
      <c r="C14" s="334"/>
      <c r="D14" s="335" t="s">
        <v>593</v>
      </c>
      <c r="E14" s="571" t="s">
        <v>687</v>
      </c>
      <c r="F14" s="336"/>
      <c r="G14" s="334"/>
      <c r="H14" s="334"/>
      <c r="I14" s="334"/>
      <c r="J14" s="334"/>
      <c r="K14" s="334"/>
      <c r="L14" s="334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572"/>
      <c r="AH14" s="572"/>
      <c r="AI14" s="112"/>
      <c r="AJ14" s="112"/>
      <c r="AK14" s="112"/>
      <c r="AL14" s="112"/>
      <c r="AM14" s="112"/>
      <c r="AP14" s="55"/>
      <c r="AQ14" s="112"/>
      <c r="AT14" s="55"/>
      <c r="AV14" s="112"/>
      <c r="AW14" s="339"/>
      <c r="AX14" s="112"/>
      <c r="AY14" s="112"/>
      <c r="BA14" s="112"/>
      <c r="BG14" s="195"/>
      <c r="BH14" s="96"/>
      <c r="BI14" s="96"/>
      <c r="BJ14" s="96"/>
    </row>
    <row r="15" spans="1:62" ht="15.75" customHeight="1" x14ac:dyDescent="0.25">
      <c r="A15" s="193"/>
      <c r="B15" s="262"/>
      <c r="C15" s="262"/>
      <c r="D15" s="262"/>
      <c r="F15" s="340" t="s">
        <v>595</v>
      </c>
      <c r="G15" s="341" t="s">
        <v>596</v>
      </c>
      <c r="H15" s="342"/>
      <c r="I15" s="342"/>
      <c r="J15" s="342"/>
      <c r="K15" s="342"/>
      <c r="L15" s="342"/>
      <c r="M15" s="343"/>
      <c r="N15" s="343"/>
      <c r="O15" s="343"/>
      <c r="P15" s="343"/>
      <c r="Q15" s="343"/>
      <c r="R15" s="343"/>
      <c r="S15" s="343"/>
      <c r="T15" s="343"/>
      <c r="U15" s="343"/>
      <c r="V15" s="343"/>
      <c r="W15" s="343"/>
      <c r="X15" s="343"/>
      <c r="Y15" s="343"/>
      <c r="Z15" s="343"/>
      <c r="AA15" s="343"/>
      <c r="AB15" s="343"/>
      <c r="AC15" s="343"/>
      <c r="AD15" s="343"/>
      <c r="AE15" s="343"/>
      <c r="AF15" s="343"/>
      <c r="AG15" s="343"/>
      <c r="AH15" s="343"/>
      <c r="AI15" s="343"/>
      <c r="AJ15" s="343"/>
      <c r="AK15" s="343"/>
      <c r="AL15" s="343"/>
      <c r="AM15" s="343"/>
      <c r="AN15" s="343"/>
      <c r="AO15" s="343"/>
      <c r="AP15" s="343"/>
      <c r="AQ15" s="343"/>
      <c r="AR15" s="343"/>
      <c r="AS15" s="343"/>
      <c r="AT15" s="343"/>
      <c r="AU15" s="318"/>
      <c r="AV15" s="318"/>
      <c r="AW15" s="318"/>
      <c r="AX15" s="318"/>
      <c r="AY15" s="318"/>
      <c r="AZ15" s="318"/>
      <c r="BA15" s="535"/>
      <c r="BB15" s="346"/>
      <c r="BG15" s="318"/>
      <c r="BH15" s="96"/>
      <c r="BI15" s="96"/>
      <c r="BJ15" s="96"/>
    </row>
    <row r="16" spans="1:62" ht="6" customHeight="1" x14ac:dyDescent="0.25">
      <c r="A16" s="193"/>
      <c r="B16" s="262"/>
      <c r="C16" s="262"/>
      <c r="D16" s="262"/>
      <c r="E16" s="340"/>
      <c r="F16" s="442"/>
      <c r="G16" s="262"/>
      <c r="H16" s="262"/>
      <c r="I16" s="342"/>
      <c r="J16" s="342"/>
      <c r="K16" s="262"/>
      <c r="L16" s="262"/>
      <c r="M16" s="318"/>
      <c r="N16" s="318"/>
      <c r="O16" s="318"/>
      <c r="P16" s="318"/>
      <c r="Q16" s="318"/>
      <c r="R16" s="318"/>
      <c r="S16" s="318"/>
      <c r="T16" s="318"/>
      <c r="U16" s="318"/>
      <c r="V16" s="318"/>
      <c r="W16" s="318"/>
      <c r="X16" s="318"/>
      <c r="Y16" s="318"/>
      <c r="Z16" s="318"/>
      <c r="AA16" s="318"/>
      <c r="AB16" s="318"/>
      <c r="AC16" s="318"/>
      <c r="AD16" s="318"/>
      <c r="AE16" s="318"/>
      <c r="AF16" s="318"/>
      <c r="AG16" s="318"/>
      <c r="AH16" s="318"/>
      <c r="AI16" s="318"/>
      <c r="AJ16" s="318"/>
      <c r="AK16" s="318"/>
      <c r="AL16" s="318"/>
      <c r="AM16" s="318"/>
      <c r="AN16" s="318"/>
      <c r="AO16" s="318"/>
      <c r="AP16" s="318"/>
      <c r="AQ16" s="318"/>
      <c r="AR16" s="318"/>
      <c r="AS16" s="318"/>
      <c r="AT16" s="318"/>
      <c r="AU16" s="318"/>
      <c r="AV16" s="318"/>
      <c r="AW16" s="318"/>
      <c r="AX16" s="318"/>
      <c r="AY16" s="318"/>
      <c r="AZ16" s="318"/>
      <c r="BA16" s="535"/>
      <c r="BB16" s="346"/>
      <c r="BG16" s="318"/>
      <c r="BH16" s="96"/>
      <c r="BI16" s="96"/>
      <c r="BJ16" s="96"/>
    </row>
    <row r="17" spans="1:50" ht="26.25" customHeight="1" x14ac:dyDescent="0.25">
      <c r="A17" s="2335" t="s">
        <v>6</v>
      </c>
      <c r="B17" s="2337" t="s">
        <v>597</v>
      </c>
      <c r="C17" s="2339" t="s">
        <v>598</v>
      </c>
      <c r="D17" s="2664"/>
      <c r="E17" s="2106" t="s">
        <v>599</v>
      </c>
      <c r="F17" s="2344" t="s">
        <v>70</v>
      </c>
      <c r="G17" s="2339" t="s">
        <v>600</v>
      </c>
      <c r="H17" s="2349" t="s">
        <v>601</v>
      </c>
      <c r="I17" s="2347" t="s">
        <v>688</v>
      </c>
      <c r="J17" s="2351" t="s">
        <v>689</v>
      </c>
      <c r="K17" s="2100" t="s">
        <v>604</v>
      </c>
      <c r="L17" s="2637"/>
      <c r="M17" s="2638"/>
      <c r="N17" s="574"/>
      <c r="O17" s="2092" t="s">
        <v>605</v>
      </c>
      <c r="P17" s="2639"/>
      <c r="Q17" s="2640"/>
      <c r="R17" s="2641"/>
      <c r="S17" s="2642"/>
      <c r="T17" s="2643"/>
      <c r="U17" s="2644"/>
      <c r="V17" s="2645"/>
      <c r="W17" s="2646"/>
      <c r="X17" s="2647"/>
      <c r="Y17" s="2648"/>
      <c r="Z17" s="574"/>
      <c r="AA17" s="2359" t="s">
        <v>606</v>
      </c>
      <c r="AB17" s="2649"/>
      <c r="AC17" s="2650"/>
      <c r="AD17" s="2651"/>
      <c r="AE17" s="2100" t="s">
        <v>607</v>
      </c>
      <c r="AF17" s="2652"/>
      <c r="AG17" s="2653"/>
      <c r="AH17" s="2654"/>
      <c r="AI17" s="2655"/>
      <c r="AJ17" s="574"/>
      <c r="AK17" s="574"/>
      <c r="AL17" s="574"/>
      <c r="AM17" s="2139" t="s">
        <v>608</v>
      </c>
      <c r="AN17" s="2656"/>
      <c r="AO17" s="2657"/>
      <c r="AP17" s="2658"/>
      <c r="AQ17" s="2659"/>
      <c r="AR17" s="2660"/>
      <c r="AS17" s="2661"/>
      <c r="AT17" s="2662"/>
      <c r="AU17" s="347"/>
    </row>
    <row r="18" spans="1:50" ht="22.5" customHeight="1" x14ac:dyDescent="0.25">
      <c r="A18" s="2636"/>
      <c r="B18" s="2663"/>
      <c r="C18" s="2665"/>
      <c r="D18" s="2666"/>
      <c r="E18" s="2667"/>
      <c r="F18" s="2631"/>
      <c r="G18" s="2632"/>
      <c r="H18" s="2633"/>
      <c r="I18" s="2634"/>
      <c r="J18" s="2635"/>
      <c r="K18" s="575" t="s">
        <v>609</v>
      </c>
      <c r="L18" s="666"/>
      <c r="M18" s="576" t="s">
        <v>611</v>
      </c>
      <c r="N18" s="666"/>
      <c r="O18" s="575" t="s">
        <v>611</v>
      </c>
      <c r="P18" s="667"/>
      <c r="Q18" s="577" t="s">
        <v>612</v>
      </c>
      <c r="R18" s="577"/>
      <c r="S18" s="577" t="s">
        <v>613</v>
      </c>
      <c r="T18" s="577"/>
      <c r="U18" s="577" t="s">
        <v>614</v>
      </c>
      <c r="V18" s="577"/>
      <c r="W18" s="577" t="s">
        <v>615</v>
      </c>
      <c r="X18" s="576"/>
      <c r="Y18" s="578" t="s">
        <v>616</v>
      </c>
      <c r="Z18" s="666"/>
      <c r="AA18" s="579" t="s">
        <v>612</v>
      </c>
      <c r="AB18" s="579"/>
      <c r="AC18" s="580" t="s">
        <v>614</v>
      </c>
      <c r="AD18" s="582"/>
      <c r="AE18" s="581" t="s">
        <v>611</v>
      </c>
      <c r="AF18" s="579"/>
      <c r="AG18" s="580" t="s">
        <v>612</v>
      </c>
      <c r="AH18" s="582"/>
      <c r="AI18" s="582" t="s">
        <v>613</v>
      </c>
      <c r="AJ18" s="582"/>
      <c r="AK18" s="583" t="s">
        <v>614</v>
      </c>
      <c r="AL18" s="668"/>
      <c r="AM18" s="584" t="s">
        <v>617</v>
      </c>
      <c r="AN18" s="585" t="s">
        <v>618</v>
      </c>
      <c r="AO18" s="586" t="s">
        <v>619</v>
      </c>
      <c r="AP18" s="587" t="s">
        <v>618</v>
      </c>
      <c r="AQ18" s="584" t="s">
        <v>690</v>
      </c>
      <c r="AR18" s="585" t="s">
        <v>618</v>
      </c>
      <c r="AS18" s="586" t="s">
        <v>621</v>
      </c>
      <c r="AT18" s="587" t="s">
        <v>618</v>
      </c>
      <c r="AU18" s="54"/>
      <c r="AW18" s="16"/>
    </row>
    <row r="19" spans="1:50" ht="12" customHeight="1" x14ac:dyDescent="0.25">
      <c r="A19" s="410">
        <f t="shared" ref="A19:A50" si="0">A18+1</f>
        <v>1</v>
      </c>
      <c r="B19" s="416" t="s">
        <v>262</v>
      </c>
      <c r="C19" s="588" t="s">
        <v>264</v>
      </c>
      <c r="D19" s="589"/>
      <c r="E19" s="414">
        <v>38019</v>
      </c>
      <c r="F19" s="590" t="str">
        <f t="shared" ref="F19:F50" si="1">$E$14</f>
        <v>Сокращенное Название</v>
      </c>
      <c r="G19" s="416" t="s">
        <v>624</v>
      </c>
      <c r="H19" s="591" t="str">
        <f>E73</f>
        <v>Фамилия_1 Имя Отчество</v>
      </c>
      <c r="I19" s="416" t="str">
        <f t="shared" ref="I19:I50" ca="1" si="2">IF(ISNUMBER(E19), IF(ISBLANK($M$5), IF(ISBLANK($Q$5), IF(ISBLANK($M$4), IF(ISBLANK($Q$4), IF(ISBLANK($M$3), IF(ISBLANK($Q$3), IF(ISBLANK($M$2), IF(ISBLANK($Q$2), 1, IF(YEAR(TODAY())-$Q$2&lt;=E19, 1, "нед-н")), IF(ISBLANK($Q$2), IF(YEAR(TODAY())-$M$2&gt;=E19, 1, "нед-н"), IF(YEAR(TODAY())-$Q$2&lt;=E19, IF(YEAR(TODAY())-$M$2&gt;=E19, 1, "нед-н"), "нед-н"))), IF(YEAR(TODAY())-$Q$3&lt;=E19, 2, IF(ISBLANK($Q$2), IF(YEAR(TODAY())-$M$2&gt;=E19, 1, "нед-н"), IF(YEAR(TODAY())-$Q$2&lt;=E19, IF(YEAR(TODAY())-$M$2&gt;=E19, 1, "нед-н"), "нед-н")))), IF(YEAR(TODAY())-$Q$3&lt;=E19, IF(YEAR(TODAY())-$M$3&gt;=E19, 2, "нед-н"), IF(ISBLANK($Q$2), IF(YEAR(TODAY())-$M$2&gt;=E19, 1, "нед-н"), IF(YEAR(TODAY())-$Q$2&lt;=E19, IF(YEAR(TODAY())-$M$2&gt;=E19, 1, "нед-н"), "нед-н")))), IF(YEAR(TODAY())-$Q$4&lt;=E19, 3, IF(YEAR(TODAY())-$Q$3&lt;=E19, IF(YEAR(TODAY())-$M$3&gt;=E19, 2, "нед-н"), IF(ISBLANK($Q$2), IF(YEAR(TODAY())-$M$2&gt;=E19, 1, "нед-н"), IF(YEAR(TODAY())-$Q$2&lt;=E19, IF(YEAR(TODAY())-$M$2&gt;=E19, 1, "нед-н"), "нед-н"))))), IF(YEAR(TODAY())-$Q$4&lt;=E19, IF(YEAR(TODAY())-$M$4&gt;=E19, 3, "нед-н"), IF(YEAR(TODAY())-$Q$3&lt;=E19, IF(YEAR(TODAY())-$M$3&gt;=E19, 2, "нед-н"), IF(ISBLANK($Q$2), IF(YEAR(TODAY())-$M$2&gt;=E19, 1, "нед-н"), IF(YEAR(TODAY())-$Q$2&lt;=E19, IF(YEAR(TODAY())-$M$2&gt;=E19, 1, "нед-н"), "нед-н"))))), IF(YEAR(TODAY())-$Q$5&lt;=E19, 4, IF(YEAR(TODAY())-$Q$4&lt;=E19, IF(YEAR(TODAY())-$M$4&gt;=E19, 3, "нед-н"), IF(YEAR(TODAY())-$Q$3&lt;=E19, IF(YEAR(TODAY())-$M$3&gt;=E19, 2, "нед-н"), IF(ISBLANK($Q$2), IF(YEAR(TODAY())-$M$2&gt;=E19, 1, "нед-н"), IF(YEAR(TODAY())-$Q$2&lt;=E19, IF(YEAR(TODAY())-$M$2&gt;=E19, 1, "нед-н"), "нед-н")))))), IF(YEAR(TODAY())-$Q$5&lt;=E19, IF(YEAR(TODAY())-$M$5&gt;=E19, 4, "нед-н"), IF(YEAR(TODAY())-$Q$4&lt;=E19, IF(YEAR(TODAY())-$M$4&gt;=E19, 3, "нед-н"), IF(YEAR(TODAY())-$Q$3&lt;=E19, IF(YEAR(TODAY())-$M$3&gt;=E19, 2, "нед-н"), IF(ISBLANK($Q$2), IF(YEAR(TODAY())-$M$2&gt;=E19, 1, "нед-н"), IF(YEAR(TODAY())-$Q$2&lt;=E19, IF(YEAR(TODAY())-$M$2&gt;=E19, 1, "нед-н"), "нед-н")))))), "г.р.???")</f>
        <v>нед-н</v>
      </c>
      <c r="J19" s="592">
        <f t="shared" ref="J19:J50" si="3">COUNTA(K19:AI19)</f>
        <v>0</v>
      </c>
      <c r="K19" s="427"/>
      <c r="L19" s="669"/>
      <c r="M19" s="430"/>
      <c r="N19" s="669"/>
      <c r="O19" s="427"/>
      <c r="P19" s="428"/>
      <c r="Q19" s="429"/>
      <c r="R19" s="429"/>
      <c r="S19" s="429"/>
      <c r="T19" s="429"/>
      <c r="U19" s="429"/>
      <c r="V19" s="429"/>
      <c r="W19" s="429"/>
      <c r="X19" s="430"/>
      <c r="Y19" s="593"/>
      <c r="Z19" s="669"/>
      <c r="AA19" s="594"/>
      <c r="AB19" s="424"/>
      <c r="AC19" s="425"/>
      <c r="AD19" s="426"/>
      <c r="AE19" s="427"/>
      <c r="AF19" s="428"/>
      <c r="AG19" s="429"/>
      <c r="AH19" s="430"/>
      <c r="AI19" s="426"/>
      <c r="AJ19" s="426"/>
      <c r="AK19" s="593"/>
      <c r="AL19" s="669"/>
      <c r="AM19" s="427"/>
      <c r="AN19" s="595"/>
      <c r="AO19" s="428"/>
      <c r="AP19" s="595"/>
      <c r="AQ19" s="427"/>
      <c r="AR19" s="595"/>
      <c r="AS19" s="428"/>
      <c r="AT19" s="595"/>
      <c r="AU19" s="54"/>
      <c r="AW19" s="364" t="s">
        <v>260</v>
      </c>
      <c r="AX19" s="56"/>
    </row>
    <row r="20" spans="1:50" ht="12" customHeight="1" x14ac:dyDescent="0.25">
      <c r="A20" s="363">
        <f t="shared" si="0"/>
        <v>2</v>
      </c>
      <c r="B20" s="364" t="s">
        <v>79</v>
      </c>
      <c r="C20" s="596" t="s">
        <v>264</v>
      </c>
      <c r="D20" s="597" t="s">
        <v>454</v>
      </c>
      <c r="E20" s="367"/>
      <c r="F20" s="368" t="str">
        <f t="shared" si="1"/>
        <v>Сокращенное Название</v>
      </c>
      <c r="G20" s="364" t="s">
        <v>624</v>
      </c>
      <c r="H20" s="598" t="str">
        <f t="shared" ref="H20:H51" si="4">H19</f>
        <v>Фамилия_1 Имя Отчество</v>
      </c>
      <c r="I20" s="364" t="str">
        <f t="shared" ca="1" si="2"/>
        <v>г.р.???</v>
      </c>
      <c r="J20" s="599">
        <f t="shared" si="3"/>
        <v>0</v>
      </c>
      <c r="K20" s="372"/>
      <c r="L20" s="670"/>
      <c r="M20" s="381"/>
      <c r="N20" s="670"/>
      <c r="O20" s="372"/>
      <c r="P20" s="375"/>
      <c r="Q20" s="373"/>
      <c r="R20" s="373"/>
      <c r="S20" s="373"/>
      <c r="T20" s="373"/>
      <c r="U20" s="373"/>
      <c r="V20" s="373"/>
      <c r="W20" s="373"/>
      <c r="X20" s="381"/>
      <c r="Y20" s="377"/>
      <c r="Z20" s="671"/>
      <c r="AA20" s="600"/>
      <c r="AB20" s="378"/>
      <c r="AC20" s="379"/>
      <c r="AD20" s="380"/>
      <c r="AE20" s="372"/>
      <c r="AF20" s="375"/>
      <c r="AG20" s="373"/>
      <c r="AH20" s="381"/>
      <c r="AI20" s="380"/>
      <c r="AJ20" s="380"/>
      <c r="AK20" s="374"/>
      <c r="AL20" s="670"/>
      <c r="AM20" s="372"/>
      <c r="AN20" s="385"/>
      <c r="AO20" s="375"/>
      <c r="AP20" s="385"/>
      <c r="AQ20" s="372"/>
      <c r="AR20" s="385"/>
      <c r="AS20" s="375"/>
      <c r="AT20" s="385"/>
      <c r="AU20" s="54"/>
      <c r="AW20" s="364" t="s">
        <v>261</v>
      </c>
      <c r="AX20" s="56"/>
    </row>
    <row r="21" spans="1:50" ht="12" customHeight="1" x14ac:dyDescent="0.25">
      <c r="A21" s="363">
        <f t="shared" si="0"/>
        <v>3</v>
      </c>
      <c r="B21" s="364" t="s">
        <v>76</v>
      </c>
      <c r="C21" s="596" t="s">
        <v>264</v>
      </c>
      <c r="D21" s="597" t="s">
        <v>454</v>
      </c>
      <c r="E21" s="367"/>
      <c r="F21" s="368" t="str">
        <f t="shared" si="1"/>
        <v>Сокращенное Название</v>
      </c>
      <c r="G21" s="364" t="s">
        <v>624</v>
      </c>
      <c r="H21" s="598" t="str">
        <f t="shared" si="4"/>
        <v>Фамилия_1 Имя Отчество</v>
      </c>
      <c r="I21" s="364" t="str">
        <f t="shared" ca="1" si="2"/>
        <v>г.р.???</v>
      </c>
      <c r="J21" s="599">
        <f t="shared" si="3"/>
        <v>0</v>
      </c>
      <c r="K21" s="372"/>
      <c r="L21" s="670"/>
      <c r="M21" s="381"/>
      <c r="N21" s="670"/>
      <c r="O21" s="372"/>
      <c r="P21" s="375"/>
      <c r="Q21" s="373"/>
      <c r="R21" s="373"/>
      <c r="S21" s="373"/>
      <c r="T21" s="373"/>
      <c r="U21" s="373"/>
      <c r="V21" s="373"/>
      <c r="W21" s="373"/>
      <c r="X21" s="381"/>
      <c r="Y21" s="377"/>
      <c r="Z21" s="671"/>
      <c r="AA21" s="600"/>
      <c r="AB21" s="378"/>
      <c r="AC21" s="379"/>
      <c r="AD21" s="380"/>
      <c r="AE21" s="372"/>
      <c r="AF21" s="375"/>
      <c r="AG21" s="373"/>
      <c r="AH21" s="381"/>
      <c r="AI21" s="380"/>
      <c r="AJ21" s="380"/>
      <c r="AK21" s="374"/>
      <c r="AL21" s="670"/>
      <c r="AM21" s="372"/>
      <c r="AN21" s="385"/>
      <c r="AO21" s="375"/>
      <c r="AP21" s="385"/>
      <c r="AQ21" s="372"/>
      <c r="AR21" s="385"/>
      <c r="AS21" s="375"/>
      <c r="AT21" s="385"/>
      <c r="AU21" s="54"/>
      <c r="AW21" s="364" t="s">
        <v>262</v>
      </c>
      <c r="AX21" s="56"/>
    </row>
    <row r="22" spans="1:50" ht="12" customHeight="1" x14ac:dyDescent="0.25">
      <c r="A22" s="363">
        <f t="shared" si="0"/>
        <v>4</v>
      </c>
      <c r="B22" s="364" t="s">
        <v>84</v>
      </c>
      <c r="C22" s="596" t="s">
        <v>264</v>
      </c>
      <c r="D22" s="597" t="s">
        <v>454</v>
      </c>
      <c r="E22" s="367"/>
      <c r="F22" s="368" t="str">
        <f t="shared" si="1"/>
        <v>Сокращенное Название</v>
      </c>
      <c r="G22" s="364" t="s">
        <v>624</v>
      </c>
      <c r="H22" s="598" t="str">
        <f t="shared" si="4"/>
        <v>Фамилия_1 Имя Отчество</v>
      </c>
      <c r="I22" s="364" t="str">
        <f t="shared" ca="1" si="2"/>
        <v>г.р.???</v>
      </c>
      <c r="J22" s="599">
        <f t="shared" si="3"/>
        <v>0</v>
      </c>
      <c r="K22" s="372"/>
      <c r="L22" s="670"/>
      <c r="M22" s="381"/>
      <c r="N22" s="670"/>
      <c r="O22" s="372"/>
      <c r="P22" s="375"/>
      <c r="Q22" s="373"/>
      <c r="R22" s="373"/>
      <c r="S22" s="373"/>
      <c r="T22" s="373"/>
      <c r="U22" s="373"/>
      <c r="V22" s="373"/>
      <c r="W22" s="373"/>
      <c r="X22" s="381"/>
      <c r="Y22" s="377"/>
      <c r="Z22" s="671"/>
      <c r="AA22" s="600"/>
      <c r="AB22" s="378"/>
      <c r="AC22" s="379"/>
      <c r="AD22" s="380"/>
      <c r="AE22" s="372"/>
      <c r="AF22" s="375"/>
      <c r="AG22" s="373"/>
      <c r="AH22" s="381"/>
      <c r="AI22" s="380"/>
      <c r="AJ22" s="380"/>
      <c r="AK22" s="374"/>
      <c r="AL22" s="670"/>
      <c r="AM22" s="372"/>
      <c r="AN22" s="385"/>
      <c r="AO22" s="375"/>
      <c r="AP22" s="385"/>
      <c r="AQ22" s="372"/>
      <c r="AR22" s="385"/>
      <c r="AS22" s="375"/>
      <c r="AT22" s="385"/>
      <c r="AU22" s="54"/>
      <c r="AW22" s="364" t="s">
        <v>79</v>
      </c>
      <c r="AX22" s="56"/>
    </row>
    <row r="23" spans="1:50" ht="12" customHeight="1" x14ac:dyDescent="0.25">
      <c r="A23" s="363">
        <f t="shared" si="0"/>
        <v>5</v>
      </c>
      <c r="B23" s="364" t="s">
        <v>94</v>
      </c>
      <c r="C23" s="596" t="s">
        <v>264</v>
      </c>
      <c r="D23" s="597" t="s">
        <v>454</v>
      </c>
      <c r="E23" s="367"/>
      <c r="F23" s="368" t="str">
        <f t="shared" si="1"/>
        <v>Сокращенное Название</v>
      </c>
      <c r="G23" s="364" t="s">
        <v>624</v>
      </c>
      <c r="H23" s="598" t="str">
        <f t="shared" si="4"/>
        <v>Фамилия_1 Имя Отчество</v>
      </c>
      <c r="I23" s="364" t="str">
        <f t="shared" ca="1" si="2"/>
        <v>г.р.???</v>
      </c>
      <c r="J23" s="599">
        <f t="shared" si="3"/>
        <v>0</v>
      </c>
      <c r="K23" s="372"/>
      <c r="L23" s="670"/>
      <c r="M23" s="381"/>
      <c r="N23" s="670"/>
      <c r="O23" s="372"/>
      <c r="P23" s="375"/>
      <c r="Q23" s="373"/>
      <c r="R23" s="373"/>
      <c r="S23" s="373"/>
      <c r="T23" s="373"/>
      <c r="U23" s="373"/>
      <c r="V23" s="373"/>
      <c r="W23" s="373"/>
      <c r="X23" s="381"/>
      <c r="Y23" s="377"/>
      <c r="Z23" s="671"/>
      <c r="AA23" s="600"/>
      <c r="AB23" s="378"/>
      <c r="AC23" s="379"/>
      <c r="AD23" s="380"/>
      <c r="AE23" s="372"/>
      <c r="AF23" s="375"/>
      <c r="AG23" s="373"/>
      <c r="AH23" s="381"/>
      <c r="AI23" s="380"/>
      <c r="AJ23" s="380"/>
      <c r="AK23" s="374"/>
      <c r="AL23" s="670"/>
      <c r="AM23" s="372"/>
      <c r="AN23" s="385"/>
      <c r="AO23" s="375"/>
      <c r="AP23" s="385"/>
      <c r="AQ23" s="372"/>
      <c r="AR23" s="385"/>
      <c r="AS23" s="375"/>
      <c r="AT23" s="385"/>
      <c r="AU23" s="54"/>
      <c r="AW23" s="364" t="s">
        <v>76</v>
      </c>
      <c r="AX23" s="56"/>
    </row>
    <row r="24" spans="1:50" ht="12" customHeight="1" x14ac:dyDescent="0.25">
      <c r="A24" s="363">
        <f t="shared" si="0"/>
        <v>6</v>
      </c>
      <c r="B24" s="386" t="s">
        <v>100</v>
      </c>
      <c r="C24" s="596" t="s">
        <v>264</v>
      </c>
      <c r="D24" s="597" t="s">
        <v>454</v>
      </c>
      <c r="E24" s="367"/>
      <c r="F24" s="368" t="str">
        <f t="shared" si="1"/>
        <v>Сокращенное Название</v>
      </c>
      <c r="G24" s="364" t="s">
        <v>624</v>
      </c>
      <c r="H24" s="598" t="str">
        <f t="shared" si="4"/>
        <v>Фамилия_1 Имя Отчество</v>
      </c>
      <c r="I24" s="364" t="str">
        <f t="shared" ca="1" si="2"/>
        <v>г.р.???</v>
      </c>
      <c r="J24" s="599">
        <f t="shared" si="3"/>
        <v>0</v>
      </c>
      <c r="K24" s="372"/>
      <c r="L24" s="670"/>
      <c r="M24" s="381"/>
      <c r="N24" s="670"/>
      <c r="O24" s="372"/>
      <c r="P24" s="375"/>
      <c r="Q24" s="373"/>
      <c r="R24" s="373"/>
      <c r="S24" s="373"/>
      <c r="T24" s="373"/>
      <c r="U24" s="373"/>
      <c r="V24" s="373"/>
      <c r="W24" s="373"/>
      <c r="X24" s="381"/>
      <c r="Y24" s="377"/>
      <c r="Z24" s="671"/>
      <c r="AA24" s="600"/>
      <c r="AB24" s="378"/>
      <c r="AC24" s="379"/>
      <c r="AD24" s="380"/>
      <c r="AE24" s="372"/>
      <c r="AF24" s="375"/>
      <c r="AG24" s="373"/>
      <c r="AH24" s="381"/>
      <c r="AI24" s="380"/>
      <c r="AJ24" s="380"/>
      <c r="AK24" s="374"/>
      <c r="AL24" s="670"/>
      <c r="AM24" s="372"/>
      <c r="AN24" s="385"/>
      <c r="AO24" s="375"/>
      <c r="AP24" s="385"/>
      <c r="AQ24" s="372"/>
      <c r="AR24" s="385"/>
      <c r="AS24" s="375"/>
      <c r="AT24" s="385"/>
      <c r="AU24" s="54"/>
      <c r="AW24" s="364" t="s">
        <v>84</v>
      </c>
      <c r="AX24" s="56"/>
    </row>
    <row r="25" spans="1:50" ht="12" customHeight="1" x14ac:dyDescent="0.25">
      <c r="A25" s="363">
        <f t="shared" si="0"/>
        <v>7</v>
      </c>
      <c r="B25" s="386" t="s">
        <v>117</v>
      </c>
      <c r="C25" s="596" t="s">
        <v>264</v>
      </c>
      <c r="D25" s="597" t="s">
        <v>454</v>
      </c>
      <c r="E25" s="367"/>
      <c r="F25" s="368" t="str">
        <f t="shared" si="1"/>
        <v>Сокращенное Название</v>
      </c>
      <c r="G25" s="364" t="s">
        <v>624</v>
      </c>
      <c r="H25" s="598" t="str">
        <f t="shared" si="4"/>
        <v>Фамилия_1 Имя Отчество</v>
      </c>
      <c r="I25" s="364" t="str">
        <f t="shared" ca="1" si="2"/>
        <v>г.р.???</v>
      </c>
      <c r="J25" s="599">
        <f t="shared" si="3"/>
        <v>0</v>
      </c>
      <c r="K25" s="372"/>
      <c r="L25" s="670"/>
      <c r="M25" s="381"/>
      <c r="N25" s="670"/>
      <c r="O25" s="372"/>
      <c r="P25" s="375"/>
      <c r="Q25" s="373"/>
      <c r="R25" s="373"/>
      <c r="S25" s="373"/>
      <c r="T25" s="373"/>
      <c r="U25" s="373"/>
      <c r="V25" s="373"/>
      <c r="W25" s="373"/>
      <c r="X25" s="381"/>
      <c r="Y25" s="377"/>
      <c r="Z25" s="671"/>
      <c r="AA25" s="600"/>
      <c r="AB25" s="378"/>
      <c r="AC25" s="379"/>
      <c r="AD25" s="380"/>
      <c r="AE25" s="372"/>
      <c r="AF25" s="375"/>
      <c r="AG25" s="373"/>
      <c r="AH25" s="381"/>
      <c r="AI25" s="380"/>
      <c r="AJ25" s="380"/>
      <c r="AK25" s="374"/>
      <c r="AL25" s="670"/>
      <c r="AM25" s="372"/>
      <c r="AN25" s="385"/>
      <c r="AO25" s="375"/>
      <c r="AP25" s="385"/>
      <c r="AQ25" s="372"/>
      <c r="AR25" s="385"/>
      <c r="AS25" s="375"/>
      <c r="AT25" s="385"/>
      <c r="AU25" s="54"/>
      <c r="AW25" s="364" t="s">
        <v>94</v>
      </c>
      <c r="AX25" s="56"/>
    </row>
    <row r="26" spans="1:50" ht="12" customHeight="1" x14ac:dyDescent="0.25">
      <c r="A26" s="363">
        <f t="shared" si="0"/>
        <v>8</v>
      </c>
      <c r="B26" s="386" t="s">
        <v>158</v>
      </c>
      <c r="C26" s="596" t="s">
        <v>264</v>
      </c>
      <c r="D26" s="597" t="s">
        <v>454</v>
      </c>
      <c r="E26" s="367"/>
      <c r="F26" s="368" t="str">
        <f t="shared" si="1"/>
        <v>Сокращенное Название</v>
      </c>
      <c r="G26" s="364" t="s">
        <v>624</v>
      </c>
      <c r="H26" s="598" t="str">
        <f t="shared" si="4"/>
        <v>Фамилия_1 Имя Отчество</v>
      </c>
      <c r="I26" s="364" t="str">
        <f t="shared" ca="1" si="2"/>
        <v>г.р.???</v>
      </c>
      <c r="J26" s="599">
        <f t="shared" si="3"/>
        <v>0</v>
      </c>
      <c r="K26" s="372"/>
      <c r="L26" s="670"/>
      <c r="M26" s="381"/>
      <c r="N26" s="670"/>
      <c r="O26" s="372"/>
      <c r="P26" s="375"/>
      <c r="Q26" s="373"/>
      <c r="R26" s="373"/>
      <c r="S26" s="373"/>
      <c r="T26" s="373"/>
      <c r="U26" s="373"/>
      <c r="V26" s="373"/>
      <c r="W26" s="373"/>
      <c r="X26" s="381"/>
      <c r="Y26" s="377"/>
      <c r="Z26" s="671"/>
      <c r="AA26" s="600"/>
      <c r="AB26" s="378"/>
      <c r="AC26" s="379"/>
      <c r="AD26" s="380"/>
      <c r="AE26" s="372"/>
      <c r="AF26" s="375"/>
      <c r="AG26" s="373"/>
      <c r="AH26" s="381"/>
      <c r="AI26" s="380"/>
      <c r="AJ26" s="380"/>
      <c r="AK26" s="374"/>
      <c r="AL26" s="670"/>
      <c r="AM26" s="372"/>
      <c r="AN26" s="385"/>
      <c r="AO26" s="375"/>
      <c r="AP26" s="385"/>
      <c r="AQ26" s="372"/>
      <c r="AR26" s="385"/>
      <c r="AS26" s="375"/>
      <c r="AT26" s="385"/>
      <c r="AU26" s="54"/>
      <c r="AW26" s="386" t="s">
        <v>100</v>
      </c>
      <c r="AX26" s="56"/>
    </row>
    <row r="27" spans="1:50" ht="12" customHeight="1" x14ac:dyDescent="0.25">
      <c r="A27" s="363">
        <f t="shared" si="0"/>
        <v>9</v>
      </c>
      <c r="B27" s="364" t="s">
        <v>94</v>
      </c>
      <c r="C27" s="596" t="s">
        <v>264</v>
      </c>
      <c r="D27" s="597" t="s">
        <v>454</v>
      </c>
      <c r="E27" s="367"/>
      <c r="F27" s="368" t="str">
        <f t="shared" si="1"/>
        <v>Сокращенное Название</v>
      </c>
      <c r="G27" s="364" t="s">
        <v>624</v>
      </c>
      <c r="H27" s="598" t="str">
        <f t="shared" si="4"/>
        <v>Фамилия_1 Имя Отчество</v>
      </c>
      <c r="I27" s="364" t="str">
        <f t="shared" ca="1" si="2"/>
        <v>г.р.???</v>
      </c>
      <c r="J27" s="599">
        <f t="shared" si="3"/>
        <v>0</v>
      </c>
      <c r="K27" s="372"/>
      <c r="L27" s="670"/>
      <c r="M27" s="381"/>
      <c r="N27" s="670"/>
      <c r="O27" s="372"/>
      <c r="P27" s="375"/>
      <c r="Q27" s="373"/>
      <c r="R27" s="373"/>
      <c r="S27" s="373"/>
      <c r="T27" s="373"/>
      <c r="U27" s="373"/>
      <c r="V27" s="373"/>
      <c r="W27" s="373"/>
      <c r="X27" s="381"/>
      <c r="Y27" s="377"/>
      <c r="Z27" s="671"/>
      <c r="AA27" s="600"/>
      <c r="AB27" s="378"/>
      <c r="AC27" s="379"/>
      <c r="AD27" s="380"/>
      <c r="AE27" s="372"/>
      <c r="AF27" s="375"/>
      <c r="AG27" s="373"/>
      <c r="AH27" s="381"/>
      <c r="AI27" s="380"/>
      <c r="AJ27" s="380"/>
      <c r="AK27" s="374"/>
      <c r="AL27" s="670"/>
      <c r="AM27" s="372"/>
      <c r="AN27" s="385"/>
      <c r="AO27" s="375"/>
      <c r="AP27" s="385"/>
      <c r="AQ27" s="372"/>
      <c r="AR27" s="385"/>
      <c r="AS27" s="375"/>
      <c r="AT27" s="385"/>
      <c r="AU27" s="54"/>
      <c r="AW27" s="386" t="s">
        <v>117</v>
      </c>
      <c r="AX27" s="56"/>
    </row>
    <row r="28" spans="1:50" ht="12" customHeight="1" x14ac:dyDescent="0.25">
      <c r="A28" s="363">
        <f t="shared" si="0"/>
        <v>10</v>
      </c>
      <c r="B28" s="364" t="s">
        <v>76</v>
      </c>
      <c r="C28" s="596" t="s">
        <v>264</v>
      </c>
      <c r="D28" s="597" t="s">
        <v>454</v>
      </c>
      <c r="E28" s="367"/>
      <c r="F28" s="368" t="str">
        <f t="shared" si="1"/>
        <v>Сокращенное Название</v>
      </c>
      <c r="G28" s="364" t="s">
        <v>624</v>
      </c>
      <c r="H28" s="598" t="str">
        <f t="shared" si="4"/>
        <v>Фамилия_1 Имя Отчество</v>
      </c>
      <c r="I28" s="364" t="str">
        <f t="shared" ca="1" si="2"/>
        <v>г.р.???</v>
      </c>
      <c r="J28" s="599">
        <f t="shared" si="3"/>
        <v>0</v>
      </c>
      <c r="K28" s="372"/>
      <c r="L28" s="670"/>
      <c r="M28" s="381"/>
      <c r="N28" s="670"/>
      <c r="O28" s="372"/>
      <c r="P28" s="375"/>
      <c r="Q28" s="373"/>
      <c r="R28" s="373"/>
      <c r="S28" s="373"/>
      <c r="T28" s="373"/>
      <c r="U28" s="373"/>
      <c r="V28" s="373"/>
      <c r="W28" s="373"/>
      <c r="X28" s="381"/>
      <c r="Y28" s="377"/>
      <c r="Z28" s="671"/>
      <c r="AA28" s="600"/>
      <c r="AB28" s="378"/>
      <c r="AC28" s="379"/>
      <c r="AD28" s="380"/>
      <c r="AE28" s="372"/>
      <c r="AF28" s="375"/>
      <c r="AG28" s="373"/>
      <c r="AH28" s="381"/>
      <c r="AI28" s="380"/>
      <c r="AJ28" s="380"/>
      <c r="AK28" s="374"/>
      <c r="AL28" s="670"/>
      <c r="AM28" s="372"/>
      <c r="AN28" s="385"/>
      <c r="AO28" s="375"/>
      <c r="AP28" s="385"/>
      <c r="AQ28" s="372"/>
      <c r="AR28" s="385"/>
      <c r="AS28" s="375"/>
      <c r="AT28" s="385"/>
      <c r="AU28" s="54"/>
      <c r="AW28" s="386" t="s">
        <v>158</v>
      </c>
      <c r="AX28" s="56"/>
    </row>
    <row r="29" spans="1:50" ht="12" customHeight="1" x14ac:dyDescent="0.25">
      <c r="A29" s="363">
        <f t="shared" si="0"/>
        <v>11</v>
      </c>
      <c r="B29" s="386" t="s">
        <v>100</v>
      </c>
      <c r="C29" s="596" t="s">
        <v>264</v>
      </c>
      <c r="D29" s="597" t="s">
        <v>454</v>
      </c>
      <c r="E29" s="367"/>
      <c r="F29" s="368" t="str">
        <f t="shared" si="1"/>
        <v>Сокращенное Название</v>
      </c>
      <c r="G29" s="364" t="s">
        <v>624</v>
      </c>
      <c r="H29" s="598" t="str">
        <f t="shared" si="4"/>
        <v>Фамилия_1 Имя Отчество</v>
      </c>
      <c r="I29" s="364" t="str">
        <f t="shared" ca="1" si="2"/>
        <v>г.р.???</v>
      </c>
      <c r="J29" s="599">
        <f t="shared" si="3"/>
        <v>0</v>
      </c>
      <c r="K29" s="372"/>
      <c r="L29" s="670"/>
      <c r="M29" s="381"/>
      <c r="N29" s="670"/>
      <c r="O29" s="372"/>
      <c r="P29" s="375"/>
      <c r="Q29" s="373"/>
      <c r="R29" s="373"/>
      <c r="S29" s="373"/>
      <c r="T29" s="373"/>
      <c r="U29" s="373"/>
      <c r="V29" s="373"/>
      <c r="W29" s="373"/>
      <c r="X29" s="381"/>
      <c r="Y29" s="377"/>
      <c r="Z29" s="671"/>
      <c r="AA29" s="600"/>
      <c r="AB29" s="378"/>
      <c r="AC29" s="379"/>
      <c r="AD29" s="380"/>
      <c r="AE29" s="372"/>
      <c r="AF29" s="375"/>
      <c r="AG29" s="373"/>
      <c r="AH29" s="381"/>
      <c r="AI29" s="380"/>
      <c r="AJ29" s="380"/>
      <c r="AK29" s="374"/>
      <c r="AL29" s="670"/>
      <c r="AM29" s="372"/>
      <c r="AN29" s="385"/>
      <c r="AO29" s="375"/>
      <c r="AP29" s="385"/>
      <c r="AQ29" s="372"/>
      <c r="AR29" s="385"/>
      <c r="AS29" s="375"/>
      <c r="AT29" s="385"/>
      <c r="AU29" s="54"/>
      <c r="AW29" s="387" t="s">
        <v>82</v>
      </c>
      <c r="AX29" s="56"/>
    </row>
    <row r="30" spans="1:50" ht="12" customHeight="1" x14ac:dyDescent="0.25">
      <c r="A30" s="363">
        <f t="shared" si="0"/>
        <v>12</v>
      </c>
      <c r="B30" s="364" t="s">
        <v>262</v>
      </c>
      <c r="C30" s="596" t="s">
        <v>264</v>
      </c>
      <c r="D30" s="597" t="s">
        <v>454</v>
      </c>
      <c r="E30" s="367"/>
      <c r="F30" s="368" t="str">
        <f t="shared" si="1"/>
        <v>Сокращенное Название</v>
      </c>
      <c r="G30" s="364" t="s">
        <v>624</v>
      </c>
      <c r="H30" s="598" t="str">
        <f t="shared" si="4"/>
        <v>Фамилия_1 Имя Отчество</v>
      </c>
      <c r="I30" s="364" t="str">
        <f t="shared" ca="1" si="2"/>
        <v>г.р.???</v>
      </c>
      <c r="J30" s="599">
        <f t="shared" si="3"/>
        <v>0</v>
      </c>
      <c r="K30" s="372"/>
      <c r="L30" s="670"/>
      <c r="M30" s="381"/>
      <c r="N30" s="670"/>
      <c r="O30" s="372"/>
      <c r="P30" s="375"/>
      <c r="Q30" s="373"/>
      <c r="R30" s="373"/>
      <c r="S30" s="373"/>
      <c r="T30" s="373"/>
      <c r="U30" s="373"/>
      <c r="V30" s="373"/>
      <c r="W30" s="373"/>
      <c r="X30" s="381"/>
      <c r="Y30" s="377"/>
      <c r="Z30" s="671"/>
      <c r="AA30" s="600"/>
      <c r="AB30" s="378"/>
      <c r="AC30" s="379"/>
      <c r="AD30" s="380"/>
      <c r="AE30" s="372"/>
      <c r="AF30" s="375"/>
      <c r="AG30" s="373"/>
      <c r="AH30" s="381"/>
      <c r="AI30" s="380"/>
      <c r="AJ30" s="380"/>
      <c r="AK30" s="374"/>
      <c r="AL30" s="670"/>
      <c r="AM30" s="372"/>
      <c r="AN30" s="385"/>
      <c r="AO30" s="375"/>
      <c r="AP30" s="385"/>
      <c r="AQ30" s="372"/>
      <c r="AR30" s="385"/>
      <c r="AS30" s="375"/>
      <c r="AT30" s="385"/>
      <c r="AU30" s="54"/>
      <c r="AW30" s="16"/>
      <c r="AX30" s="56"/>
    </row>
    <row r="31" spans="1:50" ht="12" customHeight="1" x14ac:dyDescent="0.25">
      <c r="A31" s="363">
        <f t="shared" si="0"/>
        <v>13</v>
      </c>
      <c r="B31" s="364" t="s">
        <v>79</v>
      </c>
      <c r="C31" s="596" t="s">
        <v>264</v>
      </c>
      <c r="D31" s="597" t="s">
        <v>454</v>
      </c>
      <c r="E31" s="367"/>
      <c r="F31" s="368" t="str">
        <f t="shared" si="1"/>
        <v>Сокращенное Название</v>
      </c>
      <c r="G31" s="364" t="s">
        <v>624</v>
      </c>
      <c r="H31" s="598" t="str">
        <f t="shared" si="4"/>
        <v>Фамилия_1 Имя Отчество</v>
      </c>
      <c r="I31" s="364" t="str">
        <f t="shared" ca="1" si="2"/>
        <v>г.р.???</v>
      </c>
      <c r="J31" s="599">
        <f t="shared" si="3"/>
        <v>0</v>
      </c>
      <c r="K31" s="372"/>
      <c r="L31" s="670"/>
      <c r="M31" s="381"/>
      <c r="N31" s="670"/>
      <c r="O31" s="372"/>
      <c r="P31" s="375"/>
      <c r="Q31" s="373"/>
      <c r="R31" s="373"/>
      <c r="S31" s="373"/>
      <c r="T31" s="373"/>
      <c r="U31" s="373"/>
      <c r="V31" s="373"/>
      <c r="W31" s="373"/>
      <c r="X31" s="381"/>
      <c r="Y31" s="377"/>
      <c r="Z31" s="671"/>
      <c r="AA31" s="600"/>
      <c r="AB31" s="378"/>
      <c r="AC31" s="379"/>
      <c r="AD31" s="380"/>
      <c r="AE31" s="372"/>
      <c r="AF31" s="375"/>
      <c r="AG31" s="373"/>
      <c r="AH31" s="381"/>
      <c r="AI31" s="380"/>
      <c r="AJ31" s="380"/>
      <c r="AK31" s="374"/>
      <c r="AL31" s="670"/>
      <c r="AM31" s="372"/>
      <c r="AN31" s="385"/>
      <c r="AO31" s="375"/>
      <c r="AP31" s="385"/>
      <c r="AQ31" s="372"/>
      <c r="AR31" s="385"/>
      <c r="AS31" s="375"/>
      <c r="AT31" s="385"/>
      <c r="AU31" s="54"/>
      <c r="AW31" s="16"/>
      <c r="AX31" s="56"/>
    </row>
    <row r="32" spans="1:50" ht="12" customHeight="1" x14ac:dyDescent="0.25">
      <c r="A32" s="363">
        <f t="shared" si="0"/>
        <v>14</v>
      </c>
      <c r="B32" s="364" t="s">
        <v>76</v>
      </c>
      <c r="C32" s="596" t="s">
        <v>264</v>
      </c>
      <c r="D32" s="597" t="s">
        <v>454</v>
      </c>
      <c r="E32" s="367"/>
      <c r="F32" s="368" t="str">
        <f t="shared" si="1"/>
        <v>Сокращенное Название</v>
      </c>
      <c r="G32" s="364" t="s">
        <v>624</v>
      </c>
      <c r="H32" s="598" t="str">
        <f t="shared" si="4"/>
        <v>Фамилия_1 Имя Отчество</v>
      </c>
      <c r="I32" s="364" t="str">
        <f t="shared" ca="1" si="2"/>
        <v>г.р.???</v>
      </c>
      <c r="J32" s="599">
        <f t="shared" si="3"/>
        <v>0</v>
      </c>
      <c r="K32" s="372"/>
      <c r="L32" s="670"/>
      <c r="M32" s="381"/>
      <c r="N32" s="670"/>
      <c r="O32" s="372"/>
      <c r="P32" s="375"/>
      <c r="Q32" s="373"/>
      <c r="R32" s="373"/>
      <c r="S32" s="373"/>
      <c r="T32" s="373"/>
      <c r="U32" s="373"/>
      <c r="V32" s="373"/>
      <c r="W32" s="373"/>
      <c r="X32" s="381"/>
      <c r="Y32" s="377"/>
      <c r="Z32" s="671"/>
      <c r="AA32" s="600"/>
      <c r="AB32" s="378"/>
      <c r="AC32" s="379"/>
      <c r="AD32" s="380"/>
      <c r="AE32" s="372"/>
      <c r="AF32" s="375"/>
      <c r="AG32" s="373"/>
      <c r="AH32" s="381"/>
      <c r="AI32" s="380"/>
      <c r="AJ32" s="380"/>
      <c r="AK32" s="374"/>
      <c r="AL32" s="670"/>
      <c r="AM32" s="372"/>
      <c r="AN32" s="385"/>
      <c r="AO32" s="375"/>
      <c r="AP32" s="385"/>
      <c r="AQ32" s="372"/>
      <c r="AR32" s="385"/>
      <c r="AS32" s="375"/>
      <c r="AT32" s="385"/>
      <c r="AU32" s="54"/>
      <c r="AW32" s="16"/>
      <c r="AX32" s="56"/>
    </row>
    <row r="33" spans="1:50" ht="12" customHeight="1" x14ac:dyDescent="0.25">
      <c r="A33" s="363">
        <f t="shared" si="0"/>
        <v>15</v>
      </c>
      <c r="B33" s="364" t="s">
        <v>84</v>
      </c>
      <c r="C33" s="596" t="s">
        <v>264</v>
      </c>
      <c r="D33" s="597" t="s">
        <v>454</v>
      </c>
      <c r="E33" s="367"/>
      <c r="F33" s="368" t="str">
        <f t="shared" si="1"/>
        <v>Сокращенное Название</v>
      </c>
      <c r="G33" s="364" t="s">
        <v>624</v>
      </c>
      <c r="H33" s="598" t="str">
        <f t="shared" si="4"/>
        <v>Фамилия_1 Имя Отчество</v>
      </c>
      <c r="I33" s="364" t="str">
        <f t="shared" ca="1" si="2"/>
        <v>г.р.???</v>
      </c>
      <c r="J33" s="599">
        <f t="shared" si="3"/>
        <v>0</v>
      </c>
      <c r="K33" s="372"/>
      <c r="L33" s="670"/>
      <c r="M33" s="381"/>
      <c r="N33" s="670"/>
      <c r="O33" s="372"/>
      <c r="P33" s="375"/>
      <c r="Q33" s="373"/>
      <c r="R33" s="373"/>
      <c r="S33" s="373"/>
      <c r="T33" s="373"/>
      <c r="U33" s="373"/>
      <c r="V33" s="373"/>
      <c r="W33" s="373"/>
      <c r="X33" s="381"/>
      <c r="Y33" s="377"/>
      <c r="Z33" s="671"/>
      <c r="AA33" s="600"/>
      <c r="AB33" s="378"/>
      <c r="AC33" s="379"/>
      <c r="AD33" s="380"/>
      <c r="AE33" s="372"/>
      <c r="AF33" s="375"/>
      <c r="AG33" s="373"/>
      <c r="AH33" s="381"/>
      <c r="AI33" s="380"/>
      <c r="AJ33" s="380"/>
      <c r="AK33" s="374"/>
      <c r="AL33" s="670"/>
      <c r="AM33" s="372"/>
      <c r="AN33" s="385"/>
      <c r="AO33" s="375"/>
      <c r="AP33" s="385"/>
      <c r="AQ33" s="372"/>
      <c r="AR33" s="385"/>
      <c r="AS33" s="375"/>
      <c r="AT33" s="385"/>
      <c r="AU33" s="54"/>
      <c r="AW33" s="16"/>
      <c r="AX33" s="56"/>
    </row>
    <row r="34" spans="1:50" ht="12" customHeight="1" x14ac:dyDescent="0.25">
      <c r="A34" s="363">
        <f t="shared" si="0"/>
        <v>16</v>
      </c>
      <c r="B34" s="364" t="s">
        <v>84</v>
      </c>
      <c r="C34" s="596" t="s">
        <v>264</v>
      </c>
      <c r="D34" s="597" t="s">
        <v>454</v>
      </c>
      <c r="E34" s="367"/>
      <c r="F34" s="368" t="str">
        <f t="shared" si="1"/>
        <v>Сокращенное Название</v>
      </c>
      <c r="G34" s="364" t="s">
        <v>624</v>
      </c>
      <c r="H34" s="598" t="str">
        <f t="shared" si="4"/>
        <v>Фамилия_1 Имя Отчество</v>
      </c>
      <c r="I34" s="364" t="str">
        <f t="shared" ca="1" si="2"/>
        <v>г.р.???</v>
      </c>
      <c r="J34" s="599">
        <f t="shared" si="3"/>
        <v>0</v>
      </c>
      <c r="K34" s="372"/>
      <c r="L34" s="670"/>
      <c r="M34" s="381"/>
      <c r="N34" s="670"/>
      <c r="O34" s="372"/>
      <c r="P34" s="375"/>
      <c r="Q34" s="373"/>
      <c r="R34" s="373"/>
      <c r="S34" s="373"/>
      <c r="T34" s="373"/>
      <c r="U34" s="373"/>
      <c r="V34" s="373"/>
      <c r="W34" s="373"/>
      <c r="X34" s="381"/>
      <c r="Y34" s="377"/>
      <c r="Z34" s="671"/>
      <c r="AA34" s="600"/>
      <c r="AB34" s="378"/>
      <c r="AC34" s="379"/>
      <c r="AD34" s="380"/>
      <c r="AE34" s="372"/>
      <c r="AF34" s="375"/>
      <c r="AG34" s="373"/>
      <c r="AH34" s="381"/>
      <c r="AI34" s="380"/>
      <c r="AJ34" s="380"/>
      <c r="AK34" s="374"/>
      <c r="AL34" s="670"/>
      <c r="AM34" s="372"/>
      <c r="AN34" s="385"/>
      <c r="AO34" s="375"/>
      <c r="AP34" s="385"/>
      <c r="AQ34" s="372"/>
      <c r="AR34" s="385"/>
      <c r="AS34" s="375"/>
      <c r="AT34" s="385"/>
      <c r="AU34" s="54"/>
      <c r="AW34" s="16"/>
      <c r="AX34" s="56"/>
    </row>
    <row r="35" spans="1:50" ht="12" customHeight="1" x14ac:dyDescent="0.25">
      <c r="A35" s="363">
        <f t="shared" si="0"/>
        <v>17</v>
      </c>
      <c r="B35" s="364" t="s">
        <v>84</v>
      </c>
      <c r="C35" s="596" t="s">
        <v>264</v>
      </c>
      <c r="D35" s="597" t="s">
        <v>454</v>
      </c>
      <c r="E35" s="367"/>
      <c r="F35" s="368" t="str">
        <f t="shared" si="1"/>
        <v>Сокращенное Название</v>
      </c>
      <c r="G35" s="364" t="s">
        <v>624</v>
      </c>
      <c r="H35" s="598" t="str">
        <f t="shared" si="4"/>
        <v>Фамилия_1 Имя Отчество</v>
      </c>
      <c r="I35" s="364" t="str">
        <f t="shared" ca="1" si="2"/>
        <v>г.р.???</v>
      </c>
      <c r="J35" s="599">
        <f t="shared" si="3"/>
        <v>0</v>
      </c>
      <c r="K35" s="372"/>
      <c r="L35" s="670"/>
      <c r="M35" s="381"/>
      <c r="N35" s="670"/>
      <c r="O35" s="372"/>
      <c r="P35" s="375"/>
      <c r="Q35" s="373"/>
      <c r="R35" s="373"/>
      <c r="S35" s="373"/>
      <c r="T35" s="373"/>
      <c r="U35" s="373"/>
      <c r="V35" s="373"/>
      <c r="W35" s="373"/>
      <c r="X35" s="381"/>
      <c r="Y35" s="377"/>
      <c r="Z35" s="671"/>
      <c r="AA35" s="600"/>
      <c r="AB35" s="378"/>
      <c r="AC35" s="379"/>
      <c r="AD35" s="380"/>
      <c r="AE35" s="372"/>
      <c r="AF35" s="375"/>
      <c r="AG35" s="373"/>
      <c r="AH35" s="381"/>
      <c r="AI35" s="380"/>
      <c r="AJ35" s="380"/>
      <c r="AK35" s="374"/>
      <c r="AL35" s="670"/>
      <c r="AM35" s="372"/>
      <c r="AN35" s="385"/>
      <c r="AO35" s="375"/>
      <c r="AP35" s="385"/>
      <c r="AQ35" s="372"/>
      <c r="AR35" s="385"/>
      <c r="AS35" s="375"/>
      <c r="AT35" s="385"/>
      <c r="AU35" s="54"/>
      <c r="AW35" s="16"/>
      <c r="AX35" s="56"/>
    </row>
    <row r="36" spans="1:50" ht="12" customHeight="1" x14ac:dyDescent="0.25">
      <c r="A36" s="363">
        <f t="shared" si="0"/>
        <v>18</v>
      </c>
      <c r="B36" s="364" t="s">
        <v>84</v>
      </c>
      <c r="C36" s="596" t="s">
        <v>264</v>
      </c>
      <c r="D36" s="597" t="s">
        <v>454</v>
      </c>
      <c r="E36" s="367"/>
      <c r="F36" s="368" t="str">
        <f t="shared" si="1"/>
        <v>Сокращенное Название</v>
      </c>
      <c r="G36" s="364" t="s">
        <v>624</v>
      </c>
      <c r="H36" s="598" t="str">
        <f t="shared" si="4"/>
        <v>Фамилия_1 Имя Отчество</v>
      </c>
      <c r="I36" s="364" t="str">
        <f t="shared" ca="1" si="2"/>
        <v>г.р.???</v>
      </c>
      <c r="J36" s="599">
        <f t="shared" si="3"/>
        <v>0</v>
      </c>
      <c r="K36" s="372"/>
      <c r="L36" s="670"/>
      <c r="M36" s="381"/>
      <c r="N36" s="670"/>
      <c r="O36" s="372"/>
      <c r="P36" s="375"/>
      <c r="Q36" s="373"/>
      <c r="R36" s="373"/>
      <c r="S36" s="373"/>
      <c r="T36" s="373"/>
      <c r="U36" s="373"/>
      <c r="V36" s="373"/>
      <c r="W36" s="373"/>
      <c r="X36" s="381"/>
      <c r="Y36" s="377"/>
      <c r="Z36" s="671"/>
      <c r="AA36" s="600"/>
      <c r="AB36" s="378"/>
      <c r="AC36" s="379"/>
      <c r="AD36" s="380"/>
      <c r="AE36" s="372"/>
      <c r="AF36" s="375"/>
      <c r="AG36" s="373"/>
      <c r="AH36" s="381"/>
      <c r="AI36" s="380"/>
      <c r="AJ36" s="380"/>
      <c r="AK36" s="374"/>
      <c r="AL36" s="670"/>
      <c r="AM36" s="372"/>
      <c r="AN36" s="385"/>
      <c r="AO36" s="375"/>
      <c r="AP36" s="385"/>
      <c r="AQ36" s="372"/>
      <c r="AR36" s="385"/>
      <c r="AS36" s="375"/>
      <c r="AT36" s="385"/>
      <c r="AU36" s="54"/>
      <c r="AW36" s="16"/>
      <c r="AX36" s="56"/>
    </row>
    <row r="37" spans="1:50" ht="12" customHeight="1" x14ac:dyDescent="0.25">
      <c r="A37" s="363">
        <f t="shared" si="0"/>
        <v>19</v>
      </c>
      <c r="B37" s="364" t="s">
        <v>84</v>
      </c>
      <c r="C37" s="596" t="s">
        <v>264</v>
      </c>
      <c r="D37" s="597" t="s">
        <v>454</v>
      </c>
      <c r="E37" s="367"/>
      <c r="F37" s="368" t="str">
        <f t="shared" si="1"/>
        <v>Сокращенное Название</v>
      </c>
      <c r="G37" s="364" t="s">
        <v>624</v>
      </c>
      <c r="H37" s="598" t="str">
        <f t="shared" si="4"/>
        <v>Фамилия_1 Имя Отчество</v>
      </c>
      <c r="I37" s="364" t="str">
        <f t="shared" ca="1" si="2"/>
        <v>г.р.???</v>
      </c>
      <c r="J37" s="599">
        <f t="shared" si="3"/>
        <v>0</v>
      </c>
      <c r="K37" s="372"/>
      <c r="L37" s="670"/>
      <c r="M37" s="381"/>
      <c r="N37" s="670"/>
      <c r="O37" s="372"/>
      <c r="P37" s="375"/>
      <c r="Q37" s="373"/>
      <c r="R37" s="373"/>
      <c r="S37" s="373"/>
      <c r="T37" s="373"/>
      <c r="U37" s="373"/>
      <c r="V37" s="373"/>
      <c r="W37" s="373"/>
      <c r="X37" s="381"/>
      <c r="Y37" s="377"/>
      <c r="Z37" s="671"/>
      <c r="AA37" s="600"/>
      <c r="AB37" s="378"/>
      <c r="AC37" s="379"/>
      <c r="AD37" s="380"/>
      <c r="AE37" s="372"/>
      <c r="AF37" s="375"/>
      <c r="AG37" s="373"/>
      <c r="AH37" s="381"/>
      <c r="AI37" s="380"/>
      <c r="AJ37" s="380"/>
      <c r="AK37" s="374"/>
      <c r="AL37" s="670"/>
      <c r="AM37" s="372"/>
      <c r="AN37" s="385"/>
      <c r="AO37" s="375"/>
      <c r="AP37" s="385"/>
      <c r="AQ37" s="372"/>
      <c r="AR37" s="385"/>
      <c r="AS37" s="375"/>
      <c r="AT37" s="385"/>
      <c r="AU37" s="54"/>
      <c r="AW37" s="16"/>
      <c r="AX37" s="56"/>
    </row>
    <row r="38" spans="1:50" ht="12" customHeight="1" x14ac:dyDescent="0.25">
      <c r="A38" s="363">
        <f t="shared" si="0"/>
        <v>20</v>
      </c>
      <c r="B38" s="364" t="s">
        <v>84</v>
      </c>
      <c r="C38" s="596" t="s">
        <v>264</v>
      </c>
      <c r="D38" s="597" t="s">
        <v>454</v>
      </c>
      <c r="E38" s="367"/>
      <c r="F38" s="368" t="str">
        <f t="shared" si="1"/>
        <v>Сокращенное Название</v>
      </c>
      <c r="G38" s="364" t="s">
        <v>624</v>
      </c>
      <c r="H38" s="598" t="str">
        <f t="shared" si="4"/>
        <v>Фамилия_1 Имя Отчество</v>
      </c>
      <c r="I38" s="364" t="str">
        <f t="shared" ca="1" si="2"/>
        <v>г.р.???</v>
      </c>
      <c r="J38" s="599">
        <f t="shared" si="3"/>
        <v>0</v>
      </c>
      <c r="K38" s="372"/>
      <c r="L38" s="670"/>
      <c r="M38" s="381"/>
      <c r="N38" s="670"/>
      <c r="O38" s="372"/>
      <c r="P38" s="375"/>
      <c r="Q38" s="373"/>
      <c r="R38" s="373"/>
      <c r="S38" s="373"/>
      <c r="T38" s="373"/>
      <c r="U38" s="373"/>
      <c r="V38" s="373"/>
      <c r="W38" s="373"/>
      <c r="X38" s="381"/>
      <c r="Y38" s="377"/>
      <c r="Z38" s="671"/>
      <c r="AA38" s="600"/>
      <c r="AB38" s="378"/>
      <c r="AC38" s="379"/>
      <c r="AD38" s="380"/>
      <c r="AE38" s="372"/>
      <c r="AF38" s="375"/>
      <c r="AG38" s="373"/>
      <c r="AH38" s="381"/>
      <c r="AI38" s="380"/>
      <c r="AJ38" s="380"/>
      <c r="AK38" s="374"/>
      <c r="AL38" s="670"/>
      <c r="AM38" s="372"/>
      <c r="AN38" s="385"/>
      <c r="AO38" s="375"/>
      <c r="AP38" s="385"/>
      <c r="AQ38" s="372"/>
      <c r="AR38" s="385"/>
      <c r="AS38" s="375"/>
      <c r="AT38" s="385"/>
      <c r="AU38" s="54"/>
      <c r="AW38" s="16"/>
      <c r="AX38" s="56"/>
    </row>
    <row r="39" spans="1:50" ht="12" customHeight="1" x14ac:dyDescent="0.25">
      <c r="A39" s="363">
        <f t="shared" si="0"/>
        <v>21</v>
      </c>
      <c r="B39" s="364" t="s">
        <v>84</v>
      </c>
      <c r="C39" s="596" t="s">
        <v>264</v>
      </c>
      <c r="D39" s="597" t="s">
        <v>454</v>
      </c>
      <c r="E39" s="367"/>
      <c r="F39" s="368" t="str">
        <f t="shared" si="1"/>
        <v>Сокращенное Название</v>
      </c>
      <c r="G39" s="364" t="s">
        <v>624</v>
      </c>
      <c r="H39" s="598" t="str">
        <f t="shared" si="4"/>
        <v>Фамилия_1 Имя Отчество</v>
      </c>
      <c r="I39" s="364" t="str">
        <f t="shared" ca="1" si="2"/>
        <v>г.р.???</v>
      </c>
      <c r="J39" s="599">
        <f t="shared" si="3"/>
        <v>0</v>
      </c>
      <c r="K39" s="372"/>
      <c r="L39" s="670"/>
      <c r="M39" s="381"/>
      <c r="N39" s="670"/>
      <c r="O39" s="372"/>
      <c r="P39" s="375"/>
      <c r="Q39" s="373"/>
      <c r="R39" s="373"/>
      <c r="S39" s="373"/>
      <c r="T39" s="373"/>
      <c r="U39" s="373"/>
      <c r="V39" s="373"/>
      <c r="W39" s="373"/>
      <c r="X39" s="381"/>
      <c r="Y39" s="377"/>
      <c r="Z39" s="671"/>
      <c r="AA39" s="600"/>
      <c r="AB39" s="378"/>
      <c r="AC39" s="379"/>
      <c r="AD39" s="380"/>
      <c r="AE39" s="372"/>
      <c r="AF39" s="375"/>
      <c r="AG39" s="373"/>
      <c r="AH39" s="381"/>
      <c r="AI39" s="380"/>
      <c r="AJ39" s="380"/>
      <c r="AK39" s="374"/>
      <c r="AL39" s="670"/>
      <c r="AM39" s="372"/>
      <c r="AN39" s="385"/>
      <c r="AO39" s="375"/>
      <c r="AP39" s="385"/>
      <c r="AQ39" s="372"/>
      <c r="AR39" s="385"/>
      <c r="AS39" s="375"/>
      <c r="AT39" s="385"/>
      <c r="AU39" s="54"/>
      <c r="AW39" s="16"/>
      <c r="AX39" s="56"/>
    </row>
    <row r="40" spans="1:50" ht="12" customHeight="1" x14ac:dyDescent="0.25">
      <c r="A40" s="363">
        <f t="shared" si="0"/>
        <v>22</v>
      </c>
      <c r="B40" s="386" t="s">
        <v>100</v>
      </c>
      <c r="C40" s="596" t="s">
        <v>264</v>
      </c>
      <c r="D40" s="597" t="s">
        <v>454</v>
      </c>
      <c r="E40" s="367"/>
      <c r="F40" s="368" t="str">
        <f t="shared" si="1"/>
        <v>Сокращенное Название</v>
      </c>
      <c r="G40" s="364" t="s">
        <v>624</v>
      </c>
      <c r="H40" s="598" t="str">
        <f t="shared" si="4"/>
        <v>Фамилия_1 Имя Отчество</v>
      </c>
      <c r="I40" s="364" t="str">
        <f t="shared" ca="1" si="2"/>
        <v>г.р.???</v>
      </c>
      <c r="J40" s="599">
        <f t="shared" si="3"/>
        <v>0</v>
      </c>
      <c r="K40" s="372"/>
      <c r="L40" s="670"/>
      <c r="M40" s="381"/>
      <c r="N40" s="670"/>
      <c r="O40" s="372"/>
      <c r="P40" s="375"/>
      <c r="Q40" s="373"/>
      <c r="R40" s="373"/>
      <c r="S40" s="373"/>
      <c r="T40" s="373"/>
      <c r="U40" s="373"/>
      <c r="V40" s="373"/>
      <c r="W40" s="373"/>
      <c r="X40" s="381"/>
      <c r="Y40" s="377"/>
      <c r="Z40" s="671"/>
      <c r="AA40" s="600"/>
      <c r="AB40" s="378"/>
      <c r="AC40" s="379"/>
      <c r="AD40" s="380"/>
      <c r="AE40" s="372"/>
      <c r="AF40" s="375"/>
      <c r="AG40" s="373"/>
      <c r="AH40" s="381"/>
      <c r="AI40" s="380"/>
      <c r="AJ40" s="380"/>
      <c r="AK40" s="374"/>
      <c r="AL40" s="670"/>
      <c r="AM40" s="372"/>
      <c r="AN40" s="385"/>
      <c r="AO40" s="375"/>
      <c r="AP40" s="385"/>
      <c r="AQ40" s="372"/>
      <c r="AR40" s="385"/>
      <c r="AS40" s="375"/>
      <c r="AT40" s="385"/>
      <c r="AU40" s="54"/>
      <c r="AW40" s="16"/>
      <c r="AX40" s="56"/>
    </row>
    <row r="41" spans="1:50" ht="12" customHeight="1" x14ac:dyDescent="0.25">
      <c r="A41" s="363">
        <f t="shared" si="0"/>
        <v>23</v>
      </c>
      <c r="B41" s="364" t="s">
        <v>262</v>
      </c>
      <c r="C41" s="596" t="s">
        <v>264</v>
      </c>
      <c r="D41" s="597" t="s">
        <v>454</v>
      </c>
      <c r="E41" s="367"/>
      <c r="F41" s="368" t="str">
        <f t="shared" si="1"/>
        <v>Сокращенное Название</v>
      </c>
      <c r="G41" s="364" t="s">
        <v>624</v>
      </c>
      <c r="H41" s="598" t="str">
        <f t="shared" si="4"/>
        <v>Фамилия_1 Имя Отчество</v>
      </c>
      <c r="I41" s="364" t="str">
        <f t="shared" ca="1" si="2"/>
        <v>г.р.???</v>
      </c>
      <c r="J41" s="599">
        <f t="shared" si="3"/>
        <v>0</v>
      </c>
      <c r="K41" s="372"/>
      <c r="L41" s="670"/>
      <c r="M41" s="381"/>
      <c r="N41" s="670"/>
      <c r="O41" s="372"/>
      <c r="P41" s="375"/>
      <c r="Q41" s="373"/>
      <c r="R41" s="373"/>
      <c r="S41" s="373"/>
      <c r="T41" s="373"/>
      <c r="U41" s="373"/>
      <c r="V41" s="373"/>
      <c r="W41" s="373"/>
      <c r="X41" s="381"/>
      <c r="Y41" s="377"/>
      <c r="Z41" s="671"/>
      <c r="AA41" s="600"/>
      <c r="AB41" s="378"/>
      <c r="AC41" s="379"/>
      <c r="AD41" s="380"/>
      <c r="AE41" s="372"/>
      <c r="AF41" s="375"/>
      <c r="AG41" s="373"/>
      <c r="AH41" s="381"/>
      <c r="AI41" s="380"/>
      <c r="AJ41" s="380"/>
      <c r="AK41" s="374"/>
      <c r="AL41" s="670"/>
      <c r="AM41" s="372"/>
      <c r="AN41" s="385"/>
      <c r="AO41" s="375"/>
      <c r="AP41" s="385"/>
      <c r="AQ41" s="372"/>
      <c r="AR41" s="385"/>
      <c r="AS41" s="375"/>
      <c r="AT41" s="385"/>
      <c r="AU41" s="54"/>
      <c r="AW41" s="16"/>
      <c r="AX41" s="56"/>
    </row>
    <row r="42" spans="1:50" ht="12" customHeight="1" x14ac:dyDescent="0.25">
      <c r="A42" s="363">
        <f t="shared" si="0"/>
        <v>24</v>
      </c>
      <c r="B42" s="364" t="s">
        <v>76</v>
      </c>
      <c r="C42" s="596" t="s">
        <v>264</v>
      </c>
      <c r="D42" s="597" t="s">
        <v>454</v>
      </c>
      <c r="E42" s="367"/>
      <c r="F42" s="368" t="str">
        <f t="shared" si="1"/>
        <v>Сокращенное Название</v>
      </c>
      <c r="G42" s="364" t="s">
        <v>624</v>
      </c>
      <c r="H42" s="598" t="str">
        <f t="shared" si="4"/>
        <v>Фамилия_1 Имя Отчество</v>
      </c>
      <c r="I42" s="364" t="str">
        <f t="shared" ca="1" si="2"/>
        <v>г.р.???</v>
      </c>
      <c r="J42" s="599">
        <f t="shared" si="3"/>
        <v>0</v>
      </c>
      <c r="K42" s="372"/>
      <c r="L42" s="670"/>
      <c r="M42" s="381"/>
      <c r="N42" s="670"/>
      <c r="O42" s="372"/>
      <c r="P42" s="375"/>
      <c r="Q42" s="373"/>
      <c r="R42" s="373"/>
      <c r="S42" s="373"/>
      <c r="T42" s="373"/>
      <c r="U42" s="373"/>
      <c r="V42" s="373"/>
      <c r="W42" s="373"/>
      <c r="X42" s="381"/>
      <c r="Y42" s="377"/>
      <c r="Z42" s="671"/>
      <c r="AA42" s="600"/>
      <c r="AB42" s="378"/>
      <c r="AC42" s="379"/>
      <c r="AD42" s="380"/>
      <c r="AE42" s="372"/>
      <c r="AF42" s="375"/>
      <c r="AG42" s="373"/>
      <c r="AH42" s="381"/>
      <c r="AI42" s="380"/>
      <c r="AJ42" s="380"/>
      <c r="AK42" s="374"/>
      <c r="AL42" s="670"/>
      <c r="AM42" s="372"/>
      <c r="AN42" s="385"/>
      <c r="AO42" s="375"/>
      <c r="AP42" s="385"/>
      <c r="AQ42" s="372"/>
      <c r="AR42" s="385"/>
      <c r="AS42" s="375"/>
      <c r="AT42" s="385"/>
      <c r="AU42" s="54"/>
      <c r="AW42" s="16"/>
      <c r="AX42" s="56"/>
    </row>
    <row r="43" spans="1:50" ht="12.75" customHeight="1" x14ac:dyDescent="0.25">
      <c r="A43" s="435">
        <f t="shared" si="0"/>
        <v>25</v>
      </c>
      <c r="B43" s="388" t="s">
        <v>84</v>
      </c>
      <c r="C43" s="601" t="s">
        <v>264</v>
      </c>
      <c r="D43" s="602" t="s">
        <v>454</v>
      </c>
      <c r="E43" s="391"/>
      <c r="F43" s="392" t="str">
        <f t="shared" si="1"/>
        <v>Сокращенное Название</v>
      </c>
      <c r="G43" s="388" t="s">
        <v>624</v>
      </c>
      <c r="H43" s="603" t="str">
        <f t="shared" si="4"/>
        <v>Фамилия_1 Имя Отчество</v>
      </c>
      <c r="I43" s="388" t="str">
        <f t="shared" ca="1" si="2"/>
        <v>г.р.???</v>
      </c>
      <c r="J43" s="604">
        <f t="shared" si="3"/>
        <v>0</v>
      </c>
      <c r="K43" s="396"/>
      <c r="L43" s="672"/>
      <c r="M43" s="405"/>
      <c r="N43" s="672"/>
      <c r="O43" s="396"/>
      <c r="P43" s="399"/>
      <c r="Q43" s="397"/>
      <c r="R43" s="397"/>
      <c r="S43" s="397"/>
      <c r="T43" s="397"/>
      <c r="U43" s="397"/>
      <c r="V43" s="397"/>
      <c r="W43" s="397"/>
      <c r="X43" s="405"/>
      <c r="Y43" s="401"/>
      <c r="Z43" s="673"/>
      <c r="AA43" s="605"/>
      <c r="AB43" s="674"/>
      <c r="AC43" s="606"/>
      <c r="AD43" s="609"/>
      <c r="AE43" s="607"/>
      <c r="AF43" s="612"/>
      <c r="AG43" s="608"/>
      <c r="AH43" s="675"/>
      <c r="AI43" s="609"/>
      <c r="AJ43" s="609"/>
      <c r="AK43" s="610"/>
      <c r="AL43" s="676"/>
      <c r="AM43" s="607"/>
      <c r="AN43" s="611"/>
      <c r="AO43" s="612"/>
      <c r="AP43" s="611"/>
      <c r="AQ43" s="607"/>
      <c r="AR43" s="611"/>
      <c r="AS43" s="612"/>
      <c r="AT43" s="611"/>
      <c r="AU43" s="54"/>
      <c r="AW43" s="16"/>
      <c r="AX43" s="56"/>
    </row>
    <row r="44" spans="1:50" ht="12" customHeight="1" x14ac:dyDescent="0.25">
      <c r="A44" s="613">
        <f t="shared" si="0"/>
        <v>26</v>
      </c>
      <c r="B44" s="614" t="s">
        <v>158</v>
      </c>
      <c r="C44" s="615" t="s">
        <v>265</v>
      </c>
      <c r="D44" s="616" t="s">
        <v>454</v>
      </c>
      <c r="E44" s="414"/>
      <c r="F44" s="617" t="str">
        <f t="shared" si="1"/>
        <v>Сокращенное Название</v>
      </c>
      <c r="G44" s="416" t="s">
        <v>625</v>
      </c>
      <c r="H44" s="619" t="str">
        <f t="shared" si="4"/>
        <v>Фамилия_1 Имя Отчество</v>
      </c>
      <c r="I44" s="618" t="str">
        <f t="shared" ca="1" si="2"/>
        <v>г.р.???</v>
      </c>
      <c r="J44" s="592">
        <f t="shared" si="3"/>
        <v>0</v>
      </c>
      <c r="K44" s="420"/>
      <c r="L44" s="677"/>
      <c r="M44" s="620"/>
      <c r="N44" s="677"/>
      <c r="O44" s="420"/>
      <c r="P44" s="423"/>
      <c r="Q44" s="421"/>
      <c r="R44" s="421"/>
      <c r="S44" s="421"/>
      <c r="T44" s="421"/>
      <c r="U44" s="421"/>
      <c r="V44" s="421"/>
      <c r="W44" s="421"/>
      <c r="X44" s="620"/>
      <c r="Y44" s="422"/>
      <c r="Z44" s="677"/>
      <c r="AA44" s="594"/>
      <c r="AB44" s="424"/>
      <c r="AC44" s="425"/>
      <c r="AD44" s="426"/>
      <c r="AE44" s="427"/>
      <c r="AF44" s="428"/>
      <c r="AG44" s="429"/>
      <c r="AH44" s="430"/>
      <c r="AI44" s="426"/>
      <c r="AJ44" s="426"/>
      <c r="AK44" s="593"/>
      <c r="AL44" s="669"/>
      <c r="AM44" s="427"/>
      <c r="AN44" s="595"/>
      <c r="AO44" s="428"/>
      <c r="AP44" s="595"/>
      <c r="AQ44" s="427"/>
      <c r="AR44" s="595"/>
      <c r="AS44" s="428"/>
      <c r="AT44" s="595"/>
      <c r="AU44" s="54"/>
      <c r="AW44" s="16"/>
      <c r="AX44" s="56"/>
    </row>
    <row r="45" spans="1:50" ht="12" customHeight="1" x14ac:dyDescent="0.25">
      <c r="A45" s="363">
        <f t="shared" si="0"/>
        <v>27</v>
      </c>
      <c r="B45" s="364" t="s">
        <v>84</v>
      </c>
      <c r="C45" s="596" t="s">
        <v>265</v>
      </c>
      <c r="D45" s="597" t="s">
        <v>454</v>
      </c>
      <c r="E45" s="367"/>
      <c r="F45" s="368" t="str">
        <f t="shared" si="1"/>
        <v>Сокращенное Название</v>
      </c>
      <c r="G45" s="364" t="s">
        <v>625</v>
      </c>
      <c r="H45" s="598" t="str">
        <f t="shared" si="4"/>
        <v>Фамилия_1 Имя Отчество</v>
      </c>
      <c r="I45" s="364" t="str">
        <f t="shared" ca="1" si="2"/>
        <v>г.р.???</v>
      </c>
      <c r="J45" s="599">
        <f t="shared" si="3"/>
        <v>0</v>
      </c>
      <c r="K45" s="372"/>
      <c r="L45" s="670"/>
      <c r="M45" s="381"/>
      <c r="N45" s="670"/>
      <c r="O45" s="372"/>
      <c r="P45" s="375"/>
      <c r="Q45" s="373"/>
      <c r="R45" s="373"/>
      <c r="S45" s="373"/>
      <c r="T45" s="373"/>
      <c r="U45" s="373"/>
      <c r="V45" s="373"/>
      <c r="W45" s="373"/>
      <c r="X45" s="381"/>
      <c r="Y45" s="374"/>
      <c r="Z45" s="670"/>
      <c r="AA45" s="600"/>
      <c r="AB45" s="378"/>
      <c r="AC45" s="379"/>
      <c r="AD45" s="380"/>
      <c r="AE45" s="372"/>
      <c r="AF45" s="375"/>
      <c r="AG45" s="373"/>
      <c r="AH45" s="381"/>
      <c r="AI45" s="380"/>
      <c r="AJ45" s="380"/>
      <c r="AK45" s="374"/>
      <c r="AL45" s="670"/>
      <c r="AM45" s="372"/>
      <c r="AN45" s="385"/>
      <c r="AO45" s="375"/>
      <c r="AP45" s="385"/>
      <c r="AQ45" s="372"/>
      <c r="AR45" s="385"/>
      <c r="AS45" s="375"/>
      <c r="AT45" s="385"/>
      <c r="AU45" s="54"/>
      <c r="AW45" s="16"/>
      <c r="AX45" s="56"/>
    </row>
    <row r="46" spans="1:50" ht="12" customHeight="1" x14ac:dyDescent="0.25">
      <c r="A46" s="363">
        <f t="shared" si="0"/>
        <v>28</v>
      </c>
      <c r="B46" s="364" t="s">
        <v>84</v>
      </c>
      <c r="C46" s="596" t="s">
        <v>265</v>
      </c>
      <c r="D46" s="597" t="s">
        <v>454</v>
      </c>
      <c r="E46" s="367"/>
      <c r="F46" s="368" t="str">
        <f t="shared" si="1"/>
        <v>Сокращенное Название</v>
      </c>
      <c r="G46" s="364" t="s">
        <v>625</v>
      </c>
      <c r="H46" s="598" t="str">
        <f t="shared" si="4"/>
        <v>Фамилия_1 Имя Отчество</v>
      </c>
      <c r="I46" s="364" t="str">
        <f t="shared" ca="1" si="2"/>
        <v>г.р.???</v>
      </c>
      <c r="J46" s="599">
        <f t="shared" si="3"/>
        <v>0</v>
      </c>
      <c r="K46" s="372"/>
      <c r="L46" s="670"/>
      <c r="M46" s="381"/>
      <c r="N46" s="670"/>
      <c r="O46" s="372"/>
      <c r="P46" s="375"/>
      <c r="Q46" s="373"/>
      <c r="R46" s="373"/>
      <c r="S46" s="373"/>
      <c r="T46" s="373"/>
      <c r="U46" s="373"/>
      <c r="V46" s="373"/>
      <c r="W46" s="373"/>
      <c r="X46" s="381"/>
      <c r="Y46" s="374"/>
      <c r="Z46" s="670"/>
      <c r="AA46" s="600"/>
      <c r="AB46" s="378"/>
      <c r="AC46" s="379"/>
      <c r="AD46" s="380"/>
      <c r="AE46" s="372"/>
      <c r="AF46" s="375"/>
      <c r="AG46" s="373"/>
      <c r="AH46" s="381"/>
      <c r="AI46" s="380"/>
      <c r="AJ46" s="380"/>
      <c r="AK46" s="374"/>
      <c r="AL46" s="670"/>
      <c r="AM46" s="372"/>
      <c r="AN46" s="385"/>
      <c r="AO46" s="375"/>
      <c r="AP46" s="385"/>
      <c r="AQ46" s="372"/>
      <c r="AR46" s="385"/>
      <c r="AS46" s="375"/>
      <c r="AT46" s="385"/>
      <c r="AU46" s="54"/>
      <c r="AW46" s="16"/>
      <c r="AX46" s="56"/>
    </row>
    <row r="47" spans="1:50" ht="12" customHeight="1" x14ac:dyDescent="0.25">
      <c r="A47" s="363">
        <f t="shared" si="0"/>
        <v>29</v>
      </c>
      <c r="B47" s="364" t="s">
        <v>84</v>
      </c>
      <c r="C47" s="596" t="s">
        <v>265</v>
      </c>
      <c r="D47" s="597" t="s">
        <v>454</v>
      </c>
      <c r="E47" s="367"/>
      <c r="F47" s="368" t="str">
        <f t="shared" si="1"/>
        <v>Сокращенное Название</v>
      </c>
      <c r="G47" s="364" t="s">
        <v>625</v>
      </c>
      <c r="H47" s="598" t="str">
        <f t="shared" si="4"/>
        <v>Фамилия_1 Имя Отчество</v>
      </c>
      <c r="I47" s="364" t="str">
        <f t="shared" ca="1" si="2"/>
        <v>г.р.???</v>
      </c>
      <c r="J47" s="599">
        <f t="shared" si="3"/>
        <v>0</v>
      </c>
      <c r="K47" s="372"/>
      <c r="L47" s="670"/>
      <c r="M47" s="381"/>
      <c r="N47" s="670"/>
      <c r="O47" s="372"/>
      <c r="P47" s="375"/>
      <c r="Q47" s="373"/>
      <c r="R47" s="373"/>
      <c r="S47" s="373"/>
      <c r="T47" s="373"/>
      <c r="U47" s="373"/>
      <c r="V47" s="373"/>
      <c r="W47" s="373"/>
      <c r="X47" s="381"/>
      <c r="Y47" s="374"/>
      <c r="Z47" s="670"/>
      <c r="AA47" s="600"/>
      <c r="AB47" s="378"/>
      <c r="AC47" s="379"/>
      <c r="AD47" s="380"/>
      <c r="AE47" s="372"/>
      <c r="AF47" s="375"/>
      <c r="AG47" s="373"/>
      <c r="AH47" s="381"/>
      <c r="AI47" s="380"/>
      <c r="AJ47" s="380"/>
      <c r="AK47" s="374"/>
      <c r="AL47" s="670"/>
      <c r="AM47" s="372"/>
      <c r="AN47" s="385"/>
      <c r="AO47" s="375"/>
      <c r="AP47" s="385"/>
      <c r="AQ47" s="372"/>
      <c r="AR47" s="385"/>
      <c r="AS47" s="375"/>
      <c r="AT47" s="385"/>
      <c r="AU47" s="54"/>
      <c r="AW47" s="16"/>
      <c r="AX47" s="56"/>
    </row>
    <row r="48" spans="1:50" ht="12" customHeight="1" x14ac:dyDescent="0.25">
      <c r="A48" s="363">
        <f t="shared" si="0"/>
        <v>30</v>
      </c>
      <c r="B48" s="364" t="s">
        <v>84</v>
      </c>
      <c r="C48" s="596" t="s">
        <v>265</v>
      </c>
      <c r="D48" s="597" t="s">
        <v>454</v>
      </c>
      <c r="E48" s="367"/>
      <c r="F48" s="368" t="str">
        <f t="shared" si="1"/>
        <v>Сокращенное Название</v>
      </c>
      <c r="G48" s="364" t="s">
        <v>625</v>
      </c>
      <c r="H48" s="598" t="str">
        <f t="shared" si="4"/>
        <v>Фамилия_1 Имя Отчество</v>
      </c>
      <c r="I48" s="364" t="str">
        <f t="shared" ca="1" si="2"/>
        <v>г.р.???</v>
      </c>
      <c r="J48" s="599">
        <f t="shared" si="3"/>
        <v>0</v>
      </c>
      <c r="K48" s="372"/>
      <c r="L48" s="670"/>
      <c r="M48" s="381"/>
      <c r="N48" s="670"/>
      <c r="O48" s="372"/>
      <c r="P48" s="375"/>
      <c r="Q48" s="373"/>
      <c r="R48" s="373"/>
      <c r="S48" s="373"/>
      <c r="T48" s="373"/>
      <c r="U48" s="373"/>
      <c r="V48" s="373"/>
      <c r="W48" s="373"/>
      <c r="X48" s="381"/>
      <c r="Y48" s="374"/>
      <c r="Z48" s="670"/>
      <c r="AA48" s="600"/>
      <c r="AB48" s="378"/>
      <c r="AC48" s="379"/>
      <c r="AD48" s="380"/>
      <c r="AE48" s="372"/>
      <c r="AF48" s="375"/>
      <c r="AG48" s="373"/>
      <c r="AH48" s="381"/>
      <c r="AI48" s="380"/>
      <c r="AJ48" s="380"/>
      <c r="AK48" s="374"/>
      <c r="AL48" s="670"/>
      <c r="AM48" s="372"/>
      <c r="AN48" s="385"/>
      <c r="AO48" s="375"/>
      <c r="AP48" s="385"/>
      <c r="AQ48" s="372"/>
      <c r="AR48" s="385"/>
      <c r="AS48" s="375"/>
      <c r="AT48" s="385"/>
      <c r="AU48" s="54"/>
      <c r="AW48" s="16"/>
      <c r="AX48" s="56"/>
    </row>
    <row r="49" spans="1:50" ht="12" customHeight="1" x14ac:dyDescent="0.25">
      <c r="A49" s="363">
        <f t="shared" si="0"/>
        <v>31</v>
      </c>
      <c r="B49" s="364" t="s">
        <v>84</v>
      </c>
      <c r="C49" s="596" t="s">
        <v>265</v>
      </c>
      <c r="D49" s="597" t="s">
        <v>454</v>
      </c>
      <c r="E49" s="367"/>
      <c r="F49" s="368" t="str">
        <f t="shared" si="1"/>
        <v>Сокращенное Название</v>
      </c>
      <c r="G49" s="364" t="s">
        <v>625</v>
      </c>
      <c r="H49" s="598" t="str">
        <f t="shared" si="4"/>
        <v>Фамилия_1 Имя Отчество</v>
      </c>
      <c r="I49" s="364" t="str">
        <f t="shared" ca="1" si="2"/>
        <v>г.р.???</v>
      </c>
      <c r="J49" s="599">
        <f t="shared" si="3"/>
        <v>0</v>
      </c>
      <c r="K49" s="372"/>
      <c r="L49" s="670"/>
      <c r="M49" s="381"/>
      <c r="N49" s="670"/>
      <c r="O49" s="372"/>
      <c r="P49" s="375"/>
      <c r="Q49" s="373"/>
      <c r="R49" s="373"/>
      <c r="S49" s="373"/>
      <c r="T49" s="373"/>
      <c r="U49" s="373"/>
      <c r="V49" s="373"/>
      <c r="W49" s="373"/>
      <c r="X49" s="381"/>
      <c r="Y49" s="374"/>
      <c r="Z49" s="670"/>
      <c r="AA49" s="600"/>
      <c r="AB49" s="378"/>
      <c r="AC49" s="379"/>
      <c r="AD49" s="380"/>
      <c r="AE49" s="372"/>
      <c r="AF49" s="375"/>
      <c r="AG49" s="373"/>
      <c r="AH49" s="381"/>
      <c r="AI49" s="380"/>
      <c r="AJ49" s="380"/>
      <c r="AK49" s="374"/>
      <c r="AL49" s="670"/>
      <c r="AM49" s="372"/>
      <c r="AN49" s="385"/>
      <c r="AO49" s="375"/>
      <c r="AP49" s="385"/>
      <c r="AQ49" s="372"/>
      <c r="AR49" s="385"/>
      <c r="AS49" s="375"/>
      <c r="AT49" s="385"/>
      <c r="AU49" s="54"/>
      <c r="AW49" s="16"/>
      <c r="AX49" s="56"/>
    </row>
    <row r="50" spans="1:50" ht="12" customHeight="1" x14ac:dyDescent="0.25">
      <c r="A50" s="363">
        <f t="shared" si="0"/>
        <v>32</v>
      </c>
      <c r="B50" s="364" t="s">
        <v>84</v>
      </c>
      <c r="C50" s="596" t="s">
        <v>265</v>
      </c>
      <c r="D50" s="597" t="s">
        <v>454</v>
      </c>
      <c r="E50" s="367"/>
      <c r="F50" s="368" t="str">
        <f t="shared" si="1"/>
        <v>Сокращенное Название</v>
      </c>
      <c r="G50" s="364" t="s">
        <v>625</v>
      </c>
      <c r="H50" s="598" t="str">
        <f t="shared" si="4"/>
        <v>Фамилия_1 Имя Отчество</v>
      </c>
      <c r="I50" s="364" t="str">
        <f t="shared" ca="1" si="2"/>
        <v>г.р.???</v>
      </c>
      <c r="J50" s="599">
        <f t="shared" si="3"/>
        <v>0</v>
      </c>
      <c r="K50" s="372"/>
      <c r="L50" s="670"/>
      <c r="M50" s="381"/>
      <c r="N50" s="670"/>
      <c r="O50" s="372"/>
      <c r="P50" s="375"/>
      <c r="Q50" s="373"/>
      <c r="R50" s="373"/>
      <c r="S50" s="373"/>
      <c r="T50" s="373"/>
      <c r="U50" s="373"/>
      <c r="V50" s="373"/>
      <c r="W50" s="373"/>
      <c r="X50" s="381"/>
      <c r="Y50" s="374"/>
      <c r="Z50" s="670"/>
      <c r="AA50" s="600"/>
      <c r="AB50" s="378"/>
      <c r="AC50" s="379"/>
      <c r="AD50" s="380"/>
      <c r="AE50" s="372"/>
      <c r="AF50" s="375"/>
      <c r="AG50" s="373"/>
      <c r="AH50" s="381"/>
      <c r="AI50" s="380"/>
      <c r="AJ50" s="380"/>
      <c r="AK50" s="374"/>
      <c r="AL50" s="670"/>
      <c r="AM50" s="372"/>
      <c r="AN50" s="385"/>
      <c r="AO50" s="375"/>
      <c r="AP50" s="385"/>
      <c r="AQ50" s="372"/>
      <c r="AR50" s="385"/>
      <c r="AS50" s="375"/>
      <c r="AT50" s="385"/>
      <c r="AU50" s="54"/>
      <c r="AW50" s="16"/>
      <c r="AX50" s="56"/>
    </row>
    <row r="51" spans="1:50" ht="12" customHeight="1" x14ac:dyDescent="0.25">
      <c r="A51" s="363">
        <f t="shared" ref="A51:A68" si="5">A50+1</f>
        <v>33</v>
      </c>
      <c r="B51" s="364" t="s">
        <v>84</v>
      </c>
      <c r="C51" s="596" t="s">
        <v>265</v>
      </c>
      <c r="D51" s="597" t="s">
        <v>454</v>
      </c>
      <c r="E51" s="367"/>
      <c r="F51" s="368" t="str">
        <f t="shared" ref="F51:F68" si="6">$E$14</f>
        <v>Сокращенное Название</v>
      </c>
      <c r="G51" s="364" t="s">
        <v>625</v>
      </c>
      <c r="H51" s="598" t="str">
        <f t="shared" si="4"/>
        <v>Фамилия_1 Имя Отчество</v>
      </c>
      <c r="I51" s="364" t="str">
        <f t="shared" ref="I51:I68" ca="1" si="7">IF(ISNUMBER(E51), IF(ISBLANK($M$5), IF(ISBLANK($Q$5), IF(ISBLANK($M$4), IF(ISBLANK($Q$4), IF(ISBLANK($M$3), IF(ISBLANK($Q$3), IF(ISBLANK($M$2), IF(ISBLANK($Q$2), 1, IF(YEAR(TODAY())-$Q$2&lt;=E51, 1, "нед-н")), IF(ISBLANK($Q$2), IF(YEAR(TODAY())-$M$2&gt;=E51, 1, "нед-н"), IF(YEAR(TODAY())-$Q$2&lt;=E51, IF(YEAR(TODAY())-$M$2&gt;=E51, 1, "нед-н"), "нед-н"))), IF(YEAR(TODAY())-$Q$3&lt;=E51, 2, IF(ISBLANK($Q$2), IF(YEAR(TODAY())-$M$2&gt;=E51, 1, "нед-н"), IF(YEAR(TODAY())-$Q$2&lt;=E51, IF(YEAR(TODAY())-$M$2&gt;=E51, 1, "нед-н"), "нед-н")))), IF(YEAR(TODAY())-$Q$3&lt;=E51, IF(YEAR(TODAY())-$M$3&gt;=E51, 2, "нед-н"), IF(ISBLANK($Q$2), IF(YEAR(TODAY())-$M$2&gt;=E51, 1, "нед-н"), IF(YEAR(TODAY())-$Q$2&lt;=E51, IF(YEAR(TODAY())-$M$2&gt;=E51, 1, "нед-н"), "нед-н")))), IF(YEAR(TODAY())-$Q$4&lt;=E51, 3, IF(YEAR(TODAY())-$Q$3&lt;=E51, IF(YEAR(TODAY())-$M$3&gt;=E51, 2, "нед-н"), IF(ISBLANK($Q$2), IF(YEAR(TODAY())-$M$2&gt;=E51, 1, "нед-н"), IF(YEAR(TODAY())-$Q$2&lt;=E51, IF(YEAR(TODAY())-$M$2&gt;=E51, 1, "нед-н"), "нед-н"))))), IF(YEAR(TODAY())-$Q$4&lt;=E51, IF(YEAR(TODAY())-$M$4&gt;=E51, 3, "нед-н"), IF(YEAR(TODAY())-$Q$3&lt;=E51, IF(YEAR(TODAY())-$M$3&gt;=E51, 2, "нед-н"), IF(ISBLANK($Q$2), IF(YEAR(TODAY())-$M$2&gt;=E51, 1, "нед-н"), IF(YEAR(TODAY())-$Q$2&lt;=E51, IF(YEAR(TODAY())-$M$2&gt;=E51, 1, "нед-н"), "нед-н"))))), IF(YEAR(TODAY())-$Q$5&lt;=E51, 4, IF(YEAR(TODAY())-$Q$4&lt;=E51, IF(YEAR(TODAY())-$M$4&gt;=E51, 3, "нед-н"), IF(YEAR(TODAY())-$Q$3&lt;=E51, IF(YEAR(TODAY())-$M$3&gt;=E51, 2, "нед-н"), IF(ISBLANK($Q$2), IF(YEAR(TODAY())-$M$2&gt;=E51, 1, "нед-н"), IF(YEAR(TODAY())-$Q$2&lt;=E51, IF(YEAR(TODAY())-$M$2&gt;=E51, 1, "нед-н"), "нед-н")))))), IF(YEAR(TODAY())-$Q$5&lt;=E51, IF(YEAR(TODAY())-$M$5&gt;=E51, 4, "нед-н"), IF(YEAR(TODAY())-$Q$4&lt;=E51, IF(YEAR(TODAY())-$M$4&gt;=E51, 3, "нед-н"), IF(YEAR(TODAY())-$Q$3&lt;=E51, IF(YEAR(TODAY())-$M$3&gt;=E51, 2, "нед-н"), IF(ISBLANK($Q$2), IF(YEAR(TODAY())-$M$2&gt;=E51, 1, "нед-н"), IF(YEAR(TODAY())-$Q$2&lt;=E51, IF(YEAR(TODAY())-$M$2&gt;=E51, 1, "нед-н"), "нед-н")))))), "г.р.???")</f>
        <v>г.р.???</v>
      </c>
      <c r="J51" s="599">
        <f t="shared" ref="J51:J82" si="8">COUNTA(K51:AI51)</f>
        <v>0</v>
      </c>
      <c r="K51" s="372"/>
      <c r="L51" s="670"/>
      <c r="M51" s="381"/>
      <c r="N51" s="670"/>
      <c r="O51" s="372"/>
      <c r="P51" s="375"/>
      <c r="Q51" s="373"/>
      <c r="R51" s="373"/>
      <c r="S51" s="373"/>
      <c r="T51" s="373"/>
      <c r="U51" s="373"/>
      <c r="V51" s="373"/>
      <c r="W51" s="373"/>
      <c r="X51" s="381"/>
      <c r="Y51" s="374"/>
      <c r="Z51" s="670"/>
      <c r="AA51" s="600"/>
      <c r="AB51" s="378"/>
      <c r="AC51" s="379"/>
      <c r="AD51" s="380"/>
      <c r="AE51" s="372"/>
      <c r="AF51" s="375"/>
      <c r="AG51" s="373"/>
      <c r="AH51" s="381"/>
      <c r="AI51" s="380"/>
      <c r="AJ51" s="380"/>
      <c r="AK51" s="374"/>
      <c r="AL51" s="670"/>
      <c r="AM51" s="372"/>
      <c r="AN51" s="385"/>
      <c r="AO51" s="375"/>
      <c r="AP51" s="385"/>
      <c r="AQ51" s="372"/>
      <c r="AR51" s="385"/>
      <c r="AS51" s="375"/>
      <c r="AT51" s="385"/>
      <c r="AU51" s="54"/>
      <c r="AW51" s="16"/>
      <c r="AX51" s="56"/>
    </row>
    <row r="52" spans="1:50" ht="12" customHeight="1" x14ac:dyDescent="0.25">
      <c r="A52" s="363">
        <f t="shared" si="5"/>
        <v>34</v>
      </c>
      <c r="B52" s="364" t="s">
        <v>260</v>
      </c>
      <c r="C52" s="596" t="s">
        <v>265</v>
      </c>
      <c r="D52" s="597" t="s">
        <v>454</v>
      </c>
      <c r="E52" s="367"/>
      <c r="F52" s="368" t="str">
        <f t="shared" si="6"/>
        <v>Сокращенное Название</v>
      </c>
      <c r="G52" s="364" t="s">
        <v>625</v>
      </c>
      <c r="H52" s="598" t="str">
        <f t="shared" ref="H52:H68" si="9">H51</f>
        <v>Фамилия_1 Имя Отчество</v>
      </c>
      <c r="I52" s="364" t="str">
        <f t="shared" ca="1" si="7"/>
        <v>г.р.???</v>
      </c>
      <c r="J52" s="599">
        <f t="shared" si="8"/>
        <v>0</v>
      </c>
      <c r="K52" s="372"/>
      <c r="L52" s="670"/>
      <c r="M52" s="381"/>
      <c r="N52" s="670"/>
      <c r="O52" s="372"/>
      <c r="P52" s="375"/>
      <c r="Q52" s="373"/>
      <c r="R52" s="373"/>
      <c r="S52" s="373"/>
      <c r="T52" s="373"/>
      <c r="U52" s="373"/>
      <c r="V52" s="373"/>
      <c r="W52" s="373"/>
      <c r="X52" s="381"/>
      <c r="Y52" s="374"/>
      <c r="Z52" s="670"/>
      <c r="AA52" s="600"/>
      <c r="AB52" s="378"/>
      <c r="AC52" s="379"/>
      <c r="AD52" s="380"/>
      <c r="AE52" s="372"/>
      <c r="AF52" s="375"/>
      <c r="AG52" s="373"/>
      <c r="AH52" s="381"/>
      <c r="AI52" s="380"/>
      <c r="AJ52" s="380"/>
      <c r="AK52" s="374"/>
      <c r="AL52" s="670"/>
      <c r="AM52" s="372"/>
      <c r="AN52" s="385"/>
      <c r="AO52" s="375"/>
      <c r="AP52" s="385"/>
      <c r="AQ52" s="372"/>
      <c r="AR52" s="385"/>
      <c r="AS52" s="375"/>
      <c r="AT52" s="385"/>
      <c r="AU52" s="54"/>
      <c r="AW52" s="16"/>
      <c r="AX52" s="56"/>
    </row>
    <row r="53" spans="1:50" ht="12" customHeight="1" x14ac:dyDescent="0.25">
      <c r="A53" s="363">
        <f t="shared" si="5"/>
        <v>35</v>
      </c>
      <c r="B53" s="364" t="s">
        <v>261</v>
      </c>
      <c r="C53" s="596" t="s">
        <v>265</v>
      </c>
      <c r="D53" s="597" t="s">
        <v>454</v>
      </c>
      <c r="E53" s="367"/>
      <c r="F53" s="368" t="str">
        <f t="shared" si="6"/>
        <v>Сокращенное Название</v>
      </c>
      <c r="G53" s="364" t="s">
        <v>625</v>
      </c>
      <c r="H53" s="598" t="str">
        <f t="shared" si="9"/>
        <v>Фамилия_1 Имя Отчество</v>
      </c>
      <c r="I53" s="364" t="str">
        <f t="shared" ca="1" si="7"/>
        <v>г.р.???</v>
      </c>
      <c r="J53" s="599">
        <f t="shared" si="8"/>
        <v>0</v>
      </c>
      <c r="K53" s="372"/>
      <c r="L53" s="670"/>
      <c r="M53" s="381"/>
      <c r="N53" s="670"/>
      <c r="O53" s="372"/>
      <c r="P53" s="375"/>
      <c r="Q53" s="373"/>
      <c r="R53" s="373"/>
      <c r="S53" s="373"/>
      <c r="T53" s="373"/>
      <c r="U53" s="373"/>
      <c r="V53" s="373"/>
      <c r="W53" s="373"/>
      <c r="X53" s="381"/>
      <c r="Y53" s="374"/>
      <c r="Z53" s="670"/>
      <c r="AA53" s="600"/>
      <c r="AB53" s="378"/>
      <c r="AC53" s="379"/>
      <c r="AD53" s="380"/>
      <c r="AE53" s="372"/>
      <c r="AF53" s="375"/>
      <c r="AG53" s="373"/>
      <c r="AH53" s="381"/>
      <c r="AI53" s="380"/>
      <c r="AJ53" s="380"/>
      <c r="AK53" s="374"/>
      <c r="AL53" s="670"/>
      <c r="AM53" s="372"/>
      <c r="AN53" s="385"/>
      <c r="AO53" s="375"/>
      <c r="AP53" s="385"/>
      <c r="AQ53" s="372"/>
      <c r="AR53" s="385"/>
      <c r="AS53" s="375"/>
      <c r="AT53" s="385"/>
      <c r="AU53" s="54"/>
      <c r="AW53" s="16"/>
      <c r="AX53" s="56"/>
    </row>
    <row r="54" spans="1:50" ht="12" customHeight="1" x14ac:dyDescent="0.25">
      <c r="A54" s="363">
        <f t="shared" si="5"/>
        <v>36</v>
      </c>
      <c r="B54" s="364" t="s">
        <v>262</v>
      </c>
      <c r="C54" s="596" t="s">
        <v>265</v>
      </c>
      <c r="D54" s="597" t="s">
        <v>454</v>
      </c>
      <c r="E54" s="367"/>
      <c r="F54" s="368" t="str">
        <f t="shared" si="6"/>
        <v>Сокращенное Название</v>
      </c>
      <c r="G54" s="364" t="s">
        <v>625</v>
      </c>
      <c r="H54" s="598" t="str">
        <f t="shared" si="9"/>
        <v>Фамилия_1 Имя Отчество</v>
      </c>
      <c r="I54" s="364" t="str">
        <f t="shared" ca="1" si="7"/>
        <v>г.р.???</v>
      </c>
      <c r="J54" s="599">
        <f t="shared" si="8"/>
        <v>0</v>
      </c>
      <c r="K54" s="372"/>
      <c r="L54" s="670"/>
      <c r="M54" s="381"/>
      <c r="N54" s="670"/>
      <c r="O54" s="372"/>
      <c r="P54" s="375"/>
      <c r="Q54" s="373"/>
      <c r="R54" s="373"/>
      <c r="S54" s="373"/>
      <c r="T54" s="373"/>
      <c r="U54" s="373"/>
      <c r="V54" s="373"/>
      <c r="W54" s="373"/>
      <c r="X54" s="381"/>
      <c r="Y54" s="374"/>
      <c r="Z54" s="670"/>
      <c r="AA54" s="600"/>
      <c r="AB54" s="378"/>
      <c r="AC54" s="379"/>
      <c r="AD54" s="380"/>
      <c r="AE54" s="372"/>
      <c r="AF54" s="375"/>
      <c r="AG54" s="373"/>
      <c r="AH54" s="381"/>
      <c r="AI54" s="380"/>
      <c r="AJ54" s="380"/>
      <c r="AK54" s="374"/>
      <c r="AL54" s="670"/>
      <c r="AM54" s="372"/>
      <c r="AN54" s="385"/>
      <c r="AO54" s="375"/>
      <c r="AP54" s="385"/>
      <c r="AQ54" s="372"/>
      <c r="AR54" s="385"/>
      <c r="AS54" s="375"/>
      <c r="AT54" s="385"/>
      <c r="AU54" s="54"/>
      <c r="AW54" s="16"/>
      <c r="AX54" s="56"/>
    </row>
    <row r="55" spans="1:50" ht="12" customHeight="1" x14ac:dyDescent="0.25">
      <c r="A55" s="363">
        <f t="shared" si="5"/>
        <v>37</v>
      </c>
      <c r="B55" s="364" t="s">
        <v>79</v>
      </c>
      <c r="C55" s="596" t="s">
        <v>265</v>
      </c>
      <c r="D55" s="597" t="s">
        <v>454</v>
      </c>
      <c r="E55" s="367"/>
      <c r="F55" s="368" t="str">
        <f t="shared" si="6"/>
        <v>Сокращенное Название</v>
      </c>
      <c r="G55" s="364" t="s">
        <v>625</v>
      </c>
      <c r="H55" s="598" t="str">
        <f t="shared" si="9"/>
        <v>Фамилия_1 Имя Отчество</v>
      </c>
      <c r="I55" s="364" t="str">
        <f t="shared" ca="1" si="7"/>
        <v>г.р.???</v>
      </c>
      <c r="J55" s="599">
        <f t="shared" si="8"/>
        <v>0</v>
      </c>
      <c r="K55" s="372"/>
      <c r="L55" s="670"/>
      <c r="M55" s="381"/>
      <c r="N55" s="670"/>
      <c r="O55" s="372"/>
      <c r="P55" s="375"/>
      <c r="Q55" s="373"/>
      <c r="R55" s="373"/>
      <c r="S55" s="373"/>
      <c r="T55" s="373"/>
      <c r="U55" s="373"/>
      <c r="V55" s="373"/>
      <c r="W55" s="373"/>
      <c r="X55" s="381"/>
      <c r="Y55" s="374"/>
      <c r="Z55" s="670"/>
      <c r="AA55" s="600"/>
      <c r="AB55" s="378"/>
      <c r="AC55" s="379"/>
      <c r="AD55" s="380"/>
      <c r="AE55" s="372"/>
      <c r="AF55" s="375"/>
      <c r="AG55" s="373"/>
      <c r="AH55" s="381"/>
      <c r="AI55" s="380"/>
      <c r="AJ55" s="380"/>
      <c r="AK55" s="374"/>
      <c r="AL55" s="670"/>
      <c r="AM55" s="372"/>
      <c r="AN55" s="385"/>
      <c r="AO55" s="375"/>
      <c r="AP55" s="385"/>
      <c r="AQ55" s="372"/>
      <c r="AR55" s="385"/>
      <c r="AS55" s="375"/>
      <c r="AT55" s="385"/>
      <c r="AU55" s="54"/>
      <c r="AW55" s="16"/>
      <c r="AX55" s="56"/>
    </row>
    <row r="56" spans="1:50" ht="12" customHeight="1" x14ac:dyDescent="0.25">
      <c r="A56" s="363">
        <f t="shared" si="5"/>
        <v>38</v>
      </c>
      <c r="B56" s="364" t="s">
        <v>79</v>
      </c>
      <c r="C56" s="596" t="s">
        <v>265</v>
      </c>
      <c r="D56" s="597" t="s">
        <v>454</v>
      </c>
      <c r="E56" s="367"/>
      <c r="F56" s="368" t="str">
        <f t="shared" si="6"/>
        <v>Сокращенное Название</v>
      </c>
      <c r="G56" s="364" t="s">
        <v>625</v>
      </c>
      <c r="H56" s="598" t="str">
        <f t="shared" si="9"/>
        <v>Фамилия_1 Имя Отчество</v>
      </c>
      <c r="I56" s="364" t="str">
        <f t="shared" ca="1" si="7"/>
        <v>г.р.???</v>
      </c>
      <c r="J56" s="599">
        <f t="shared" si="8"/>
        <v>0</v>
      </c>
      <c r="K56" s="372"/>
      <c r="L56" s="670"/>
      <c r="M56" s="381"/>
      <c r="N56" s="670"/>
      <c r="O56" s="372"/>
      <c r="P56" s="375"/>
      <c r="Q56" s="373"/>
      <c r="R56" s="373"/>
      <c r="S56" s="373"/>
      <c r="T56" s="373"/>
      <c r="U56" s="373"/>
      <c r="V56" s="373"/>
      <c r="W56" s="373"/>
      <c r="X56" s="381"/>
      <c r="Y56" s="374"/>
      <c r="Z56" s="670"/>
      <c r="AA56" s="600"/>
      <c r="AB56" s="378"/>
      <c r="AC56" s="379"/>
      <c r="AD56" s="380"/>
      <c r="AE56" s="372"/>
      <c r="AF56" s="375"/>
      <c r="AG56" s="373"/>
      <c r="AH56" s="381"/>
      <c r="AI56" s="380"/>
      <c r="AJ56" s="380"/>
      <c r="AK56" s="374"/>
      <c r="AL56" s="670"/>
      <c r="AM56" s="372"/>
      <c r="AN56" s="385"/>
      <c r="AO56" s="375"/>
      <c r="AP56" s="385"/>
      <c r="AQ56" s="372"/>
      <c r="AR56" s="385"/>
      <c r="AS56" s="375"/>
      <c r="AT56" s="385"/>
      <c r="AU56" s="54"/>
      <c r="AW56" s="16"/>
      <c r="AX56" s="56"/>
    </row>
    <row r="57" spans="1:50" ht="12" customHeight="1" x14ac:dyDescent="0.25">
      <c r="A57" s="363">
        <f t="shared" si="5"/>
        <v>39</v>
      </c>
      <c r="B57" s="364" t="s">
        <v>79</v>
      </c>
      <c r="C57" s="596" t="s">
        <v>265</v>
      </c>
      <c r="D57" s="597" t="s">
        <v>454</v>
      </c>
      <c r="E57" s="367"/>
      <c r="F57" s="368" t="str">
        <f t="shared" si="6"/>
        <v>Сокращенное Название</v>
      </c>
      <c r="G57" s="364" t="s">
        <v>625</v>
      </c>
      <c r="H57" s="598" t="str">
        <f t="shared" si="9"/>
        <v>Фамилия_1 Имя Отчество</v>
      </c>
      <c r="I57" s="364" t="str">
        <f t="shared" ca="1" si="7"/>
        <v>г.р.???</v>
      </c>
      <c r="J57" s="599">
        <f t="shared" si="8"/>
        <v>0</v>
      </c>
      <c r="K57" s="372"/>
      <c r="L57" s="670"/>
      <c r="M57" s="381"/>
      <c r="N57" s="670"/>
      <c r="O57" s="372"/>
      <c r="P57" s="375"/>
      <c r="Q57" s="373"/>
      <c r="R57" s="373"/>
      <c r="S57" s="373"/>
      <c r="T57" s="373"/>
      <c r="U57" s="373"/>
      <c r="V57" s="373"/>
      <c r="W57" s="373"/>
      <c r="X57" s="381"/>
      <c r="Y57" s="374"/>
      <c r="Z57" s="670"/>
      <c r="AA57" s="600"/>
      <c r="AB57" s="378"/>
      <c r="AC57" s="379"/>
      <c r="AD57" s="380"/>
      <c r="AE57" s="372"/>
      <c r="AF57" s="375"/>
      <c r="AG57" s="373"/>
      <c r="AH57" s="381"/>
      <c r="AI57" s="380"/>
      <c r="AJ57" s="380"/>
      <c r="AK57" s="374"/>
      <c r="AL57" s="670"/>
      <c r="AM57" s="372"/>
      <c r="AN57" s="385"/>
      <c r="AO57" s="375"/>
      <c r="AP57" s="385"/>
      <c r="AQ57" s="372"/>
      <c r="AR57" s="385"/>
      <c r="AS57" s="375"/>
      <c r="AT57" s="385"/>
      <c r="AU57" s="54"/>
      <c r="AW57" s="16"/>
      <c r="AX57" s="56"/>
    </row>
    <row r="58" spans="1:50" ht="12" customHeight="1" x14ac:dyDescent="0.25">
      <c r="A58" s="363">
        <f t="shared" si="5"/>
        <v>40</v>
      </c>
      <c r="B58" s="364" t="s">
        <v>79</v>
      </c>
      <c r="C58" s="596" t="s">
        <v>265</v>
      </c>
      <c r="D58" s="597" t="s">
        <v>454</v>
      </c>
      <c r="E58" s="367"/>
      <c r="F58" s="368" t="str">
        <f t="shared" si="6"/>
        <v>Сокращенное Название</v>
      </c>
      <c r="G58" s="364" t="s">
        <v>625</v>
      </c>
      <c r="H58" s="598" t="str">
        <f t="shared" si="9"/>
        <v>Фамилия_1 Имя Отчество</v>
      </c>
      <c r="I58" s="364" t="str">
        <f t="shared" ca="1" si="7"/>
        <v>г.р.???</v>
      </c>
      <c r="J58" s="599">
        <f t="shared" si="8"/>
        <v>0</v>
      </c>
      <c r="K58" s="372"/>
      <c r="L58" s="670"/>
      <c r="M58" s="381"/>
      <c r="N58" s="670"/>
      <c r="O58" s="372"/>
      <c r="P58" s="375"/>
      <c r="Q58" s="373"/>
      <c r="R58" s="373"/>
      <c r="S58" s="373"/>
      <c r="T58" s="373"/>
      <c r="U58" s="373"/>
      <c r="V58" s="373"/>
      <c r="W58" s="373"/>
      <c r="X58" s="381"/>
      <c r="Y58" s="374"/>
      <c r="Z58" s="670"/>
      <c r="AA58" s="600"/>
      <c r="AB58" s="378"/>
      <c r="AC58" s="379"/>
      <c r="AD58" s="380"/>
      <c r="AE58" s="372"/>
      <c r="AF58" s="375"/>
      <c r="AG58" s="373"/>
      <c r="AH58" s="381"/>
      <c r="AI58" s="380"/>
      <c r="AJ58" s="380"/>
      <c r="AK58" s="374"/>
      <c r="AL58" s="670"/>
      <c r="AM58" s="372"/>
      <c r="AN58" s="385"/>
      <c r="AO58" s="375"/>
      <c r="AP58" s="385"/>
      <c r="AQ58" s="372"/>
      <c r="AR58" s="385"/>
      <c r="AS58" s="375"/>
      <c r="AT58" s="385"/>
      <c r="AU58" s="54"/>
      <c r="AW58" s="16"/>
      <c r="AX58" s="56"/>
    </row>
    <row r="59" spans="1:50" ht="12" customHeight="1" x14ac:dyDescent="0.25">
      <c r="A59" s="363">
        <f t="shared" si="5"/>
        <v>41</v>
      </c>
      <c r="B59" s="386" t="s">
        <v>117</v>
      </c>
      <c r="C59" s="596" t="s">
        <v>265</v>
      </c>
      <c r="D59" s="597" t="s">
        <v>454</v>
      </c>
      <c r="E59" s="367"/>
      <c r="F59" s="368" t="str">
        <f t="shared" si="6"/>
        <v>Сокращенное Название</v>
      </c>
      <c r="G59" s="364" t="s">
        <v>625</v>
      </c>
      <c r="H59" s="598" t="str">
        <f t="shared" si="9"/>
        <v>Фамилия_1 Имя Отчество</v>
      </c>
      <c r="I59" s="364" t="str">
        <f t="shared" ca="1" si="7"/>
        <v>г.р.???</v>
      </c>
      <c r="J59" s="599">
        <f t="shared" si="8"/>
        <v>0</v>
      </c>
      <c r="K59" s="372"/>
      <c r="L59" s="670"/>
      <c r="M59" s="381"/>
      <c r="N59" s="670"/>
      <c r="O59" s="372"/>
      <c r="P59" s="375"/>
      <c r="Q59" s="373"/>
      <c r="R59" s="373"/>
      <c r="S59" s="373"/>
      <c r="T59" s="373"/>
      <c r="U59" s="373"/>
      <c r="V59" s="373"/>
      <c r="W59" s="373"/>
      <c r="X59" s="381"/>
      <c r="Y59" s="374"/>
      <c r="Z59" s="670"/>
      <c r="AA59" s="600"/>
      <c r="AB59" s="378"/>
      <c r="AC59" s="379"/>
      <c r="AD59" s="380"/>
      <c r="AE59" s="372"/>
      <c r="AF59" s="375"/>
      <c r="AG59" s="373"/>
      <c r="AH59" s="381"/>
      <c r="AI59" s="380"/>
      <c r="AJ59" s="380"/>
      <c r="AK59" s="374"/>
      <c r="AL59" s="670"/>
      <c r="AM59" s="372"/>
      <c r="AN59" s="385"/>
      <c r="AO59" s="375"/>
      <c r="AP59" s="385"/>
      <c r="AQ59" s="372"/>
      <c r="AR59" s="385"/>
      <c r="AS59" s="375"/>
      <c r="AT59" s="385"/>
      <c r="AU59" s="54"/>
      <c r="AW59" s="16"/>
      <c r="AX59" s="56"/>
    </row>
    <row r="60" spans="1:50" ht="12" customHeight="1" x14ac:dyDescent="0.25">
      <c r="A60" s="363">
        <f t="shared" si="5"/>
        <v>42</v>
      </c>
      <c r="B60" s="386" t="s">
        <v>117</v>
      </c>
      <c r="C60" s="596" t="s">
        <v>265</v>
      </c>
      <c r="D60" s="597" t="s">
        <v>454</v>
      </c>
      <c r="E60" s="367"/>
      <c r="F60" s="368" t="str">
        <f t="shared" si="6"/>
        <v>Сокращенное Название</v>
      </c>
      <c r="G60" s="364" t="s">
        <v>625</v>
      </c>
      <c r="H60" s="598" t="str">
        <f t="shared" si="9"/>
        <v>Фамилия_1 Имя Отчество</v>
      </c>
      <c r="I60" s="364" t="str">
        <f t="shared" ca="1" si="7"/>
        <v>г.р.???</v>
      </c>
      <c r="J60" s="599">
        <f t="shared" si="8"/>
        <v>0</v>
      </c>
      <c r="K60" s="372"/>
      <c r="L60" s="670"/>
      <c r="M60" s="381"/>
      <c r="N60" s="670"/>
      <c r="O60" s="372"/>
      <c r="P60" s="375"/>
      <c r="Q60" s="373"/>
      <c r="R60" s="373"/>
      <c r="S60" s="373"/>
      <c r="T60" s="373"/>
      <c r="U60" s="373"/>
      <c r="V60" s="373"/>
      <c r="W60" s="373"/>
      <c r="X60" s="381"/>
      <c r="Y60" s="374"/>
      <c r="Z60" s="670"/>
      <c r="AA60" s="600"/>
      <c r="AB60" s="378"/>
      <c r="AC60" s="379"/>
      <c r="AD60" s="380"/>
      <c r="AE60" s="372"/>
      <c r="AF60" s="375"/>
      <c r="AG60" s="373"/>
      <c r="AH60" s="381"/>
      <c r="AI60" s="380"/>
      <c r="AJ60" s="380"/>
      <c r="AK60" s="374"/>
      <c r="AL60" s="670"/>
      <c r="AM60" s="372"/>
      <c r="AN60" s="385"/>
      <c r="AO60" s="375"/>
      <c r="AP60" s="385"/>
      <c r="AQ60" s="372"/>
      <c r="AR60" s="385"/>
      <c r="AS60" s="375"/>
      <c r="AT60" s="385"/>
      <c r="AU60" s="54"/>
      <c r="AW60" s="16"/>
      <c r="AX60" s="56"/>
    </row>
    <row r="61" spans="1:50" ht="12" customHeight="1" x14ac:dyDescent="0.25">
      <c r="A61" s="363">
        <f t="shared" si="5"/>
        <v>43</v>
      </c>
      <c r="B61" s="386" t="s">
        <v>117</v>
      </c>
      <c r="C61" s="596" t="s">
        <v>265</v>
      </c>
      <c r="D61" s="597" t="s">
        <v>454</v>
      </c>
      <c r="E61" s="367"/>
      <c r="F61" s="368" t="str">
        <f t="shared" si="6"/>
        <v>Сокращенное Название</v>
      </c>
      <c r="G61" s="364" t="s">
        <v>625</v>
      </c>
      <c r="H61" s="598" t="str">
        <f t="shared" si="9"/>
        <v>Фамилия_1 Имя Отчество</v>
      </c>
      <c r="I61" s="364" t="str">
        <f t="shared" ca="1" si="7"/>
        <v>г.р.???</v>
      </c>
      <c r="J61" s="599">
        <f t="shared" si="8"/>
        <v>0</v>
      </c>
      <c r="K61" s="372"/>
      <c r="L61" s="670"/>
      <c r="M61" s="381"/>
      <c r="N61" s="670"/>
      <c r="O61" s="372"/>
      <c r="P61" s="375"/>
      <c r="Q61" s="373"/>
      <c r="R61" s="373"/>
      <c r="S61" s="373"/>
      <c r="T61" s="373"/>
      <c r="U61" s="373"/>
      <c r="V61" s="373"/>
      <c r="W61" s="373"/>
      <c r="X61" s="381"/>
      <c r="Y61" s="374"/>
      <c r="Z61" s="670"/>
      <c r="AA61" s="600"/>
      <c r="AB61" s="378"/>
      <c r="AC61" s="379"/>
      <c r="AD61" s="380"/>
      <c r="AE61" s="372"/>
      <c r="AF61" s="375"/>
      <c r="AG61" s="373"/>
      <c r="AH61" s="381"/>
      <c r="AI61" s="380"/>
      <c r="AJ61" s="380"/>
      <c r="AK61" s="374"/>
      <c r="AL61" s="670"/>
      <c r="AM61" s="372"/>
      <c r="AN61" s="385"/>
      <c r="AO61" s="375"/>
      <c r="AP61" s="385"/>
      <c r="AQ61" s="372"/>
      <c r="AR61" s="385"/>
      <c r="AS61" s="375"/>
      <c r="AT61" s="385"/>
      <c r="AU61" s="54"/>
      <c r="AW61" s="16"/>
      <c r="AX61" s="56"/>
    </row>
    <row r="62" spans="1:50" ht="12" customHeight="1" x14ac:dyDescent="0.25">
      <c r="A62" s="363">
        <f t="shared" si="5"/>
        <v>44</v>
      </c>
      <c r="B62" s="386" t="s">
        <v>117</v>
      </c>
      <c r="C62" s="596" t="s">
        <v>265</v>
      </c>
      <c r="D62" s="597" t="s">
        <v>454</v>
      </c>
      <c r="E62" s="367"/>
      <c r="F62" s="368" t="str">
        <f t="shared" si="6"/>
        <v>Сокращенное Название</v>
      </c>
      <c r="G62" s="364" t="s">
        <v>625</v>
      </c>
      <c r="H62" s="598" t="str">
        <f t="shared" si="9"/>
        <v>Фамилия_1 Имя Отчество</v>
      </c>
      <c r="I62" s="364" t="str">
        <f t="shared" ca="1" si="7"/>
        <v>г.р.???</v>
      </c>
      <c r="J62" s="599">
        <f t="shared" si="8"/>
        <v>0</v>
      </c>
      <c r="K62" s="372"/>
      <c r="L62" s="670"/>
      <c r="M62" s="381"/>
      <c r="N62" s="670"/>
      <c r="O62" s="372"/>
      <c r="P62" s="375"/>
      <c r="Q62" s="373"/>
      <c r="R62" s="373"/>
      <c r="S62" s="373"/>
      <c r="T62" s="373"/>
      <c r="U62" s="373"/>
      <c r="V62" s="373"/>
      <c r="W62" s="373"/>
      <c r="X62" s="381"/>
      <c r="Y62" s="374"/>
      <c r="Z62" s="670"/>
      <c r="AA62" s="600"/>
      <c r="AB62" s="378"/>
      <c r="AC62" s="379"/>
      <c r="AD62" s="380"/>
      <c r="AE62" s="372"/>
      <c r="AF62" s="375"/>
      <c r="AG62" s="373"/>
      <c r="AH62" s="381"/>
      <c r="AI62" s="380"/>
      <c r="AJ62" s="380"/>
      <c r="AK62" s="374"/>
      <c r="AL62" s="670"/>
      <c r="AM62" s="372"/>
      <c r="AN62" s="385"/>
      <c r="AO62" s="375"/>
      <c r="AP62" s="385"/>
      <c r="AQ62" s="372"/>
      <c r="AR62" s="385"/>
      <c r="AS62" s="375"/>
      <c r="AT62" s="385"/>
      <c r="AU62" s="54"/>
      <c r="AW62" s="16"/>
      <c r="AX62" s="56"/>
    </row>
    <row r="63" spans="1:50" ht="12" customHeight="1" x14ac:dyDescent="0.25">
      <c r="A63" s="363">
        <f t="shared" si="5"/>
        <v>45</v>
      </c>
      <c r="B63" s="386" t="s">
        <v>117</v>
      </c>
      <c r="C63" s="596" t="s">
        <v>265</v>
      </c>
      <c r="D63" s="597" t="s">
        <v>454</v>
      </c>
      <c r="E63" s="367"/>
      <c r="F63" s="368" t="str">
        <f t="shared" si="6"/>
        <v>Сокращенное Название</v>
      </c>
      <c r="G63" s="364" t="s">
        <v>625</v>
      </c>
      <c r="H63" s="598" t="str">
        <f t="shared" si="9"/>
        <v>Фамилия_1 Имя Отчество</v>
      </c>
      <c r="I63" s="364" t="str">
        <f t="shared" ca="1" si="7"/>
        <v>г.р.???</v>
      </c>
      <c r="J63" s="599">
        <f t="shared" si="8"/>
        <v>0</v>
      </c>
      <c r="K63" s="372"/>
      <c r="L63" s="670"/>
      <c r="M63" s="381"/>
      <c r="N63" s="670"/>
      <c r="O63" s="372"/>
      <c r="P63" s="375"/>
      <c r="Q63" s="373"/>
      <c r="R63" s="373"/>
      <c r="S63" s="373"/>
      <c r="T63" s="373"/>
      <c r="U63" s="373"/>
      <c r="V63" s="373"/>
      <c r="W63" s="373"/>
      <c r="X63" s="381"/>
      <c r="Y63" s="374"/>
      <c r="Z63" s="670"/>
      <c r="AA63" s="600"/>
      <c r="AB63" s="378"/>
      <c r="AC63" s="379"/>
      <c r="AD63" s="380"/>
      <c r="AE63" s="372"/>
      <c r="AF63" s="375"/>
      <c r="AG63" s="373"/>
      <c r="AH63" s="381"/>
      <c r="AI63" s="380"/>
      <c r="AJ63" s="380"/>
      <c r="AK63" s="374"/>
      <c r="AL63" s="670"/>
      <c r="AM63" s="372"/>
      <c r="AN63" s="385"/>
      <c r="AO63" s="375"/>
      <c r="AP63" s="385"/>
      <c r="AQ63" s="372"/>
      <c r="AR63" s="385"/>
      <c r="AS63" s="375"/>
      <c r="AT63" s="385"/>
      <c r="AU63" s="54"/>
      <c r="AW63" s="16"/>
      <c r="AX63" s="56"/>
    </row>
    <row r="64" spans="1:50" ht="12" customHeight="1" x14ac:dyDescent="0.25">
      <c r="A64" s="363">
        <f t="shared" si="5"/>
        <v>46</v>
      </c>
      <c r="B64" s="386" t="s">
        <v>158</v>
      </c>
      <c r="C64" s="596" t="s">
        <v>265</v>
      </c>
      <c r="D64" s="597" t="s">
        <v>454</v>
      </c>
      <c r="E64" s="367"/>
      <c r="F64" s="368" t="str">
        <f t="shared" si="6"/>
        <v>Сокращенное Название</v>
      </c>
      <c r="G64" s="364" t="s">
        <v>625</v>
      </c>
      <c r="H64" s="598" t="str">
        <f t="shared" si="9"/>
        <v>Фамилия_1 Имя Отчество</v>
      </c>
      <c r="I64" s="364" t="str">
        <f t="shared" ca="1" si="7"/>
        <v>г.р.???</v>
      </c>
      <c r="J64" s="599">
        <f t="shared" si="8"/>
        <v>0</v>
      </c>
      <c r="K64" s="372"/>
      <c r="L64" s="670"/>
      <c r="M64" s="381"/>
      <c r="N64" s="670"/>
      <c r="O64" s="372"/>
      <c r="P64" s="375"/>
      <c r="Q64" s="373"/>
      <c r="R64" s="373"/>
      <c r="S64" s="373"/>
      <c r="T64" s="373"/>
      <c r="U64" s="373"/>
      <c r="V64" s="373"/>
      <c r="W64" s="373"/>
      <c r="X64" s="381"/>
      <c r="Y64" s="374"/>
      <c r="Z64" s="670"/>
      <c r="AA64" s="600"/>
      <c r="AB64" s="378"/>
      <c r="AC64" s="379"/>
      <c r="AD64" s="380"/>
      <c r="AE64" s="372"/>
      <c r="AF64" s="375"/>
      <c r="AG64" s="373"/>
      <c r="AH64" s="381"/>
      <c r="AI64" s="380"/>
      <c r="AJ64" s="380"/>
      <c r="AK64" s="374"/>
      <c r="AL64" s="670"/>
      <c r="AM64" s="372"/>
      <c r="AN64" s="385"/>
      <c r="AO64" s="375"/>
      <c r="AP64" s="385"/>
      <c r="AQ64" s="372"/>
      <c r="AR64" s="385"/>
      <c r="AS64" s="375"/>
      <c r="AT64" s="385"/>
      <c r="AU64" s="54"/>
      <c r="AW64" s="16"/>
      <c r="AX64" s="56"/>
    </row>
    <row r="65" spans="1:63" ht="12" customHeight="1" x14ac:dyDescent="0.25">
      <c r="A65" s="363">
        <f t="shared" si="5"/>
        <v>47</v>
      </c>
      <c r="B65" s="386" t="s">
        <v>100</v>
      </c>
      <c r="C65" s="596" t="s">
        <v>265</v>
      </c>
      <c r="D65" s="597" t="s">
        <v>454</v>
      </c>
      <c r="E65" s="367"/>
      <c r="F65" s="368" t="str">
        <f t="shared" si="6"/>
        <v>Сокращенное Название</v>
      </c>
      <c r="G65" s="364" t="s">
        <v>625</v>
      </c>
      <c r="H65" s="598" t="str">
        <f t="shared" si="9"/>
        <v>Фамилия_1 Имя Отчество</v>
      </c>
      <c r="I65" s="364" t="str">
        <f t="shared" ca="1" si="7"/>
        <v>г.р.???</v>
      </c>
      <c r="J65" s="599">
        <f t="shared" si="8"/>
        <v>0</v>
      </c>
      <c r="K65" s="372"/>
      <c r="L65" s="670"/>
      <c r="M65" s="381"/>
      <c r="N65" s="670"/>
      <c r="O65" s="372"/>
      <c r="P65" s="375"/>
      <c r="Q65" s="373"/>
      <c r="R65" s="373"/>
      <c r="S65" s="373"/>
      <c r="T65" s="373"/>
      <c r="U65" s="373"/>
      <c r="V65" s="373"/>
      <c r="W65" s="373"/>
      <c r="X65" s="381"/>
      <c r="Y65" s="374"/>
      <c r="Z65" s="670"/>
      <c r="AA65" s="600"/>
      <c r="AB65" s="378"/>
      <c r="AC65" s="379"/>
      <c r="AD65" s="380"/>
      <c r="AE65" s="372"/>
      <c r="AF65" s="375"/>
      <c r="AG65" s="373"/>
      <c r="AH65" s="381"/>
      <c r="AI65" s="380"/>
      <c r="AJ65" s="380"/>
      <c r="AK65" s="374"/>
      <c r="AL65" s="670"/>
      <c r="AM65" s="372"/>
      <c r="AN65" s="385"/>
      <c r="AO65" s="375"/>
      <c r="AP65" s="385"/>
      <c r="AQ65" s="372"/>
      <c r="AR65" s="385"/>
      <c r="AS65" s="375"/>
      <c r="AT65" s="385"/>
      <c r="AU65" s="54"/>
      <c r="AW65" s="16"/>
      <c r="AX65" s="56"/>
    </row>
    <row r="66" spans="1:63" ht="12" customHeight="1" x14ac:dyDescent="0.25">
      <c r="A66" s="363">
        <f t="shared" si="5"/>
        <v>48</v>
      </c>
      <c r="B66" s="364" t="s">
        <v>94</v>
      </c>
      <c r="C66" s="596" t="s">
        <v>265</v>
      </c>
      <c r="D66" s="597" t="s">
        <v>454</v>
      </c>
      <c r="E66" s="367"/>
      <c r="F66" s="368" t="str">
        <f t="shared" si="6"/>
        <v>Сокращенное Название</v>
      </c>
      <c r="G66" s="364" t="s">
        <v>625</v>
      </c>
      <c r="H66" s="598" t="str">
        <f t="shared" si="9"/>
        <v>Фамилия_1 Имя Отчество</v>
      </c>
      <c r="I66" s="364" t="str">
        <f t="shared" ca="1" si="7"/>
        <v>г.р.???</v>
      </c>
      <c r="J66" s="599">
        <f t="shared" si="8"/>
        <v>0</v>
      </c>
      <c r="K66" s="372"/>
      <c r="L66" s="670"/>
      <c r="M66" s="381"/>
      <c r="N66" s="670"/>
      <c r="O66" s="372"/>
      <c r="P66" s="375"/>
      <c r="Q66" s="373"/>
      <c r="R66" s="373"/>
      <c r="S66" s="373"/>
      <c r="T66" s="373"/>
      <c r="U66" s="373"/>
      <c r="V66" s="373"/>
      <c r="W66" s="373"/>
      <c r="X66" s="381"/>
      <c r="Y66" s="374"/>
      <c r="Z66" s="670"/>
      <c r="AA66" s="600"/>
      <c r="AB66" s="378"/>
      <c r="AC66" s="379"/>
      <c r="AD66" s="380"/>
      <c r="AE66" s="372"/>
      <c r="AF66" s="375"/>
      <c r="AG66" s="373"/>
      <c r="AH66" s="381"/>
      <c r="AI66" s="380"/>
      <c r="AJ66" s="380"/>
      <c r="AK66" s="374"/>
      <c r="AL66" s="670"/>
      <c r="AM66" s="372"/>
      <c r="AN66" s="385"/>
      <c r="AO66" s="375"/>
      <c r="AP66" s="385"/>
      <c r="AQ66" s="372"/>
      <c r="AR66" s="385"/>
      <c r="AS66" s="375"/>
      <c r="AT66" s="385"/>
      <c r="AU66" s="54"/>
      <c r="AW66" s="16"/>
      <c r="AX66" s="56"/>
    </row>
    <row r="67" spans="1:63" ht="12" customHeight="1" x14ac:dyDescent="0.25">
      <c r="A67" s="363">
        <f t="shared" si="5"/>
        <v>49</v>
      </c>
      <c r="B67" s="386" t="s">
        <v>100</v>
      </c>
      <c r="C67" s="596" t="s">
        <v>265</v>
      </c>
      <c r="D67" s="597" t="s">
        <v>454</v>
      </c>
      <c r="E67" s="367"/>
      <c r="F67" s="368" t="str">
        <f t="shared" si="6"/>
        <v>Сокращенное Название</v>
      </c>
      <c r="G67" s="364" t="s">
        <v>625</v>
      </c>
      <c r="H67" s="598" t="str">
        <f t="shared" si="9"/>
        <v>Фамилия_1 Имя Отчество</v>
      </c>
      <c r="I67" s="364" t="str">
        <f t="shared" ca="1" si="7"/>
        <v>г.р.???</v>
      </c>
      <c r="J67" s="599">
        <f t="shared" si="8"/>
        <v>0</v>
      </c>
      <c r="K67" s="372"/>
      <c r="L67" s="670"/>
      <c r="M67" s="381"/>
      <c r="N67" s="670"/>
      <c r="O67" s="372"/>
      <c r="P67" s="375"/>
      <c r="Q67" s="373"/>
      <c r="R67" s="373"/>
      <c r="S67" s="373"/>
      <c r="T67" s="373"/>
      <c r="U67" s="373"/>
      <c r="V67" s="373"/>
      <c r="W67" s="373"/>
      <c r="X67" s="381"/>
      <c r="Y67" s="374"/>
      <c r="Z67" s="670"/>
      <c r="AA67" s="600"/>
      <c r="AB67" s="378"/>
      <c r="AC67" s="379"/>
      <c r="AD67" s="380"/>
      <c r="AE67" s="372"/>
      <c r="AF67" s="375"/>
      <c r="AG67" s="373"/>
      <c r="AH67" s="381"/>
      <c r="AI67" s="380"/>
      <c r="AJ67" s="380"/>
      <c r="AK67" s="374"/>
      <c r="AL67" s="670"/>
      <c r="AM67" s="372"/>
      <c r="AN67" s="385"/>
      <c r="AO67" s="375"/>
      <c r="AP67" s="385"/>
      <c r="AQ67" s="372"/>
      <c r="AR67" s="385"/>
      <c r="AS67" s="375"/>
      <c r="AT67" s="385"/>
      <c r="AU67" s="54"/>
      <c r="AW67" s="16"/>
      <c r="AX67" s="56"/>
    </row>
    <row r="68" spans="1:63" ht="12.75" customHeight="1" x14ac:dyDescent="0.25">
      <c r="A68" s="435">
        <f t="shared" si="5"/>
        <v>50</v>
      </c>
      <c r="B68" s="436" t="s">
        <v>117</v>
      </c>
      <c r="C68" s="601" t="s">
        <v>265</v>
      </c>
      <c r="D68" s="390" t="s">
        <v>454</v>
      </c>
      <c r="E68" s="391"/>
      <c r="F68" s="392" t="str">
        <f t="shared" si="6"/>
        <v>Сокращенное Название</v>
      </c>
      <c r="G68" s="388" t="s">
        <v>625</v>
      </c>
      <c r="H68" s="603" t="str">
        <f t="shared" si="9"/>
        <v>Фамилия_1 Имя Отчество</v>
      </c>
      <c r="I68" s="388" t="str">
        <f t="shared" ca="1" si="7"/>
        <v>г.р.???</v>
      </c>
      <c r="J68" s="621">
        <f t="shared" si="8"/>
        <v>0</v>
      </c>
      <c r="K68" s="396"/>
      <c r="L68" s="672"/>
      <c r="M68" s="405"/>
      <c r="N68" s="672"/>
      <c r="O68" s="396"/>
      <c r="P68" s="399"/>
      <c r="Q68" s="397"/>
      <c r="R68" s="397"/>
      <c r="S68" s="397"/>
      <c r="T68" s="397"/>
      <c r="U68" s="397"/>
      <c r="V68" s="397"/>
      <c r="W68" s="397"/>
      <c r="X68" s="405"/>
      <c r="Y68" s="398"/>
      <c r="Z68" s="672"/>
      <c r="AA68" s="396"/>
      <c r="AB68" s="399"/>
      <c r="AC68" s="403"/>
      <c r="AD68" s="404"/>
      <c r="AE68" s="622"/>
      <c r="AF68" s="678"/>
      <c r="AG68" s="397"/>
      <c r="AH68" s="405"/>
      <c r="AI68" s="405"/>
      <c r="AJ68" s="405"/>
      <c r="AK68" s="398"/>
      <c r="AL68" s="672"/>
      <c r="AM68" s="396"/>
      <c r="AN68" s="623"/>
      <c r="AO68" s="624"/>
      <c r="AP68" s="623"/>
      <c r="AQ68" s="396"/>
      <c r="AR68" s="623"/>
      <c r="AS68" s="624"/>
      <c r="AT68" s="623"/>
      <c r="AU68" s="54"/>
      <c r="AW68" s="16"/>
    </row>
    <row r="69" spans="1:63" ht="10.5" customHeight="1" x14ac:dyDescent="0.25">
      <c r="A69" s="193"/>
      <c r="B69" s="86"/>
      <c r="C69" s="87"/>
      <c r="D69" s="249"/>
      <c r="E69" s="249"/>
      <c r="F69" s="249"/>
      <c r="G69" s="437" t="s">
        <v>626</v>
      </c>
      <c r="H69" s="437" t="s">
        <v>627</v>
      </c>
      <c r="J69" s="438">
        <f>SUMIF(G19:G68, "Ж", J19:J68)</f>
        <v>0</v>
      </c>
      <c r="K69" s="112"/>
      <c r="L69" s="112"/>
      <c r="M69" s="112"/>
      <c r="N69" s="112"/>
      <c r="O69" s="112"/>
      <c r="P69" s="112"/>
      <c r="Q69" s="112"/>
      <c r="R69" s="112"/>
      <c r="S69" s="194"/>
      <c r="T69" s="194"/>
      <c r="U69" s="194"/>
      <c r="V69" s="194"/>
      <c r="W69" s="194"/>
      <c r="X69" s="194"/>
      <c r="Y69" s="194"/>
      <c r="Z69" s="194"/>
      <c r="AA69" s="195"/>
      <c r="AB69" s="195"/>
      <c r="AC69" s="195"/>
      <c r="AD69" s="195"/>
      <c r="AE69" s="195"/>
      <c r="AF69" s="195"/>
      <c r="AG69" s="112"/>
      <c r="AH69" s="112"/>
      <c r="AI69" s="112"/>
      <c r="AJ69" s="112"/>
      <c r="AK69" s="112"/>
      <c r="AL69" s="112"/>
      <c r="AM69" s="112"/>
      <c r="AN69" s="112"/>
      <c r="AO69" s="112"/>
      <c r="AP69" s="439"/>
      <c r="AQ69" s="439"/>
      <c r="AR69" s="112"/>
      <c r="AS69" s="112"/>
      <c r="AT69" s="112"/>
      <c r="AU69" s="112"/>
      <c r="AV69" s="112"/>
      <c r="AW69" s="112"/>
      <c r="AX69" s="112"/>
      <c r="AY69" s="112"/>
      <c r="AZ69" s="195"/>
      <c r="BA69" s="202"/>
      <c r="BB69" s="195"/>
      <c r="BC69" s="202"/>
      <c r="BD69" s="195"/>
      <c r="BI69" s="96">
        <f>SUM(BI19:BI68)</f>
        <v>0</v>
      </c>
      <c r="BJ69" s="96">
        <f>SUM(BJ19:BJ68)</f>
        <v>0</v>
      </c>
      <c r="BK69" s="96">
        <f>SUM(BK19:BK68)</f>
        <v>0</v>
      </c>
    </row>
    <row r="70" spans="1:63" ht="10.5" customHeight="1" x14ac:dyDescent="0.25">
      <c r="A70" s="193"/>
      <c r="B70" s="86"/>
      <c r="C70" s="87"/>
      <c r="D70" s="249"/>
      <c r="E70" s="249"/>
      <c r="F70" s="249"/>
      <c r="G70" s="437"/>
      <c r="H70" s="437" t="s">
        <v>628</v>
      </c>
      <c r="J70" s="440">
        <f>SUMIF(G19:G68, "М", J19:J68)</f>
        <v>0</v>
      </c>
      <c r="K70" s="112"/>
      <c r="L70" s="112"/>
      <c r="M70" s="112"/>
      <c r="N70" s="112"/>
      <c r="O70" s="112"/>
      <c r="P70" s="112"/>
      <c r="Q70" s="112"/>
      <c r="R70" s="112"/>
      <c r="S70" s="194"/>
      <c r="T70" s="194"/>
      <c r="U70" s="194"/>
      <c r="V70" s="194"/>
      <c r="W70" s="194"/>
      <c r="X70" s="194"/>
      <c r="Y70" s="194"/>
      <c r="Z70" s="194"/>
      <c r="AA70" s="195"/>
      <c r="AB70" s="195"/>
      <c r="AC70" s="195"/>
      <c r="AD70" s="195"/>
      <c r="AE70" s="195"/>
      <c r="AF70" s="195"/>
      <c r="AG70" s="112"/>
      <c r="AH70" s="112"/>
      <c r="AI70" s="112"/>
      <c r="AJ70" s="112"/>
      <c r="AK70" s="112"/>
      <c r="AL70" s="112"/>
      <c r="AM70" s="112"/>
      <c r="AN70" s="112"/>
      <c r="AO70" s="112"/>
      <c r="AP70" s="439"/>
      <c r="AQ70" s="439"/>
      <c r="AR70" s="112"/>
      <c r="AS70" s="112"/>
      <c r="AT70" s="112"/>
      <c r="AU70" s="112"/>
      <c r="AV70" s="112"/>
      <c r="AW70" s="112"/>
      <c r="AX70" s="112"/>
      <c r="AY70" s="112"/>
      <c r="AZ70" s="195"/>
      <c r="BA70" s="202"/>
      <c r="BB70" s="195"/>
      <c r="BC70" s="202"/>
      <c r="BD70" s="195"/>
      <c r="BI70" s="96"/>
      <c r="BJ70" s="96"/>
      <c r="BK70" s="96"/>
    </row>
    <row r="71" spans="1:63" ht="10.5" customHeight="1" x14ac:dyDescent="0.25">
      <c r="A71" s="193"/>
      <c r="B71" s="86"/>
      <c r="C71" s="87"/>
      <c r="D71" s="249"/>
      <c r="E71" s="249"/>
      <c r="F71" s="249"/>
      <c r="H71" s="437" t="s">
        <v>626</v>
      </c>
      <c r="I71" s="437"/>
      <c r="J71" s="339">
        <f>SUM(J19:J68)</f>
        <v>0</v>
      </c>
      <c r="K71" s="339"/>
      <c r="L71" s="339"/>
      <c r="M71" s="112"/>
      <c r="N71" s="112"/>
      <c r="O71" s="112"/>
      <c r="P71" s="112"/>
      <c r="Q71" s="112"/>
      <c r="R71" s="112"/>
      <c r="S71" s="112"/>
      <c r="T71" s="112"/>
      <c r="U71" s="194"/>
      <c r="V71" s="194"/>
      <c r="W71" s="194"/>
      <c r="X71" s="194"/>
      <c r="Y71" s="194"/>
      <c r="Z71" s="194"/>
      <c r="AA71" s="194"/>
      <c r="AB71" s="194"/>
      <c r="AC71" s="195"/>
      <c r="AD71" s="195"/>
      <c r="AE71" s="195"/>
      <c r="AF71" s="195"/>
      <c r="AG71" s="195"/>
      <c r="AH71" s="195"/>
      <c r="AI71" s="112"/>
      <c r="AJ71" s="112"/>
      <c r="AK71" s="112"/>
      <c r="AL71" s="112"/>
      <c r="AM71" s="112"/>
      <c r="AN71" s="112"/>
      <c r="AO71" s="112"/>
      <c r="AP71" s="439"/>
      <c r="AQ71" s="112"/>
      <c r="AR71" s="112"/>
      <c r="AS71" s="112"/>
      <c r="AT71" s="439"/>
      <c r="AU71" s="439"/>
      <c r="AV71" s="112"/>
      <c r="AW71" s="112"/>
      <c r="AX71" s="112"/>
      <c r="AY71" s="112"/>
      <c r="AZ71" s="112"/>
      <c r="BA71" s="195"/>
      <c r="BB71" s="202"/>
      <c r="BC71" s="195"/>
      <c r="BD71" s="202"/>
      <c r="BE71" s="195"/>
      <c r="BF71" s="202"/>
      <c r="BG71" s="195"/>
      <c r="BH71" s="96"/>
      <c r="BI71" s="96"/>
      <c r="BJ71" s="96"/>
    </row>
    <row r="72" spans="1:63" x14ac:dyDescent="0.25">
      <c r="B72" s="87"/>
      <c r="E72" s="96"/>
      <c r="F72" s="96"/>
      <c r="G72" s="87"/>
      <c r="H72" s="87"/>
      <c r="J72" s="87"/>
      <c r="K72" s="87"/>
      <c r="L72" s="87"/>
      <c r="M72" s="339"/>
      <c r="N72" s="339"/>
      <c r="O72" s="112"/>
      <c r="P72" s="112"/>
      <c r="Q72" s="112"/>
      <c r="R72" s="112"/>
      <c r="S72" s="112"/>
      <c r="T72" s="112"/>
      <c r="U72" s="194"/>
      <c r="V72" s="194"/>
      <c r="W72" s="194"/>
      <c r="X72" s="194"/>
      <c r="AV72" s="112"/>
      <c r="AW72" s="112"/>
      <c r="AX72" s="112"/>
      <c r="AY72" s="112"/>
      <c r="AZ72" s="112"/>
      <c r="BA72" s="195"/>
      <c r="BB72" s="202"/>
      <c r="BC72" s="195"/>
      <c r="BD72" s="202"/>
      <c r="BE72" s="195"/>
      <c r="BF72" s="202"/>
      <c r="BG72" s="195"/>
      <c r="BH72" s="96"/>
      <c r="BI72" s="96"/>
      <c r="BJ72" s="96"/>
    </row>
    <row r="73" spans="1:63" ht="15" customHeight="1" x14ac:dyDescent="0.25">
      <c r="A73" s="441" t="s">
        <v>631</v>
      </c>
      <c r="B73" s="87"/>
      <c r="C73" s="87"/>
      <c r="E73" s="441" t="s">
        <v>632</v>
      </c>
      <c r="F73" s="96"/>
      <c r="G73" s="87"/>
      <c r="H73" s="87"/>
      <c r="J73" s="87"/>
      <c r="K73" s="87"/>
      <c r="L73" s="87"/>
      <c r="M73" s="112"/>
      <c r="N73" s="112"/>
      <c r="O73" s="112"/>
      <c r="P73" s="112"/>
      <c r="Q73" s="112"/>
      <c r="R73" s="112"/>
      <c r="U73" s="625"/>
      <c r="V73" s="625"/>
      <c r="W73" s="625"/>
      <c r="X73" s="625"/>
      <c r="Y73" s="625"/>
      <c r="Z73" s="625"/>
      <c r="AA73" s="625"/>
      <c r="AB73" s="625"/>
      <c r="AC73" s="625"/>
      <c r="AD73" s="625"/>
      <c r="AE73" s="625"/>
      <c r="AF73" s="625"/>
      <c r="AG73" s="625"/>
      <c r="AH73" s="625"/>
      <c r="AI73" s="625"/>
      <c r="AJ73" s="625"/>
      <c r="AV73" s="112"/>
      <c r="AW73" s="112"/>
      <c r="AX73" s="112"/>
      <c r="AY73" s="112"/>
      <c r="AZ73" s="112"/>
      <c r="BA73" s="195"/>
      <c r="BB73" s="202"/>
      <c r="BC73" s="195"/>
      <c r="BD73" s="202"/>
      <c r="BE73" s="195"/>
      <c r="BF73" s="202"/>
      <c r="BG73" s="195"/>
      <c r="BH73" s="96"/>
      <c r="BI73" s="96"/>
      <c r="BJ73" s="96"/>
    </row>
    <row r="74" spans="1:63" ht="15" customHeight="1" x14ac:dyDescent="0.25">
      <c r="A74" s="441" t="s">
        <v>631</v>
      </c>
      <c r="B74" s="87"/>
      <c r="C74" s="87"/>
      <c r="E74" s="441" t="s">
        <v>633</v>
      </c>
      <c r="F74" s="96"/>
      <c r="G74" s="87"/>
      <c r="H74" s="87"/>
      <c r="J74" s="87"/>
      <c r="K74" s="87"/>
      <c r="L74" s="87"/>
      <c r="M74" s="112"/>
      <c r="N74" s="112"/>
      <c r="O74" s="112"/>
      <c r="P74" s="112"/>
      <c r="Q74" s="112"/>
      <c r="R74" s="112"/>
      <c r="S74" s="625"/>
      <c r="T74" s="625"/>
      <c r="U74" s="625"/>
      <c r="V74" s="625"/>
      <c r="W74" s="625"/>
      <c r="X74" s="625"/>
      <c r="Y74" s="625"/>
      <c r="Z74" s="625"/>
      <c r="AA74" s="625"/>
      <c r="AB74" s="625"/>
      <c r="AC74" s="625"/>
      <c r="AD74" s="625"/>
      <c r="AE74" s="625"/>
      <c r="AF74" s="625"/>
      <c r="AG74" s="625"/>
      <c r="AH74" s="625"/>
      <c r="AI74" s="625"/>
      <c r="AJ74" s="625"/>
      <c r="AV74" s="112"/>
      <c r="AW74" s="112"/>
      <c r="AX74" s="112"/>
      <c r="AY74" s="112"/>
      <c r="AZ74" s="112"/>
      <c r="BA74" s="195"/>
      <c r="BB74" s="202"/>
      <c r="BC74" s="195"/>
      <c r="BD74" s="202"/>
      <c r="BE74" s="195"/>
      <c r="BF74" s="202"/>
      <c r="BG74" s="195"/>
      <c r="BH74" s="96"/>
      <c r="BI74" s="96"/>
      <c r="BJ74" s="96"/>
    </row>
    <row r="75" spans="1:63" ht="15" customHeight="1" x14ac:dyDescent="0.25">
      <c r="A75" s="441" t="s">
        <v>631</v>
      </c>
      <c r="B75" s="87"/>
      <c r="C75" s="87"/>
      <c r="D75" s="39"/>
      <c r="E75" s="441" t="s">
        <v>634</v>
      </c>
      <c r="F75" s="96"/>
      <c r="G75" s="87"/>
      <c r="H75" s="87"/>
      <c r="J75" s="87"/>
      <c r="K75" s="87"/>
      <c r="L75" s="87"/>
      <c r="M75" s="112"/>
      <c r="N75" s="112"/>
      <c r="O75" s="112"/>
      <c r="P75" s="112"/>
      <c r="Q75" s="112"/>
      <c r="R75" s="112"/>
      <c r="S75" s="625"/>
      <c r="T75" s="625"/>
      <c r="U75" s="625"/>
      <c r="V75" s="625"/>
      <c r="W75" s="625"/>
      <c r="X75" s="625"/>
      <c r="Y75" s="625"/>
      <c r="Z75" s="625"/>
      <c r="AA75" s="625"/>
      <c r="AB75" s="625"/>
      <c r="AC75" s="625"/>
      <c r="AD75" s="625"/>
      <c r="AE75" s="625"/>
      <c r="AF75" s="625"/>
      <c r="AG75" s="625"/>
      <c r="AH75" s="625"/>
      <c r="AI75" s="625"/>
      <c r="AJ75" s="625"/>
      <c r="AV75" s="112"/>
      <c r="AW75" s="112"/>
      <c r="AX75" s="112"/>
      <c r="AY75" s="112"/>
      <c r="AZ75" s="112"/>
      <c r="BA75" s="195"/>
      <c r="BB75" s="202"/>
      <c r="BC75" s="195"/>
      <c r="BD75" s="202"/>
      <c r="BE75" s="195"/>
      <c r="BF75" s="202"/>
      <c r="BG75" s="195"/>
      <c r="BH75" s="96"/>
      <c r="BI75" s="96"/>
      <c r="BJ75" s="96"/>
    </row>
    <row r="76" spans="1:63" s="300" customFormat="1" ht="35.25" customHeight="1" x14ac:dyDescent="0.25">
      <c r="A76" s="626"/>
      <c r="B76" s="627"/>
      <c r="C76" s="627"/>
      <c r="D76" s="627"/>
      <c r="E76" s="627"/>
      <c r="F76" s="627"/>
      <c r="G76" s="627"/>
      <c r="H76" s="627"/>
      <c r="I76" s="627"/>
      <c r="J76" s="627"/>
      <c r="K76" s="627"/>
      <c r="L76" s="627"/>
      <c r="M76" s="627"/>
      <c r="N76" s="627"/>
      <c r="O76" s="627"/>
      <c r="P76" s="627"/>
      <c r="Q76" s="627"/>
      <c r="R76" s="627"/>
      <c r="S76" s="627"/>
      <c r="T76" s="627"/>
      <c r="U76" s="627"/>
      <c r="V76" s="627"/>
      <c r="W76" s="627"/>
      <c r="X76" s="627"/>
      <c r="Y76" s="627"/>
      <c r="Z76" s="627"/>
      <c r="AA76" s="627"/>
      <c r="AB76" s="627"/>
      <c r="AC76" s="627"/>
      <c r="AD76" s="627"/>
      <c r="AE76" s="627"/>
      <c r="AF76" s="627"/>
      <c r="AG76" s="627"/>
      <c r="AH76" s="627"/>
      <c r="AX76" s="567"/>
      <c r="AY76" s="567"/>
      <c r="AZ76" s="567"/>
      <c r="BA76" s="568"/>
      <c r="BB76" s="569"/>
      <c r="BC76" s="568"/>
      <c r="BD76" s="569"/>
      <c r="BE76" s="568"/>
      <c r="BF76" s="569"/>
      <c r="BG76" s="568"/>
      <c r="BH76" s="311"/>
      <c r="BI76" s="311"/>
      <c r="BJ76" s="311"/>
    </row>
    <row r="77" spans="1:63" x14ac:dyDescent="0.25">
      <c r="A77" s="39"/>
      <c r="B77" s="628"/>
      <c r="C77" s="628"/>
      <c r="D77" s="628"/>
      <c r="E77" s="628"/>
      <c r="F77" s="628"/>
      <c r="G77" s="628"/>
      <c r="H77" s="628"/>
      <c r="I77" s="628"/>
      <c r="J77" s="628"/>
      <c r="K77" s="628"/>
      <c r="L77" s="628"/>
      <c r="M77" s="628"/>
      <c r="N77" s="628"/>
      <c r="O77" s="628"/>
      <c r="P77" s="628"/>
      <c r="Q77" s="628"/>
      <c r="R77" s="628"/>
      <c r="S77" s="628"/>
      <c r="T77" s="628"/>
      <c r="U77" s="628"/>
      <c r="V77" s="628"/>
      <c r="W77" s="628"/>
      <c r="X77" s="628"/>
      <c r="Y77" s="628"/>
      <c r="Z77" s="628"/>
      <c r="AA77" s="628"/>
      <c r="AB77" s="628"/>
      <c r="AC77" s="628"/>
      <c r="AD77" s="628"/>
      <c r="AE77" s="628"/>
      <c r="AF77" s="628"/>
      <c r="AG77" s="628"/>
      <c r="AH77" s="628"/>
      <c r="AX77" s="112"/>
      <c r="AY77" s="112"/>
      <c r="AZ77" s="112"/>
      <c r="BA77" s="195"/>
      <c r="BB77" s="202"/>
      <c r="BC77" s="195"/>
      <c r="BD77" s="202"/>
      <c r="BE77" s="195"/>
      <c r="BF77" s="202"/>
      <c r="BG77" s="195"/>
      <c r="BH77" s="96"/>
      <c r="BI77" s="96"/>
      <c r="BJ77" s="96"/>
    </row>
    <row r="78" spans="1:63" s="450" customFormat="1" ht="18.75" x14ac:dyDescent="0.25">
      <c r="A78" s="451"/>
      <c r="B78" s="449" t="s">
        <v>708</v>
      </c>
      <c r="C78" s="278"/>
      <c r="D78" s="451"/>
      <c r="E78" s="452"/>
      <c r="F78" s="452"/>
      <c r="G78" s="278"/>
      <c r="H78" s="278"/>
      <c r="I78" s="278"/>
      <c r="J78" s="278"/>
      <c r="K78" s="278"/>
      <c r="L78" s="278"/>
      <c r="M78" s="453"/>
      <c r="N78" s="453"/>
      <c r="O78" s="453"/>
      <c r="P78" s="453"/>
      <c r="Q78" s="453"/>
      <c r="R78" s="453"/>
      <c r="S78" s="453"/>
      <c r="T78" s="453"/>
      <c r="U78" s="454"/>
      <c r="V78" s="454"/>
      <c r="W78" s="454"/>
      <c r="X78" s="454"/>
      <c r="Y78" s="454"/>
      <c r="Z78" s="454"/>
      <c r="AA78" s="454"/>
      <c r="AB78" s="454"/>
      <c r="AC78" s="455"/>
      <c r="AD78" s="455"/>
      <c r="AE78" s="455"/>
      <c r="AF78" s="455"/>
      <c r="AG78" s="455"/>
      <c r="AH78" s="455"/>
      <c r="AX78" s="453"/>
      <c r="AY78" s="453"/>
      <c r="AZ78" s="453"/>
      <c r="BA78" s="455"/>
      <c r="BB78" s="456"/>
      <c r="BC78" s="455"/>
      <c r="BD78" s="456"/>
      <c r="BE78" s="455"/>
      <c r="BF78" s="456"/>
      <c r="BG78" s="455"/>
      <c r="BH78" s="452"/>
      <c r="BI78" s="452"/>
      <c r="BJ78" s="452"/>
    </row>
    <row r="79" spans="1:63" s="450" customFormat="1" ht="18.75" x14ac:dyDescent="0.25">
      <c r="A79" s="459"/>
      <c r="B79" s="458" t="s">
        <v>639</v>
      </c>
      <c r="C79" s="259"/>
      <c r="D79" s="459"/>
      <c r="E79" s="460"/>
      <c r="F79" s="460"/>
      <c r="G79" s="259"/>
      <c r="H79" s="259"/>
      <c r="I79" s="259"/>
      <c r="J79" s="259"/>
      <c r="K79" s="259"/>
      <c r="L79" s="259"/>
      <c r="M79" s="461"/>
      <c r="N79" s="461"/>
      <c r="O79" s="462"/>
      <c r="P79" s="462"/>
      <c r="Q79" s="462"/>
      <c r="R79" s="462"/>
      <c r="S79" s="463"/>
      <c r="T79" s="463"/>
      <c r="U79" s="463"/>
      <c r="V79" s="463"/>
      <c r="W79" s="461"/>
      <c r="X79" s="461"/>
      <c r="Y79" s="461"/>
      <c r="Z79" s="461"/>
      <c r="AA79" s="461"/>
      <c r="AB79" s="461"/>
      <c r="AC79" s="463"/>
      <c r="AD79" s="463"/>
      <c r="AE79" s="463"/>
      <c r="AF79" s="463"/>
      <c r="AG79" s="460"/>
      <c r="AH79" s="460"/>
    </row>
    <row r="80" spans="1:63" s="450" customFormat="1" ht="18.75" x14ac:dyDescent="0.25">
      <c r="A80" s="451"/>
      <c r="B80" s="278" t="s">
        <v>637</v>
      </c>
      <c r="C80" s="278"/>
      <c r="D80" s="451"/>
      <c r="E80" s="452"/>
      <c r="F80" s="452"/>
      <c r="G80" s="278"/>
      <c r="H80" s="278"/>
      <c r="I80" s="278"/>
      <c r="J80" s="278"/>
      <c r="K80" s="278"/>
      <c r="L80" s="278"/>
      <c r="M80" s="453"/>
      <c r="N80" s="453"/>
      <c r="O80" s="453"/>
      <c r="P80" s="453"/>
      <c r="Q80" s="453"/>
      <c r="R80" s="453"/>
      <c r="S80" s="453"/>
      <c r="T80" s="453"/>
      <c r="U80" s="454"/>
      <c r="V80" s="454"/>
      <c r="W80" s="454"/>
      <c r="X80" s="454"/>
      <c r="Y80" s="454"/>
      <c r="Z80" s="454"/>
      <c r="AA80" s="454"/>
      <c r="AB80" s="454"/>
      <c r="AC80" s="455"/>
      <c r="AD80" s="455"/>
      <c r="AE80" s="455"/>
      <c r="AF80" s="455"/>
      <c r="AG80" s="455"/>
      <c r="AH80" s="455"/>
      <c r="AI80" s="453"/>
      <c r="AJ80" s="453"/>
      <c r="AK80" s="453"/>
      <c r="AL80" s="453"/>
      <c r="AM80" s="453"/>
      <c r="AN80" s="453"/>
      <c r="AO80" s="453"/>
      <c r="AP80" s="453"/>
      <c r="AQ80" s="453"/>
      <c r="AR80" s="453"/>
      <c r="AS80" s="453"/>
      <c r="AT80" s="453"/>
      <c r="AU80" s="453"/>
      <c r="AV80" s="453"/>
      <c r="AW80" s="453"/>
      <c r="AX80" s="453"/>
      <c r="AY80" s="453"/>
      <c r="AZ80" s="453"/>
      <c r="BA80" s="455"/>
      <c r="BB80" s="456"/>
      <c r="BC80" s="455"/>
      <c r="BD80" s="456"/>
      <c r="BE80" s="455"/>
      <c r="BF80" s="456"/>
      <c r="BG80" s="455"/>
      <c r="BH80" s="452"/>
      <c r="BI80" s="452"/>
      <c r="BJ80" s="452"/>
    </row>
    <row r="81" spans="1:62" s="450" customFormat="1" ht="18.75" x14ac:dyDescent="0.25">
      <c r="A81" s="451"/>
      <c r="B81" s="449"/>
      <c r="C81" s="278"/>
      <c r="D81" s="451"/>
      <c r="E81" s="452"/>
      <c r="F81" s="452"/>
      <c r="G81" s="278"/>
      <c r="H81" s="278"/>
      <c r="I81" s="278"/>
      <c r="J81" s="278"/>
      <c r="K81" s="278"/>
      <c r="L81" s="278"/>
      <c r="M81" s="453"/>
      <c r="N81" s="453"/>
      <c r="O81" s="453"/>
      <c r="P81" s="453"/>
      <c r="Q81" s="453"/>
      <c r="R81" s="453"/>
      <c r="S81" s="453"/>
      <c r="T81" s="453"/>
      <c r="U81" s="454"/>
      <c r="V81" s="454"/>
      <c r="W81" s="454"/>
      <c r="X81" s="454"/>
      <c r="Y81" s="454"/>
      <c r="Z81" s="454"/>
      <c r="AA81" s="454"/>
      <c r="AB81" s="454"/>
      <c r="AC81" s="455"/>
      <c r="AD81" s="455"/>
      <c r="AE81" s="455"/>
      <c r="AF81" s="455"/>
      <c r="AG81" s="455"/>
      <c r="AH81" s="455"/>
      <c r="AI81" s="453"/>
      <c r="AJ81" s="453"/>
      <c r="AK81" s="453"/>
      <c r="AL81" s="453"/>
      <c r="AM81" s="453"/>
      <c r="AN81" s="453"/>
      <c r="AO81" s="453"/>
      <c r="AP81" s="453"/>
      <c r="AQ81" s="453"/>
      <c r="AR81" s="453"/>
      <c r="AS81" s="453"/>
      <c r="AT81" s="453"/>
      <c r="AU81" s="453"/>
      <c r="AV81" s="453"/>
      <c r="AW81" s="453"/>
      <c r="AX81" s="453"/>
      <c r="AY81" s="453"/>
      <c r="AZ81" s="453"/>
      <c r="BA81" s="455"/>
      <c r="BB81" s="456"/>
      <c r="BC81" s="455"/>
      <c r="BD81" s="456"/>
      <c r="BE81" s="455"/>
      <c r="BF81" s="456"/>
      <c r="BG81" s="455"/>
      <c r="BH81" s="452"/>
      <c r="BI81" s="452"/>
      <c r="BJ81" s="452"/>
    </row>
    <row r="82" spans="1:62" s="450" customFormat="1" ht="19.5" x14ac:dyDescent="0.25">
      <c r="A82" s="451"/>
      <c r="B82" s="259" t="s">
        <v>709</v>
      </c>
      <c r="C82" s="278"/>
      <c r="D82" s="451"/>
      <c r="E82" s="452"/>
      <c r="F82" s="452"/>
      <c r="G82" s="278"/>
      <c r="H82" s="278"/>
      <c r="I82" s="278"/>
      <c r="J82" s="278"/>
      <c r="K82" s="278"/>
      <c r="L82" s="278"/>
      <c r="M82" s="453"/>
      <c r="N82" s="453"/>
      <c r="O82" s="454"/>
      <c r="P82" s="454"/>
      <c r="Q82" s="454"/>
      <c r="R82" s="454"/>
      <c r="S82" s="455"/>
      <c r="T82" s="455"/>
      <c r="U82" s="455"/>
      <c r="V82" s="455"/>
      <c r="W82" s="453"/>
      <c r="X82" s="453"/>
      <c r="Y82" s="453"/>
      <c r="Z82" s="453"/>
      <c r="AA82" s="453"/>
      <c r="AB82" s="453"/>
      <c r="AC82" s="455"/>
      <c r="AD82" s="455"/>
      <c r="AE82" s="455"/>
      <c r="AF82" s="455"/>
      <c r="AG82" s="452"/>
      <c r="AH82" s="452"/>
      <c r="AI82" s="452"/>
      <c r="AJ82" s="452"/>
    </row>
    <row r="83" spans="1:62" s="450" customFormat="1" ht="18.75" customHeight="1" x14ac:dyDescent="0.25">
      <c r="A83" s="459"/>
      <c r="B83" s="259" t="s">
        <v>693</v>
      </c>
      <c r="C83" s="629"/>
      <c r="D83" s="629"/>
      <c r="E83" s="629"/>
      <c r="F83" s="629"/>
      <c r="G83" s="629"/>
      <c r="H83" s="629"/>
      <c r="I83" s="629"/>
      <c r="J83" s="629"/>
      <c r="K83" s="629"/>
      <c r="L83" s="629"/>
      <c r="M83" s="629"/>
      <c r="N83" s="629"/>
      <c r="O83" s="629"/>
      <c r="P83" s="629"/>
      <c r="Q83" s="629"/>
      <c r="R83" s="629"/>
      <c r="S83" s="629"/>
      <c r="T83" s="629"/>
      <c r="U83" s="629"/>
      <c r="V83" s="629"/>
      <c r="W83" s="629"/>
      <c r="X83" s="629"/>
      <c r="Y83" s="629"/>
      <c r="Z83" s="629"/>
      <c r="AA83" s="629"/>
      <c r="AB83" s="629"/>
      <c r="AC83" s="629"/>
      <c r="AD83" s="629"/>
      <c r="AE83" s="629"/>
      <c r="AF83" s="629"/>
      <c r="AG83" s="629"/>
      <c r="AH83" s="629"/>
      <c r="AI83" s="629"/>
      <c r="AJ83" s="629"/>
      <c r="AK83" s="629"/>
      <c r="AL83" s="629"/>
      <c r="AM83" s="629"/>
      <c r="AN83" s="629"/>
      <c r="AO83" s="629"/>
      <c r="AP83" s="629"/>
      <c r="AQ83" s="629"/>
      <c r="AR83" s="629"/>
      <c r="AS83" s="629"/>
      <c r="AT83" s="629"/>
      <c r="AU83" s="629"/>
      <c r="AV83" s="629"/>
    </row>
    <row r="84" spans="1:62" s="450" customFormat="1" ht="18.75" customHeight="1" x14ac:dyDescent="0.25">
      <c r="A84" s="459"/>
      <c r="B84" s="259" t="s">
        <v>710</v>
      </c>
      <c r="C84" s="629"/>
      <c r="D84" s="629"/>
      <c r="E84" s="629"/>
      <c r="F84" s="629"/>
      <c r="G84" s="629"/>
      <c r="H84" s="629"/>
      <c r="I84" s="629"/>
      <c r="J84" s="629"/>
      <c r="K84" s="629"/>
      <c r="L84" s="629"/>
      <c r="M84" s="629"/>
      <c r="N84" s="629"/>
      <c r="O84" s="629"/>
      <c r="P84" s="629"/>
      <c r="Q84" s="629"/>
      <c r="R84" s="629"/>
      <c r="S84" s="629"/>
      <c r="T84" s="629"/>
      <c r="U84" s="629"/>
      <c r="V84" s="629"/>
      <c r="W84" s="629"/>
      <c r="X84" s="629"/>
      <c r="Y84" s="629"/>
      <c r="Z84" s="629"/>
      <c r="AA84" s="629"/>
      <c r="AB84" s="629"/>
      <c r="AC84" s="629"/>
      <c r="AD84" s="629"/>
      <c r="AE84" s="629"/>
      <c r="AF84" s="629"/>
      <c r="AG84" s="629"/>
      <c r="AH84" s="629"/>
      <c r="AI84" s="629"/>
      <c r="AJ84" s="629"/>
      <c r="AK84" s="629"/>
      <c r="AL84" s="629"/>
      <c r="AM84" s="629"/>
      <c r="AN84" s="629"/>
      <c r="AO84" s="629"/>
      <c r="AP84" s="629"/>
      <c r="AQ84" s="629"/>
      <c r="AR84" s="629"/>
      <c r="AS84" s="629"/>
      <c r="AT84" s="629"/>
      <c r="AU84" s="629"/>
      <c r="AV84" s="629"/>
    </row>
    <row r="85" spans="1:62" s="450" customFormat="1" ht="18.75" x14ac:dyDescent="0.25">
      <c r="A85" s="459"/>
      <c r="B85" s="451" t="s">
        <v>711</v>
      </c>
      <c r="C85" s="259"/>
      <c r="D85" s="459"/>
      <c r="E85" s="460"/>
      <c r="F85" s="460"/>
      <c r="G85" s="259"/>
      <c r="H85" s="259"/>
      <c r="I85" s="259"/>
      <c r="J85" s="259"/>
      <c r="K85" s="259"/>
      <c r="L85" s="259"/>
      <c r="M85" s="461"/>
      <c r="N85" s="461"/>
      <c r="O85" s="462"/>
      <c r="P85" s="462"/>
      <c r="Q85" s="462"/>
      <c r="R85" s="462"/>
      <c r="S85" s="463"/>
      <c r="T85" s="463"/>
      <c r="U85" s="463"/>
      <c r="V85" s="463"/>
      <c r="W85" s="461"/>
      <c r="X85" s="461"/>
      <c r="Y85" s="461"/>
      <c r="Z85" s="461"/>
      <c r="AA85" s="461"/>
      <c r="AB85" s="461"/>
      <c r="AC85" s="463"/>
      <c r="AD85" s="463"/>
      <c r="AE85" s="463"/>
      <c r="AF85" s="463"/>
      <c r="AG85" s="460"/>
      <c r="AH85" s="460"/>
      <c r="AI85" s="460"/>
      <c r="AJ85" s="460"/>
    </row>
    <row r="86" spans="1:62" s="450" customFormat="1" ht="18.75" x14ac:dyDescent="0.25">
      <c r="A86" s="459"/>
      <c r="B86" s="278" t="s">
        <v>712</v>
      </c>
      <c r="C86" s="259"/>
      <c r="D86" s="459"/>
      <c r="E86" s="460"/>
      <c r="F86" s="460"/>
      <c r="G86" s="259"/>
      <c r="H86" s="259"/>
      <c r="I86" s="259"/>
      <c r="J86" s="259"/>
      <c r="K86" s="259"/>
      <c r="L86" s="259"/>
      <c r="M86" s="461"/>
      <c r="N86" s="461"/>
      <c r="O86" s="462"/>
      <c r="P86" s="462"/>
      <c r="Q86" s="462"/>
      <c r="R86" s="462"/>
      <c r="S86" s="463"/>
      <c r="T86" s="463"/>
      <c r="U86" s="463"/>
      <c r="V86" s="463"/>
      <c r="W86" s="461"/>
      <c r="X86" s="461"/>
      <c r="Y86" s="461"/>
      <c r="Z86" s="461"/>
      <c r="AA86" s="461"/>
      <c r="AB86" s="461"/>
      <c r="AC86" s="463"/>
      <c r="AD86" s="463"/>
      <c r="AE86" s="463"/>
      <c r="AF86" s="463"/>
      <c r="AG86" s="460"/>
      <c r="AH86" s="460"/>
      <c r="AI86" s="460"/>
      <c r="AJ86" s="460"/>
    </row>
    <row r="87" spans="1:62" s="450" customFormat="1" ht="18.75" x14ac:dyDescent="0.25">
      <c r="A87" s="459"/>
      <c r="B87" s="451" t="s">
        <v>650</v>
      </c>
      <c r="C87" s="259"/>
      <c r="D87" s="459"/>
      <c r="E87" s="460"/>
      <c r="F87" s="460"/>
      <c r="G87" s="259"/>
      <c r="H87" s="259"/>
      <c r="I87" s="259"/>
      <c r="J87" s="259"/>
      <c r="K87" s="259"/>
      <c r="L87" s="259"/>
      <c r="M87" s="461"/>
      <c r="N87" s="461"/>
      <c r="O87" s="462"/>
      <c r="P87" s="462"/>
      <c r="Q87" s="462"/>
      <c r="R87" s="462"/>
      <c r="S87" s="463"/>
      <c r="T87" s="463"/>
      <c r="U87" s="463"/>
      <c r="V87" s="463"/>
      <c r="W87" s="461"/>
      <c r="X87" s="461"/>
      <c r="Y87" s="461"/>
      <c r="Z87" s="461"/>
      <c r="AA87" s="461"/>
      <c r="AB87" s="461"/>
      <c r="AC87" s="463"/>
      <c r="AD87" s="463"/>
      <c r="AE87" s="463"/>
      <c r="AF87" s="463"/>
      <c r="AG87" s="460"/>
      <c r="AH87" s="460"/>
      <c r="AI87" s="460"/>
      <c r="AJ87" s="460"/>
    </row>
    <row r="88" spans="1:62" s="450" customFormat="1" ht="19.5" x14ac:dyDescent="0.25">
      <c r="A88" s="630"/>
      <c r="B88" s="451" t="s">
        <v>697</v>
      </c>
      <c r="C88" s="299"/>
      <c r="D88" s="630"/>
      <c r="E88" s="630"/>
      <c r="F88" s="630"/>
      <c r="G88" s="299"/>
      <c r="H88" s="299"/>
      <c r="I88" s="299"/>
      <c r="J88" s="299"/>
      <c r="K88" s="299"/>
      <c r="L88" s="299"/>
      <c r="M88" s="631"/>
      <c r="N88" s="631"/>
      <c r="O88" s="632"/>
      <c r="P88" s="632"/>
      <c r="Q88" s="632"/>
      <c r="R88" s="632"/>
      <c r="S88" s="633"/>
      <c r="T88" s="633"/>
      <c r="U88" s="633"/>
      <c r="V88" s="633"/>
      <c r="W88" s="631"/>
      <c r="X88" s="631"/>
      <c r="Y88" s="631"/>
      <c r="Z88" s="631"/>
      <c r="AA88" s="631"/>
      <c r="AB88" s="631"/>
      <c r="AC88" s="633"/>
      <c r="AD88" s="633"/>
      <c r="AE88" s="633"/>
      <c r="AF88" s="633"/>
      <c r="AG88" s="630"/>
      <c r="AH88" s="630"/>
      <c r="AI88" s="630"/>
      <c r="AJ88" s="630"/>
    </row>
    <row r="89" spans="1:62" s="450" customFormat="1" ht="18.75" x14ac:dyDescent="0.25">
      <c r="A89" s="459"/>
      <c r="B89" s="459" t="s">
        <v>698</v>
      </c>
      <c r="C89" s="259"/>
      <c r="D89" s="459"/>
      <c r="E89" s="460"/>
      <c r="F89" s="460"/>
      <c r="G89" s="259"/>
      <c r="H89" s="259"/>
      <c r="I89" s="259"/>
      <c r="J89" s="259"/>
      <c r="K89" s="278" t="s">
        <v>260</v>
      </c>
      <c r="L89" s="278"/>
      <c r="M89" s="634" t="s">
        <v>261</v>
      </c>
      <c r="N89" s="634"/>
      <c r="O89" s="635"/>
      <c r="P89" s="635"/>
      <c r="Q89" s="636" t="s">
        <v>262</v>
      </c>
      <c r="R89" s="636"/>
      <c r="S89" s="636" t="s">
        <v>79</v>
      </c>
      <c r="T89" s="636"/>
      <c r="U89" s="452" t="s">
        <v>76</v>
      </c>
      <c r="V89" s="452"/>
      <c r="W89" s="637" t="s">
        <v>84</v>
      </c>
      <c r="X89" s="637"/>
      <c r="Y89" s="637" t="s">
        <v>94</v>
      </c>
      <c r="Z89" s="637"/>
      <c r="AA89" s="452" t="s">
        <v>100</v>
      </c>
      <c r="AB89" s="452"/>
      <c r="AC89" s="637" t="s">
        <v>117</v>
      </c>
      <c r="AD89" s="637"/>
      <c r="AE89" s="637" t="s">
        <v>82</v>
      </c>
      <c r="AF89" s="637"/>
      <c r="AG89" s="460"/>
      <c r="AH89" s="460"/>
    </row>
    <row r="90" spans="1:62" s="450" customFormat="1" ht="54.75" customHeight="1" x14ac:dyDescent="0.25">
      <c r="A90" s="259"/>
      <c r="B90" s="2091" t="s">
        <v>699</v>
      </c>
      <c r="C90" s="2091"/>
      <c r="D90" s="2091"/>
      <c r="E90" s="2091"/>
      <c r="F90" s="2091"/>
      <c r="G90" s="2091"/>
      <c r="H90" s="2091"/>
      <c r="I90" s="2091"/>
      <c r="J90" s="2091"/>
      <c r="K90" s="2091"/>
      <c r="L90" s="2091"/>
      <c r="M90" s="2091"/>
      <c r="N90" s="2091"/>
      <c r="O90" s="2091"/>
      <c r="P90" s="2091"/>
      <c r="Q90" s="2091"/>
      <c r="R90" s="2091"/>
      <c r="S90" s="2091"/>
      <c r="T90" s="2091"/>
      <c r="U90" s="2091"/>
      <c r="V90" s="2091"/>
      <c r="W90" s="2091"/>
      <c r="X90" s="2091"/>
      <c r="Y90" s="2091"/>
      <c r="Z90" s="2091"/>
      <c r="AA90" s="2091"/>
      <c r="AB90" s="2091"/>
      <c r="AC90" s="2091"/>
      <c r="AD90" s="2091"/>
      <c r="AE90" s="2091"/>
      <c r="AF90" s="2091"/>
      <c r="AG90" s="2091"/>
      <c r="AH90" s="2091"/>
      <c r="AI90" s="2091"/>
      <c r="AJ90" s="2091"/>
      <c r="AK90" s="2091"/>
      <c r="AL90" s="2091"/>
      <c r="AM90" s="2091"/>
      <c r="AN90" s="2091"/>
      <c r="AO90" s="2091"/>
      <c r="AP90" s="2091"/>
      <c r="AQ90" s="2091"/>
      <c r="AR90" s="2091"/>
      <c r="AS90" s="2091"/>
      <c r="AT90" s="2091"/>
      <c r="AU90" s="2091"/>
      <c r="AV90" s="2091"/>
      <c r="AW90" s="2091"/>
      <c r="AX90" s="2091"/>
      <c r="AY90" s="2091"/>
      <c r="AZ90" s="2091"/>
      <c r="BA90" s="2091"/>
      <c r="BB90" s="2091"/>
      <c r="BC90" s="2091"/>
    </row>
    <row r="91" spans="1:62" s="450" customFormat="1" ht="18.75" x14ac:dyDescent="0.25">
      <c r="A91" s="259"/>
      <c r="B91" s="2091" t="s">
        <v>700</v>
      </c>
      <c r="C91" s="2091"/>
      <c r="D91" s="2091"/>
      <c r="E91" s="2091"/>
      <c r="F91" s="2091"/>
      <c r="G91" s="2091"/>
      <c r="H91" s="2091"/>
      <c r="I91" s="2091"/>
      <c r="J91" s="2091"/>
      <c r="K91" s="2091"/>
      <c r="L91" s="2091"/>
      <c r="M91" s="2091"/>
      <c r="N91" s="2091"/>
      <c r="O91" s="2091"/>
      <c r="P91" s="2091"/>
      <c r="Q91" s="2091"/>
      <c r="R91" s="2091"/>
      <c r="S91" s="2091"/>
      <c r="T91" s="2091"/>
      <c r="U91" s="2091"/>
      <c r="V91" s="2091"/>
      <c r="W91" s="2091"/>
      <c r="X91" s="2091"/>
      <c r="Y91" s="2091"/>
      <c r="Z91" s="2091"/>
      <c r="AA91" s="2091"/>
      <c r="AB91" s="2091"/>
      <c r="AC91" s="2091"/>
      <c r="AD91" s="2091"/>
      <c r="AE91" s="465"/>
      <c r="AF91" s="465"/>
      <c r="AG91" s="460"/>
      <c r="AH91" s="460"/>
      <c r="AI91" s="460"/>
      <c r="AJ91" s="460"/>
    </row>
    <row r="92" spans="1:62" s="450" customFormat="1" ht="18.75" x14ac:dyDescent="0.25">
      <c r="A92" s="259"/>
      <c r="B92" s="459" t="s">
        <v>701</v>
      </c>
      <c r="C92" s="465"/>
      <c r="D92" s="465"/>
      <c r="E92" s="465"/>
      <c r="F92" s="465"/>
      <c r="G92" s="465"/>
      <c r="H92" s="465"/>
      <c r="I92" s="465"/>
      <c r="J92" s="465"/>
      <c r="K92" s="465"/>
      <c r="L92" s="465"/>
      <c r="M92" s="466"/>
      <c r="N92" s="466"/>
      <c r="O92" s="466"/>
      <c r="P92" s="466"/>
      <c r="Q92" s="466"/>
      <c r="R92" s="466"/>
      <c r="S92" s="466"/>
      <c r="T92" s="466"/>
      <c r="U92" s="466"/>
      <c r="V92" s="466"/>
      <c r="W92" s="466"/>
      <c r="X92" s="466"/>
      <c r="Y92" s="466"/>
      <c r="Z92" s="466"/>
      <c r="AA92" s="466"/>
      <c r="AB92" s="466"/>
      <c r="AC92" s="466"/>
      <c r="AD92" s="466"/>
      <c r="AE92" s="466"/>
      <c r="AF92" s="466"/>
      <c r="AG92" s="467"/>
      <c r="AH92" s="467"/>
      <c r="AI92" s="467"/>
      <c r="AJ92" s="467"/>
    </row>
    <row r="93" spans="1:62" s="450" customFormat="1" ht="37.5" customHeight="1" x14ac:dyDescent="0.25">
      <c r="A93" s="259"/>
      <c r="B93" s="2091" t="s">
        <v>702</v>
      </c>
      <c r="C93" s="2091"/>
      <c r="D93" s="2091"/>
      <c r="E93" s="2091"/>
      <c r="F93" s="2091"/>
      <c r="G93" s="2091"/>
      <c r="H93" s="2091"/>
      <c r="I93" s="2091"/>
      <c r="J93" s="2091"/>
      <c r="K93" s="2091"/>
      <c r="L93" s="2091"/>
      <c r="M93" s="2091"/>
      <c r="N93" s="2091"/>
      <c r="O93" s="2091"/>
      <c r="P93" s="2091"/>
      <c r="Q93" s="2091"/>
      <c r="R93" s="2091"/>
      <c r="S93" s="2091"/>
      <c r="T93" s="2091"/>
      <c r="U93" s="2091"/>
      <c r="V93" s="2091"/>
      <c r="W93" s="2091"/>
      <c r="X93" s="2091"/>
      <c r="Y93" s="2091"/>
      <c r="Z93" s="2091"/>
      <c r="AA93" s="2091"/>
      <c r="AB93" s="2091"/>
      <c r="AC93" s="2091"/>
      <c r="AD93" s="2091"/>
      <c r="AE93" s="2091"/>
      <c r="AF93" s="2091"/>
      <c r="AG93" s="2091"/>
      <c r="AH93" s="2091"/>
      <c r="AI93" s="2091"/>
      <c r="AJ93" s="2091"/>
      <c r="AK93" s="2091"/>
      <c r="AL93" s="2091"/>
      <c r="AM93" s="2091"/>
      <c r="AN93" s="2091"/>
      <c r="AO93" s="2091"/>
      <c r="AP93" s="2091"/>
      <c r="AQ93" s="2091"/>
      <c r="AR93" s="2091"/>
      <c r="AS93" s="2091"/>
      <c r="AT93" s="2091"/>
      <c r="AU93" s="2091"/>
      <c r="AV93" s="2091"/>
      <c r="AW93" s="2091"/>
      <c r="AX93" s="2091"/>
      <c r="AY93" s="2091"/>
      <c r="AZ93" s="2091"/>
      <c r="BA93" s="2091"/>
      <c r="BB93" s="2091"/>
      <c r="BC93" s="2091"/>
    </row>
    <row r="94" spans="1:62" s="450" customFormat="1" ht="18.75" x14ac:dyDescent="0.25">
      <c r="A94" s="259"/>
      <c r="B94" s="465"/>
      <c r="C94" s="465"/>
      <c r="D94" s="465"/>
      <c r="E94" s="465"/>
      <c r="F94" s="465"/>
      <c r="G94" s="465"/>
      <c r="H94" s="465"/>
      <c r="I94" s="465"/>
      <c r="J94" s="465"/>
      <c r="K94" s="465"/>
      <c r="L94" s="465"/>
      <c r="M94" s="466"/>
      <c r="N94" s="466"/>
      <c r="O94" s="466"/>
      <c r="P94" s="466"/>
      <c r="Q94" s="466"/>
      <c r="R94" s="466"/>
      <c r="S94" s="466"/>
      <c r="T94" s="466"/>
      <c r="U94" s="466"/>
      <c r="V94" s="466"/>
      <c r="W94" s="466"/>
      <c r="X94" s="466"/>
      <c r="Y94" s="466"/>
      <c r="Z94" s="466"/>
      <c r="AA94" s="466"/>
      <c r="AB94" s="466"/>
      <c r="AC94" s="466"/>
      <c r="AD94" s="466"/>
      <c r="AE94" s="466"/>
      <c r="AF94" s="466"/>
      <c r="AG94" s="460"/>
      <c r="AH94" s="460"/>
      <c r="AI94" s="460"/>
      <c r="AJ94" s="460"/>
    </row>
    <row r="95" spans="1:62" s="450" customFormat="1" ht="19.5" x14ac:dyDescent="0.25">
      <c r="A95" s="259"/>
      <c r="B95" s="2091" t="s">
        <v>703</v>
      </c>
      <c r="C95" s="2091"/>
      <c r="D95" s="2091"/>
      <c r="E95" s="2091"/>
      <c r="F95" s="2091"/>
      <c r="G95" s="2091"/>
      <c r="H95" s="2091"/>
      <c r="I95" s="2091"/>
      <c r="J95" s="2091"/>
      <c r="K95" s="2091"/>
      <c r="L95" s="2091"/>
      <c r="M95" s="2091"/>
      <c r="N95" s="2091"/>
      <c r="O95" s="2091"/>
      <c r="P95" s="2091"/>
      <c r="Q95" s="2091"/>
      <c r="R95" s="2091"/>
      <c r="S95" s="2091"/>
      <c r="T95" s="2091"/>
      <c r="U95" s="2091"/>
      <c r="V95" s="2091"/>
      <c r="W95" s="2091"/>
      <c r="X95" s="2091"/>
      <c r="Y95" s="2091"/>
      <c r="Z95" s="2091"/>
      <c r="AA95" s="2091"/>
      <c r="AB95" s="2091"/>
      <c r="AC95" s="2091"/>
      <c r="AD95" s="2091"/>
      <c r="AE95" s="2091"/>
      <c r="AF95" s="2091"/>
      <c r="AG95" s="2091"/>
      <c r="AH95" s="2091"/>
      <c r="AI95" s="2091"/>
      <c r="AJ95" s="2091"/>
      <c r="AK95" s="2091"/>
      <c r="AL95" s="2091"/>
      <c r="AM95" s="2091"/>
      <c r="AN95" s="2091"/>
      <c r="AO95" s="2091"/>
      <c r="AP95" s="2091"/>
      <c r="AQ95" s="2091"/>
      <c r="AR95" s="2091"/>
      <c r="AS95" s="2091"/>
      <c r="AT95" s="2091"/>
      <c r="AU95" s="2091"/>
      <c r="AV95" s="466"/>
      <c r="AW95" s="466"/>
      <c r="AX95" s="466"/>
      <c r="AY95" s="466"/>
      <c r="AZ95" s="466"/>
      <c r="BA95" s="466"/>
      <c r="BB95" s="299"/>
      <c r="BC95" s="466"/>
      <c r="BD95" s="299"/>
      <c r="BE95" s="466"/>
      <c r="BF95" s="460"/>
      <c r="BG95" s="460"/>
      <c r="BH95" s="460"/>
    </row>
    <row r="96" spans="1:62" x14ac:dyDescent="0.25">
      <c r="BB96" s="87"/>
      <c r="BD96" s="87"/>
      <c r="BF96" s="87"/>
    </row>
    <row r="97" spans="54:58" x14ac:dyDescent="0.25">
      <c r="BB97" s="87"/>
      <c r="BD97" s="87"/>
      <c r="BF97" s="87"/>
    </row>
    <row r="98" spans="54:58" x14ac:dyDescent="0.25">
      <c r="BB98" s="87"/>
      <c r="BD98" s="87"/>
      <c r="BF98" s="87"/>
    </row>
    <row r="99" spans="54:58" x14ac:dyDescent="0.25">
      <c r="BB99" s="87"/>
      <c r="BD99" s="87"/>
      <c r="BF99" s="87"/>
    </row>
    <row r="100" spans="54:58" x14ac:dyDescent="0.25">
      <c r="BB100" s="87"/>
      <c r="BD100" s="87"/>
      <c r="BF100" s="87"/>
    </row>
    <row r="101" spans="54:58" x14ac:dyDescent="0.25">
      <c r="BB101" s="339"/>
      <c r="BD101" s="339"/>
      <c r="BF101" s="339"/>
    </row>
    <row r="102" spans="54:58" x14ac:dyDescent="0.25">
      <c r="BB102" s="339"/>
      <c r="BD102" s="339"/>
      <c r="BF102" s="339"/>
    </row>
  </sheetData>
  <mergeCells count="31">
    <mergeCell ref="A12:AT12"/>
    <mergeCell ref="F17:F18"/>
    <mergeCell ref="G17:G18"/>
    <mergeCell ref="H17:H18"/>
    <mergeCell ref="I17:I18"/>
    <mergeCell ref="J17:J18"/>
    <mergeCell ref="A17:A18"/>
    <mergeCell ref="K17:M17"/>
    <mergeCell ref="O17:Y17"/>
    <mergeCell ref="AA17:AD17"/>
    <mergeCell ref="AE17:AI17"/>
    <mergeCell ref="AM17:AT17"/>
    <mergeCell ref="B17:B18"/>
    <mergeCell ref="C17:D18"/>
    <mergeCell ref="E17:E18"/>
    <mergeCell ref="B93:BC93"/>
    <mergeCell ref="B95:AU95"/>
    <mergeCell ref="B90:BC90"/>
    <mergeCell ref="B91:AD91"/>
    <mergeCell ref="U1:AU1"/>
    <mergeCell ref="AI2:AU3"/>
    <mergeCell ref="AI4:AU5"/>
    <mergeCell ref="AC2:AG3"/>
    <mergeCell ref="AC4:AG5"/>
    <mergeCell ref="A7:AW7"/>
    <mergeCell ref="A8:AW8"/>
    <mergeCell ref="A9:AW9"/>
    <mergeCell ref="A10:AW10"/>
    <mergeCell ref="U2:AA2"/>
    <mergeCell ref="A11:AW11"/>
    <mergeCell ref="A1:Q1"/>
  </mergeCells>
  <conditionalFormatting sqref="J19:J68">
    <cfRule type="expression" dxfId="130" priority="16">
      <formula>IF(I19=1, IF(J19&gt;$S$2, TRUE), IF(I19=2, IF(J19&gt;$S$3, TRUE), IF(I19=3, IF(J19&gt;$S$4, TRUE), IF(I19=4, IF(J19&gt;$S$5, TRUE)))))</formula>
    </cfRule>
  </conditionalFormatting>
  <conditionalFormatting sqref="B19:B68 AW19:AW28">
    <cfRule type="expression" dxfId="129" priority="15">
      <formula>IF($B19&lt;&gt;$U$3, IF($B19&lt;&gt;$U$4, IF($B19&lt;&gt;$U$5, IF($B19&lt;&gt;$W$3, IF($B19&lt;&gt;$W$4, IF($B19&lt;&gt;$W$5, IF($B19&lt;&gt;$Y$3, IF($B19&lt;&gt;$Y$4, IF($B19&lt;&gt;$Y$5, IF($B19&lt;&gt;$AA$3, IF($B19&lt;&gt;$AA$4, TRUE)))))))))))</formula>
    </cfRule>
  </conditionalFormatting>
  <conditionalFormatting sqref="Y19:Z67">
    <cfRule type="expression" dxfId="128" priority="14">
      <formula>IF(ISNUMBER(Y19), IF(YEAR(TODAY())-12&gt;=E19, FALSE, TRUE))</formula>
    </cfRule>
  </conditionalFormatting>
  <conditionalFormatting sqref="M19:N68">
    <cfRule type="expression" dxfId="127" priority="13">
      <formula>IF(ISNUMBER(M19), IF(YEAR(TODAY())-14&gt;=E19, FALSE, TRUE))</formula>
    </cfRule>
  </conditionalFormatting>
  <conditionalFormatting sqref="K19:L68">
    <cfRule type="expression" dxfId="126" priority="12">
      <formula>IF(ISNUMBER(K19), IF(YEAR(TODAY())-12&gt;=E19, FALSE, TRUE))</formula>
    </cfRule>
  </conditionalFormatting>
  <conditionalFormatting sqref="AA19:AB68">
    <cfRule type="expression" dxfId="125" priority="11">
      <formula>IF(ISNUMBER(AA19), IF(YEAR(TODAY())-12&gt;=E19, FALSE, TRUE))</formula>
    </cfRule>
  </conditionalFormatting>
  <conditionalFormatting sqref="AC19:AD68">
    <cfRule type="expression" dxfId="124" priority="10">
      <formula>IF(ISNUMBER(AC19), IF(YEAR(TODAY())-12&gt;=E19, FALSE, TRUE))</formula>
    </cfRule>
  </conditionalFormatting>
  <conditionalFormatting sqref="K19:AJ68 AQ19:AQ68 AS19:AS68">
    <cfRule type="expression" dxfId="123" priority="9">
      <formula>IF(NOT(ISBLANK(K19)), IF(ISNUMBER(K19), IF(INT(K19/10000)&gt;23, TRUE, IF(INT(MOD(K19, 10000)/100)&gt;59.99, TRUE, IF(MOD(K19, 100)&gt;59.99, TRUE, FALSE))), TRUE))</formula>
    </cfRule>
  </conditionalFormatting>
  <conditionalFormatting sqref="G19:G68">
    <cfRule type="expression" dxfId="122" priority="8">
      <formula>IF(G19="м", FALSE, IF(G19="ж", FALSE, TRUE))</formula>
    </cfRule>
  </conditionalFormatting>
  <conditionalFormatting sqref="AR19:AR68">
    <cfRule type="expression" dxfId="121" priority="7">
      <formula>IF(ISBLANK(AQ19), IF(ISBLANK(AR19), FALSE, TRUE), IF(ISNUMBER(AR19), FALSE, TRUE))</formula>
    </cfRule>
  </conditionalFormatting>
  <conditionalFormatting sqref="AT19:AT68">
    <cfRule type="expression" dxfId="120" priority="6">
      <formula>IF(ISBLANK(AS19), IF(ISBLANK(AT19), FALSE, TRUE), IF(ISNUMBER(AT19), FALSE, TRUE))</formula>
    </cfRule>
  </conditionalFormatting>
  <conditionalFormatting sqref="AK19:AL68">
    <cfRule type="expression" dxfId="119" priority="5">
      <formula>IF(NOT(ISBLANK(AK19)), IF(ISNUMBER(AK19), IF(INT(AK19/10000)&gt;23, TRUE, IF(INT(MOD(AK19, 10000)/100)&gt;59.99, TRUE, IF(MOD(AK19, 100)&gt;59.99, TRUE, FALSE))), TRUE))</formula>
    </cfRule>
  </conditionalFormatting>
  <conditionalFormatting sqref="AM19:AM68 AO19:AO68">
    <cfRule type="expression" dxfId="118" priority="4">
      <formula>IF(NOT(ISBLANK(AM19)), IF(ISNUMBER(AM19), IF(INT(AM19/10000)&gt;23, TRUE, IF(INT(MOD(AM19, 10000)/100)&gt;59.99, TRUE, IF(MOD(AM19, 100)&gt;59.99, TRUE, FALSE))), TRUE))</formula>
    </cfRule>
  </conditionalFormatting>
  <conditionalFormatting sqref="AN19:AN68">
    <cfRule type="expression" dxfId="117" priority="3">
      <formula>IF(ISBLANK(AM19), IF(ISBLANK(AN19), FALSE, TRUE), IF(ISNUMBER(AN19), FALSE, TRUE))</formula>
    </cfRule>
  </conditionalFormatting>
  <conditionalFormatting sqref="AP19:AP68">
    <cfRule type="expression" dxfId="116" priority="2">
      <formula>IF(ISBLANK(AO19), IF(ISBLANK(AP19), FALSE, TRUE), IF(ISNUMBER(AP19), FALSE, TRUE))</formula>
    </cfRule>
  </conditionalFormatting>
  <conditionalFormatting sqref="E19:E68">
    <cfRule type="expression" dxfId="115" priority="1">
      <formula>IF(ISBLANK(E19), FALSE, IF(IF(ISNUMBER(#REF!), IF(YEAR(TODAY())-#REF!&lt;=E19, FALSE, TRUE), FALSE), TRUE, IF(ISNUMBER(#REF!), IF(YEAR(TODAY())-#REF!&lt;E19, TRUE, FALSE), FALSE)))</formula>
    </cfRule>
  </conditionalFormatting>
  <pageMargins left="0.31496062874794006" right="0.31496062874794006" top="0.55118107795715332" bottom="0.39370077848434448" header="0.31496062874794006" footer="0.31496062874794006"/>
  <pageSetup paperSize="9" fitToWidth="0" fitToHeight="0" orientation="landscape"/>
  <headerFooter>
    <oddFooter>&amp;R&amp;8&amp;"Times New Roman,Regular"Стр. &amp;P из &amp;N&amp;12&amp;"-,Regular"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workbookViewId="0"/>
  </sheetViews>
  <sheetFormatPr defaultColWidth="9.140625" defaultRowHeight="15" x14ac:dyDescent="0.25"/>
  <cols>
    <col min="1" max="1" width="3.85546875" customWidth="1"/>
    <col min="2" max="2" width="19.42578125" customWidth="1"/>
    <col min="3" max="3" width="3.140625" customWidth="1"/>
    <col min="4" max="4" width="18" customWidth="1"/>
    <col min="5" max="5" width="14.7109375" customWidth="1"/>
    <col min="6" max="6" width="16.140625" customWidth="1"/>
    <col min="7" max="7" width="10" customWidth="1"/>
    <col min="8" max="8" width="11" customWidth="1"/>
    <col min="9" max="9" width="9.85546875" customWidth="1"/>
    <col min="10" max="10" width="10" customWidth="1"/>
    <col min="11" max="11" width="25.85546875" customWidth="1"/>
    <col min="12" max="30" width="0.7109375" customWidth="1"/>
  </cols>
  <sheetData>
    <row r="1" spans="1:11" ht="23.25" customHeight="1" x14ac:dyDescent="0.25">
      <c r="H1" s="2234" t="s">
        <v>654</v>
      </c>
      <c r="I1" s="2234"/>
      <c r="J1" s="2234"/>
      <c r="K1" s="2234"/>
    </row>
    <row r="2" spans="1:11" ht="15.75" customHeight="1" x14ac:dyDescent="0.25">
      <c r="H2" s="2234"/>
      <c r="I2" s="2234"/>
      <c r="J2" s="2234"/>
      <c r="K2" s="2234"/>
    </row>
    <row r="3" spans="1:11" ht="33" x14ac:dyDescent="0.25">
      <c r="A3" s="2208" t="s">
        <v>655</v>
      </c>
      <c r="B3" s="2208"/>
      <c r="C3" s="2208"/>
      <c r="D3" s="2208"/>
      <c r="E3" s="2208"/>
      <c r="F3" s="2208"/>
      <c r="G3" s="2208"/>
      <c r="H3" s="2208"/>
      <c r="I3" s="2208"/>
      <c r="J3" s="2208"/>
      <c r="K3" s="2208"/>
    </row>
    <row r="4" spans="1:11" ht="23.25" customHeight="1" x14ac:dyDescent="0.25">
      <c r="A4" s="484"/>
      <c r="B4" s="130" t="s">
        <v>656</v>
      </c>
      <c r="C4" s="130"/>
      <c r="D4" s="2209" t="str">
        <f>'Техническая по возраст группам'!E15</f>
        <v>Полное Название команды, город(край, область и пр.)</v>
      </c>
      <c r="E4" s="2788"/>
      <c r="F4" s="2789"/>
      <c r="G4" s="2790"/>
      <c r="H4" s="2791"/>
      <c r="I4" s="2792"/>
      <c r="J4" s="2793"/>
      <c r="K4" s="2794"/>
    </row>
    <row r="5" spans="1:11" ht="36.75" customHeight="1" x14ac:dyDescent="0.25">
      <c r="A5" s="2489" t="s">
        <v>704</v>
      </c>
      <c r="B5" s="2489"/>
      <c r="C5" s="638"/>
      <c r="D5" s="2217" t="str">
        <f>'Техническая по возраст группам'!G17</f>
        <v>Название Соревнований по подводному спорту (1460008511Я) (плавание в ластах)</v>
      </c>
      <c r="E5" s="2795"/>
      <c r="F5" s="2796"/>
      <c r="G5" s="2797"/>
      <c r="H5" s="2798"/>
      <c r="I5" s="2799"/>
      <c r="J5" s="2800"/>
      <c r="K5" s="2801"/>
    </row>
    <row r="6" spans="1:11" ht="26.25" customHeight="1" x14ac:dyDescent="0.25">
      <c r="A6" s="2490" t="s">
        <v>705</v>
      </c>
      <c r="B6" s="2490"/>
      <c r="C6" s="639"/>
      <c r="D6" s="2228" t="str">
        <f>'Техническая по возраст группам'!W2</f>
        <v>г. Город, бассейн "ААА", 50 м</v>
      </c>
      <c r="E6" s="2802"/>
      <c r="F6" s="2803"/>
      <c r="G6" s="2804"/>
      <c r="H6" s="2805"/>
      <c r="I6" s="2806"/>
      <c r="J6" s="486" t="s">
        <v>658</v>
      </c>
      <c r="K6" s="487" t="str">
        <f>'Техническая по возраст группам'!W4</f>
        <v>02-06 декабря 2018 г.</v>
      </c>
    </row>
    <row r="7" spans="1:11" ht="21" customHeight="1" x14ac:dyDescent="0.25">
      <c r="A7" s="488"/>
      <c r="B7" s="488"/>
      <c r="C7" s="488"/>
      <c r="D7" s="489"/>
      <c r="E7" s="490"/>
      <c r="F7" s="490"/>
      <c r="G7" s="490"/>
      <c r="H7" s="490"/>
      <c r="I7" s="490"/>
      <c r="J7" s="490"/>
      <c r="K7" s="490"/>
    </row>
    <row r="8" spans="1:11" ht="51" customHeight="1" x14ac:dyDescent="0.25">
      <c r="A8" s="491" t="s">
        <v>6</v>
      </c>
      <c r="B8" s="2225" t="s">
        <v>659</v>
      </c>
      <c r="C8" s="2779"/>
      <c r="D8" s="2780"/>
      <c r="E8" s="493" t="s">
        <v>660</v>
      </c>
      <c r="F8" s="492" t="s">
        <v>661</v>
      </c>
      <c r="G8" s="493" t="s">
        <v>662</v>
      </c>
      <c r="H8" s="494" t="s">
        <v>663</v>
      </c>
      <c r="I8" s="2225" t="s">
        <v>601</v>
      </c>
      <c r="J8" s="2776"/>
      <c r="K8" s="495" t="s">
        <v>664</v>
      </c>
    </row>
    <row r="9" spans="1:11" s="496" customFormat="1" ht="21" customHeight="1" x14ac:dyDescent="0.25">
      <c r="A9" s="492">
        <v>1</v>
      </c>
      <c r="B9" s="2370" t="str">
        <f>'Техническая по возраст группам'!C21</f>
        <v>Девушки</v>
      </c>
      <c r="C9" s="2784"/>
      <c r="D9" s="640">
        <f>'Техническая по возраст группам'!D21</f>
        <v>0</v>
      </c>
      <c r="E9" s="500">
        <f>'Техническая по возраст группам'!E21</f>
        <v>38019</v>
      </c>
      <c r="F9" s="495" t="str">
        <f>IF('Техническая по возраст группам'!G21="Ж", "спортсменка", IF('Техническая по возраст группам'!G21="М", "спортсмен", "не понятно кто"))</f>
        <v>спортсменка</v>
      </c>
      <c r="G9" s="495" t="str">
        <f ca="1">'Техническая по возраст группам'!H21</f>
        <v>нед-н</v>
      </c>
      <c r="H9" s="495" t="str">
        <f>'Техническая по возраст группам'!B21</f>
        <v>МС</v>
      </c>
      <c r="I9" s="2147" t="str">
        <f>'Техническая по возраст группам'!I21</f>
        <v>Фамилия_1 Имя Отчество</v>
      </c>
      <c r="J9" s="2777"/>
      <c r="K9" s="501"/>
    </row>
    <row r="10" spans="1:11" s="496" customFormat="1" ht="21" customHeight="1" x14ac:dyDescent="0.25">
      <c r="A10" s="492">
        <v>2</v>
      </c>
      <c r="B10" s="2370" t="str">
        <f>'Техническая по возраст группам'!C22</f>
        <v>Девушки</v>
      </c>
      <c r="C10" s="2787"/>
      <c r="D10" s="640" t="str">
        <f>'Техническая по возраст группам'!D22</f>
        <v xml:space="preserve"> </v>
      </c>
      <c r="E10" s="500">
        <f>'Техническая по возраст группам'!E22</f>
        <v>0</v>
      </c>
      <c r="F10" s="495" t="str">
        <f>IF('Техническая по возраст группам'!G22="Ж", "спортсменка", IF('Техническая по возраст группам'!G22="М", "спортсмен", "не понятно кто"))</f>
        <v>спортсменка</v>
      </c>
      <c r="G10" s="495" t="str">
        <f ca="1">'Техническая по возраст группам'!H22</f>
        <v>г.р.???</v>
      </c>
      <c r="H10" s="495" t="str">
        <f>'Техническая по возраст группам'!B22</f>
        <v>КМС</v>
      </c>
      <c r="I10" s="2147" t="str">
        <f>'Техническая по возраст группам'!I22</f>
        <v>Фамилия_1 Имя Отчество</v>
      </c>
      <c r="J10" s="2778"/>
      <c r="K10" s="501"/>
    </row>
    <row r="11" spans="1:11" s="496" customFormat="1" ht="21" customHeight="1" x14ac:dyDescent="0.25">
      <c r="A11" s="492">
        <v>3</v>
      </c>
      <c r="B11" s="2370" t="str">
        <f>'Техническая по возраст группам'!C23</f>
        <v>Девушки</v>
      </c>
      <c r="C11" s="2786"/>
      <c r="D11" s="640" t="str">
        <f>'Техническая по возраст группам'!D23</f>
        <v xml:space="preserve"> </v>
      </c>
      <c r="E11" s="500">
        <f>'Техническая по возраст группам'!E23</f>
        <v>0</v>
      </c>
      <c r="F11" s="495" t="str">
        <f>IF('Техническая по возраст группам'!G23="Ж", "спортсменка", IF('Техническая по возраст группам'!G23="М", "спортсмен", "не понятно кто"))</f>
        <v>спортсменка</v>
      </c>
      <c r="G11" s="495" t="str">
        <f ca="1">'Техническая по возраст группам'!H23</f>
        <v>г.р.???</v>
      </c>
      <c r="H11" s="495" t="str">
        <f>'Техническая по возраст группам'!B23</f>
        <v>I</v>
      </c>
      <c r="I11" s="2147" t="str">
        <f>'Техническая по возраст группам'!I23</f>
        <v>Фамилия_1 Имя Отчество</v>
      </c>
      <c r="J11" s="2765"/>
      <c r="K11" s="501"/>
    </row>
    <row r="12" spans="1:11" s="496" customFormat="1" ht="21" customHeight="1" x14ac:dyDescent="0.25">
      <c r="A12" s="492">
        <v>4</v>
      </c>
      <c r="B12" s="2370" t="str">
        <f>'Техническая по возраст группам'!C24</f>
        <v>Девушки</v>
      </c>
      <c r="C12" s="2785"/>
      <c r="D12" s="640" t="str">
        <f>'Техническая по возраст группам'!D24</f>
        <v xml:space="preserve"> </v>
      </c>
      <c r="E12" s="500">
        <f>'Техническая по возраст группам'!E24</f>
        <v>0</v>
      </c>
      <c r="F12" s="495" t="str">
        <f>IF('Техническая по возраст группам'!G24="Ж", "спортсменка", IF('Техническая по возраст группам'!G24="М", "спортсмен", "не понятно кто"))</f>
        <v>спортсменка</v>
      </c>
      <c r="G12" s="495" t="str">
        <f ca="1">'Техническая по возраст группам'!H24</f>
        <v>г.р.???</v>
      </c>
      <c r="H12" s="495" t="str">
        <f>'Техническая по возраст группам'!B24</f>
        <v>II</v>
      </c>
      <c r="I12" s="2147" t="str">
        <f>'Техническая по возраст группам'!I24</f>
        <v>Фамилия_1 Имя Отчество</v>
      </c>
      <c r="J12" s="2766"/>
      <c r="K12" s="501"/>
    </row>
    <row r="13" spans="1:11" s="496" customFormat="1" ht="21" customHeight="1" x14ac:dyDescent="0.25">
      <c r="A13" s="492">
        <v>5</v>
      </c>
      <c r="B13" s="2370" t="str">
        <f>'Техническая по возраст группам'!C25</f>
        <v>Девушки</v>
      </c>
      <c r="C13" s="2783"/>
      <c r="D13" s="640" t="str">
        <f>'Техническая по возраст группам'!D25</f>
        <v xml:space="preserve"> </v>
      </c>
      <c r="E13" s="500">
        <f>'Техническая по возраст группам'!E25</f>
        <v>0</v>
      </c>
      <c r="F13" s="495" t="str">
        <f>IF('Техническая по возраст группам'!G25="Ж", "спортсменка", IF('Техническая по возраст группам'!G25="М", "спортсмен", "не понятно кто"))</f>
        <v>спортсменка</v>
      </c>
      <c r="G13" s="495" t="str">
        <f ca="1">'Техническая по возраст группам'!H25</f>
        <v>г.р.???</v>
      </c>
      <c r="H13" s="495" t="str">
        <f>'Техническая по возраст группам'!B25</f>
        <v>III</v>
      </c>
      <c r="I13" s="2147" t="str">
        <f>'Техническая по возраст группам'!I25</f>
        <v>Фамилия_1 Имя Отчество</v>
      </c>
      <c r="J13" s="2767"/>
      <c r="K13" s="501"/>
    </row>
    <row r="14" spans="1:11" s="496" customFormat="1" ht="21" customHeight="1" x14ac:dyDescent="0.25">
      <c r="A14" s="492">
        <v>6</v>
      </c>
      <c r="B14" s="2370" t="str">
        <f>'Техническая по возраст группам'!C26</f>
        <v>Девушки</v>
      </c>
      <c r="C14" s="2782"/>
      <c r="D14" s="640" t="str">
        <f>'Техническая по возраст группам'!D26</f>
        <v xml:space="preserve"> </v>
      </c>
      <c r="E14" s="500">
        <f>'Техническая по возраст группам'!E26</f>
        <v>0</v>
      </c>
      <c r="F14" s="495" t="str">
        <f>IF('Техническая по возраст группам'!G26="Ж", "спортсменка", IF('Техническая по возраст группам'!G26="М", "спортсмен", "не понятно кто"))</f>
        <v>спортсменка</v>
      </c>
      <c r="G14" s="495" t="str">
        <f ca="1">'Техническая по возраст группам'!H26</f>
        <v>г.р.???</v>
      </c>
      <c r="H14" s="495" t="str">
        <f>'Техническая по возраст группам'!B26</f>
        <v>I юн</v>
      </c>
      <c r="I14" s="2147" t="str">
        <f>'Техническая по возраст группам'!I26</f>
        <v>Фамилия_1 Имя Отчество</v>
      </c>
      <c r="J14" s="2768"/>
      <c r="K14" s="501"/>
    </row>
    <row r="15" spans="1:11" s="496" customFormat="1" ht="21" customHeight="1" x14ac:dyDescent="0.25">
      <c r="A15" s="492">
        <v>7</v>
      </c>
      <c r="B15" s="2370" t="str">
        <f>'Техническая по возраст группам'!C27</f>
        <v>Девушки</v>
      </c>
      <c r="C15" s="2781"/>
      <c r="D15" s="640" t="str">
        <f>'Техническая по возраст группам'!D27</f>
        <v xml:space="preserve"> </v>
      </c>
      <c r="E15" s="500">
        <f>'Техническая по возраст группам'!E27</f>
        <v>0</v>
      </c>
      <c r="F15" s="495" t="str">
        <f>IF('Техническая по возраст группам'!G27="Ж", "спортсменка", IF('Техническая по возраст группам'!G27="М", "спортсмен", "не понятно кто"))</f>
        <v>спортсменка</v>
      </c>
      <c r="G15" s="495" t="str">
        <f ca="1">'Техническая по возраст группам'!H27</f>
        <v>г.р.???</v>
      </c>
      <c r="H15" s="495" t="str">
        <f>'Техническая по возраст группам'!B27</f>
        <v>II юн</v>
      </c>
      <c r="I15" s="2147" t="str">
        <f>'Техническая по возраст группам'!I27</f>
        <v>Фамилия_1 Имя Отчество</v>
      </c>
      <c r="J15" s="2769"/>
      <c r="K15" s="501"/>
    </row>
    <row r="16" spans="1:11" s="496" customFormat="1" ht="21" customHeight="1" x14ac:dyDescent="0.25">
      <c r="A16" s="492">
        <v>8</v>
      </c>
      <c r="B16" s="2370" t="str">
        <f>'Техническая по возраст группам'!C28</f>
        <v>Девушки</v>
      </c>
      <c r="C16" s="2764"/>
      <c r="D16" s="640" t="str">
        <f>'Техническая по возраст группам'!D28</f>
        <v xml:space="preserve"> </v>
      </c>
      <c r="E16" s="500">
        <f>'Техническая по возраст группам'!E28</f>
        <v>0</v>
      </c>
      <c r="F16" s="495" t="str">
        <f>IF('Техническая по возраст группам'!G28="Ж", "спортсменка", IF('Техническая по возраст группам'!G28="М", "спортсмен", "не понятно кто"))</f>
        <v>спортсменка</v>
      </c>
      <c r="G16" s="495" t="str">
        <f ca="1">'Техническая по возраст группам'!H28</f>
        <v>г.р.???</v>
      </c>
      <c r="H16" s="495" t="str">
        <f>'Техническая по возраст группам'!B28</f>
        <v>III юн</v>
      </c>
      <c r="I16" s="2147" t="str">
        <f>'Техническая по возраст группам'!I28</f>
        <v>Фамилия_1 Имя Отчество</v>
      </c>
      <c r="J16" s="2770"/>
      <c r="K16" s="501"/>
    </row>
    <row r="17" spans="1:11" s="496" customFormat="1" ht="21" customHeight="1" x14ac:dyDescent="0.25">
      <c r="A17" s="492">
        <v>9</v>
      </c>
      <c r="B17" s="2370" t="str">
        <f>'Техническая по возраст группам'!C29</f>
        <v>Девушки</v>
      </c>
      <c r="C17" s="2763"/>
      <c r="D17" s="640" t="str">
        <f>'Техническая по возраст группам'!D29</f>
        <v xml:space="preserve"> </v>
      </c>
      <c r="E17" s="500">
        <f>'Техническая по возраст группам'!E29</f>
        <v>0</v>
      </c>
      <c r="F17" s="495" t="str">
        <f>IF('Техническая по возраст группам'!G29="Ж", "спортсменка", IF('Техническая по возраст группам'!G29="М", "спортсмен", "не понятно кто"))</f>
        <v>спортсменка</v>
      </c>
      <c r="G17" s="495" t="str">
        <f ca="1">'Техническая по возраст группам'!H29</f>
        <v>г.р.???</v>
      </c>
      <c r="H17" s="495" t="str">
        <f>'Техническая по возраст группам'!B29</f>
        <v>III</v>
      </c>
      <c r="I17" s="2147" t="str">
        <f>'Техническая по возраст группам'!I29</f>
        <v>Фамилия_1 Имя Отчество</v>
      </c>
      <c r="J17" s="2771"/>
      <c r="K17" s="501"/>
    </row>
    <row r="18" spans="1:11" s="496" customFormat="1" ht="21" customHeight="1" x14ac:dyDescent="0.25">
      <c r="A18" s="492">
        <v>10</v>
      </c>
      <c r="B18" s="2370" t="str">
        <f>'Техническая по возраст группам'!C30</f>
        <v>Девушки</v>
      </c>
      <c r="C18" s="2762"/>
      <c r="D18" s="640" t="str">
        <f>'Техническая по возраст группам'!D30</f>
        <v xml:space="preserve"> </v>
      </c>
      <c r="E18" s="500">
        <f>'Техническая по возраст группам'!E30</f>
        <v>0</v>
      </c>
      <c r="F18" s="495" t="str">
        <f>IF('Техническая по возраст группам'!G30="Ж", "спортсменка", IF('Техническая по возраст группам'!G30="М", "спортсмен", "не понятно кто"))</f>
        <v>спортсменка</v>
      </c>
      <c r="G18" s="495" t="str">
        <f ca="1">'Техническая по возраст группам'!H30</f>
        <v>г.р.???</v>
      </c>
      <c r="H18" s="495" t="str">
        <f>'Техническая по возраст группам'!B30</f>
        <v>I</v>
      </c>
      <c r="I18" s="2147" t="str">
        <f>'Техническая по возраст группам'!I30</f>
        <v>Фамилия_1 Имя Отчество</v>
      </c>
      <c r="J18" s="2772"/>
      <c r="K18" s="501"/>
    </row>
    <row r="19" spans="1:11" s="496" customFormat="1" ht="21" customHeight="1" x14ac:dyDescent="0.25">
      <c r="A19" s="492">
        <v>11</v>
      </c>
      <c r="B19" s="2370" t="str">
        <f>'Техническая по возраст группам'!C31</f>
        <v>Девушки</v>
      </c>
      <c r="C19" s="2761"/>
      <c r="D19" s="640" t="str">
        <f>'Техническая по возраст группам'!D31</f>
        <v xml:space="preserve"> </v>
      </c>
      <c r="E19" s="500">
        <f>'Техническая по возраст группам'!E31</f>
        <v>0</v>
      </c>
      <c r="F19" s="495" t="str">
        <f>IF('Техническая по возраст группам'!G31="Ж", "спортсменка", IF('Техническая по возраст группам'!G31="М", "спортсмен", "не понятно кто"))</f>
        <v>спортсменка</v>
      </c>
      <c r="G19" s="495" t="str">
        <f ca="1">'Техническая по возраст группам'!H31</f>
        <v>г.р.???</v>
      </c>
      <c r="H19" s="495" t="str">
        <f>'Техническая по возраст группам'!B31</f>
        <v>I юн</v>
      </c>
      <c r="I19" s="2147" t="str">
        <f>'Техническая по возраст группам'!I31</f>
        <v>Фамилия_1 Имя Отчество</v>
      </c>
      <c r="J19" s="2773"/>
      <c r="K19" s="501"/>
    </row>
    <row r="20" spans="1:11" s="496" customFormat="1" ht="21" customHeight="1" x14ac:dyDescent="0.25">
      <c r="A20" s="492">
        <v>12</v>
      </c>
      <c r="B20" s="2370" t="str">
        <f>'Техническая по возраст группам'!C32</f>
        <v>Девушки</v>
      </c>
      <c r="C20" s="2760"/>
      <c r="D20" s="640" t="str">
        <f>'Техническая по возраст группам'!D32</f>
        <v xml:space="preserve"> </v>
      </c>
      <c r="E20" s="500">
        <f>'Техническая по возраст группам'!E32</f>
        <v>0</v>
      </c>
      <c r="F20" s="495" t="str">
        <f>IF('Техническая по возраст группам'!G32="Ж", "спортсменка", IF('Техническая по возраст группам'!G32="М", "спортсмен", "не понятно кто"))</f>
        <v>спортсменка</v>
      </c>
      <c r="G20" s="495" t="str">
        <f ca="1">'Техническая по возраст группам'!H32</f>
        <v>г.р.???</v>
      </c>
      <c r="H20" s="495" t="str">
        <f>'Техническая по возраст группам'!B32</f>
        <v>МС</v>
      </c>
      <c r="I20" s="2147" t="str">
        <f>'Техническая по возраст группам'!I32</f>
        <v>Фамилия_1 Имя Отчество</v>
      </c>
      <c r="J20" s="2774"/>
      <c r="K20" s="501"/>
    </row>
    <row r="21" spans="1:11" s="496" customFormat="1" ht="21" customHeight="1" x14ac:dyDescent="0.25">
      <c r="A21" s="492">
        <v>13</v>
      </c>
      <c r="B21" s="2370" t="str">
        <f>'Техническая по возраст группам'!C33</f>
        <v>Девушки</v>
      </c>
      <c r="C21" s="2759"/>
      <c r="D21" s="640" t="str">
        <f>'Техническая по возраст группам'!D33</f>
        <v xml:space="preserve"> </v>
      </c>
      <c r="E21" s="500">
        <f>'Техническая по возраст группам'!E33</f>
        <v>0</v>
      </c>
      <c r="F21" s="495" t="str">
        <f>IF('Техническая по возраст группам'!G33="Ж", "спортсменка", IF('Техническая по возраст группам'!G33="М", "спортсмен", "не понятно кто"))</f>
        <v>спортсменка</v>
      </c>
      <c r="G21" s="495" t="str">
        <f ca="1">'Техническая по возраст группам'!H33</f>
        <v>г.р.???</v>
      </c>
      <c r="H21" s="495" t="str">
        <f>'Техническая по возраст группам'!B33</f>
        <v>КМС</v>
      </c>
      <c r="I21" s="2147" t="str">
        <f>'Техническая по возраст группам'!I33</f>
        <v>Фамилия_1 Имя Отчество</v>
      </c>
      <c r="J21" s="2775"/>
      <c r="K21" s="501"/>
    </row>
    <row r="22" spans="1:11" s="496" customFormat="1" ht="21" customHeight="1" x14ac:dyDescent="0.25">
      <c r="A22" s="492">
        <v>14</v>
      </c>
      <c r="B22" s="2370" t="str">
        <f>'Техническая по возраст группам'!C34</f>
        <v>Девушки</v>
      </c>
      <c r="C22" s="2758"/>
      <c r="D22" s="640" t="str">
        <f>'Техническая по возраст группам'!D34</f>
        <v xml:space="preserve"> </v>
      </c>
      <c r="E22" s="500">
        <f>'Техническая по возраст группам'!E34</f>
        <v>0</v>
      </c>
      <c r="F22" s="495" t="str">
        <f>IF('Техническая по возраст группам'!G34="Ж", "спортсменка", IF('Техническая по возраст группам'!G34="М", "спортсмен", "не понятно кто"))</f>
        <v>спортсменка</v>
      </c>
      <c r="G22" s="495" t="str">
        <f ca="1">'Техническая по возраст группам'!H34</f>
        <v>г.р.???</v>
      </c>
      <c r="H22" s="495" t="str">
        <f>'Техническая по возраст группам'!B34</f>
        <v>I</v>
      </c>
      <c r="I22" s="2147" t="str">
        <f>'Техническая по возраст группам'!I34</f>
        <v>Фамилия_1 Имя Отчество</v>
      </c>
      <c r="J22" s="2751"/>
      <c r="K22" s="501"/>
    </row>
    <row r="23" spans="1:11" s="496" customFormat="1" ht="21" customHeight="1" x14ac:dyDescent="0.25">
      <c r="A23" s="492">
        <v>15</v>
      </c>
      <c r="B23" s="2370" t="str">
        <f>'Техническая по возраст группам'!C35</f>
        <v>Девушки</v>
      </c>
      <c r="C23" s="2757"/>
      <c r="D23" s="640" t="str">
        <f>'Техническая по возраст группам'!D35</f>
        <v xml:space="preserve"> </v>
      </c>
      <c r="E23" s="500">
        <f>'Техническая по возраст группам'!E35</f>
        <v>0</v>
      </c>
      <c r="F23" s="495" t="str">
        <f>IF('Техническая по возраст группам'!G35="Ж", "спортсменка", IF('Техническая по возраст группам'!G35="М", "спортсмен", "не понятно кто"))</f>
        <v>спортсменка</v>
      </c>
      <c r="G23" s="495" t="str">
        <f ca="1">'Техническая по возраст группам'!H35</f>
        <v>г.р.???</v>
      </c>
      <c r="H23" s="495" t="str">
        <f>'Техническая по возраст группам'!B35</f>
        <v>II</v>
      </c>
      <c r="I23" s="2147" t="str">
        <f>'Техническая по возраст группам'!I35</f>
        <v>Фамилия_1 Имя Отчество</v>
      </c>
      <c r="J23" s="2750"/>
      <c r="K23" s="501"/>
    </row>
    <row r="24" spans="1:11" s="496" customFormat="1" ht="21" customHeight="1" x14ac:dyDescent="0.25">
      <c r="A24" s="492">
        <v>16</v>
      </c>
      <c r="B24" s="2370" t="str">
        <f>'Техническая по возраст группам'!C36</f>
        <v>Девушки</v>
      </c>
      <c r="C24" s="2756"/>
      <c r="D24" s="640" t="str">
        <f>'Техническая по возраст группам'!D36</f>
        <v xml:space="preserve"> </v>
      </c>
      <c r="E24" s="500">
        <f>'Техническая по возраст группам'!E36</f>
        <v>0</v>
      </c>
      <c r="F24" s="495" t="str">
        <f>IF('Техническая по возраст группам'!G36="Ж", "спортсменка", IF('Техническая по возраст группам'!G36="М", "спортсмен", "не понятно кто"))</f>
        <v>спортсменка</v>
      </c>
      <c r="G24" s="495" t="str">
        <f ca="1">'Техническая по возраст группам'!H36</f>
        <v>г.р.???</v>
      </c>
      <c r="H24" s="495" t="str">
        <f>'Техническая по возраст группам'!B36</f>
        <v>II</v>
      </c>
      <c r="I24" s="2147" t="str">
        <f>'Техническая по возраст группам'!I36</f>
        <v>Фамилия_1 Имя Отчество</v>
      </c>
      <c r="J24" s="2749"/>
      <c r="K24" s="501"/>
    </row>
    <row r="25" spans="1:11" s="496" customFormat="1" ht="21" customHeight="1" x14ac:dyDescent="0.25">
      <c r="A25" s="492">
        <v>17</v>
      </c>
      <c r="B25" s="2370" t="str">
        <f>'Техническая по возраст группам'!C37</f>
        <v>Девушки</v>
      </c>
      <c r="C25" s="2755"/>
      <c r="D25" s="640" t="str">
        <f>'Техническая по возраст группам'!D37</f>
        <v xml:space="preserve"> </v>
      </c>
      <c r="E25" s="500">
        <f>'Техническая по возраст группам'!E37</f>
        <v>0</v>
      </c>
      <c r="F25" s="495" t="str">
        <f>IF('Техническая по возраст группам'!G37="Ж", "спортсменка", IF('Техническая по возраст группам'!G37="М", "спортсмен", "не понятно кто"))</f>
        <v>спортсменка</v>
      </c>
      <c r="G25" s="495" t="str">
        <f ca="1">'Техническая по возраст группам'!H37</f>
        <v>г.р.???</v>
      </c>
      <c r="H25" s="495" t="str">
        <f>'Техническая по возраст группам'!B37</f>
        <v>II</v>
      </c>
      <c r="I25" s="2147" t="str">
        <f>'Техническая по возраст группам'!I37</f>
        <v>Фамилия_1 Имя Отчество</v>
      </c>
      <c r="J25" s="2748"/>
      <c r="K25" s="501"/>
    </row>
    <row r="26" spans="1:11" s="496" customFormat="1" ht="21" customHeight="1" x14ac:dyDescent="0.25">
      <c r="A26" s="492">
        <v>18</v>
      </c>
      <c r="B26" s="2370" t="str">
        <f>'Техническая по возраст группам'!C38</f>
        <v>Девушки</v>
      </c>
      <c r="C26" s="2754"/>
      <c r="D26" s="640" t="str">
        <f>'Техническая по возраст группам'!D38</f>
        <v xml:space="preserve"> </v>
      </c>
      <c r="E26" s="500">
        <f>'Техническая по возраст группам'!E38</f>
        <v>0</v>
      </c>
      <c r="F26" s="495" t="str">
        <f>IF('Техническая по возраст группам'!G38="Ж", "спортсменка", IF('Техническая по возраст группам'!G38="М", "спортсмен", "не понятно кто"))</f>
        <v>спортсменка</v>
      </c>
      <c r="G26" s="495" t="str">
        <f ca="1">'Техническая по возраст группам'!H38</f>
        <v>г.р.???</v>
      </c>
      <c r="H26" s="495" t="str">
        <f>'Техническая по возраст группам'!B38</f>
        <v>II</v>
      </c>
      <c r="I26" s="2147" t="str">
        <f>'Техническая по возраст группам'!I38</f>
        <v>Фамилия_1 Имя Отчество</v>
      </c>
      <c r="J26" s="2747"/>
      <c r="K26" s="501"/>
    </row>
    <row r="27" spans="1:11" s="496" customFormat="1" ht="21" customHeight="1" x14ac:dyDescent="0.25">
      <c r="A27" s="492">
        <v>19</v>
      </c>
      <c r="B27" s="2370" t="str">
        <f>'Техническая по возраст группам'!C39</f>
        <v>Девушки</v>
      </c>
      <c r="C27" s="2753"/>
      <c r="D27" s="640" t="str">
        <f>'Техническая по возраст группам'!D39</f>
        <v xml:space="preserve"> </v>
      </c>
      <c r="E27" s="500">
        <f>'Техническая по возраст группам'!E39</f>
        <v>0</v>
      </c>
      <c r="F27" s="495" t="str">
        <f>IF('Техническая по возраст группам'!G39="Ж", "спортсменка", IF('Техническая по возраст группам'!G39="М", "спортсмен", "не понятно кто"))</f>
        <v>спортсменка</v>
      </c>
      <c r="G27" s="495" t="str">
        <f ca="1">'Техническая по возраст группам'!H39</f>
        <v>г.р.???</v>
      </c>
      <c r="H27" s="495" t="str">
        <f>'Техническая по возраст группам'!B39</f>
        <v>II</v>
      </c>
      <c r="I27" s="2147" t="str">
        <f>'Техническая по возраст группам'!I39</f>
        <v>Фамилия_1 Имя Отчество</v>
      </c>
      <c r="J27" s="2746"/>
      <c r="K27" s="501"/>
    </row>
    <row r="28" spans="1:11" s="496" customFormat="1" ht="21" customHeight="1" x14ac:dyDescent="0.25">
      <c r="A28" s="492">
        <v>20</v>
      </c>
      <c r="B28" s="2370" t="str">
        <f>'Техническая по возраст группам'!C40</f>
        <v>Девушки</v>
      </c>
      <c r="C28" s="2752"/>
      <c r="D28" s="640" t="str">
        <f>'Техническая по возраст группам'!D40</f>
        <v xml:space="preserve"> </v>
      </c>
      <c r="E28" s="500">
        <f>'Техническая по возраст группам'!E40</f>
        <v>0</v>
      </c>
      <c r="F28" s="495" t="str">
        <f>IF('Техническая по возраст группам'!G40="Ж", "спортсменка", IF('Техническая по возраст группам'!G40="М", "спортсмен", "не понятно кто"))</f>
        <v>спортсменка</v>
      </c>
      <c r="G28" s="495" t="str">
        <f ca="1">'Техническая по возраст группам'!H40</f>
        <v>г.р.???</v>
      </c>
      <c r="H28" s="495" t="str">
        <f>'Техническая по возраст группам'!B40</f>
        <v>II</v>
      </c>
      <c r="I28" s="2147" t="str">
        <f>'Техническая по возраст группам'!I40</f>
        <v>Фамилия_1 Имя Отчество</v>
      </c>
      <c r="J28" s="2745"/>
      <c r="K28" s="501"/>
    </row>
    <row r="29" spans="1:11" s="496" customFormat="1" ht="21" customHeight="1" x14ac:dyDescent="0.25">
      <c r="A29" s="492">
        <v>21</v>
      </c>
      <c r="B29" s="2370" t="str">
        <f>'Техническая по возраст группам'!C41</f>
        <v>Девушки</v>
      </c>
      <c r="C29" s="2740"/>
      <c r="D29" s="640" t="str">
        <f>'Техническая по возраст группам'!D41</f>
        <v xml:space="preserve"> </v>
      </c>
      <c r="E29" s="500">
        <f>'Техническая по возраст группам'!E41</f>
        <v>0</v>
      </c>
      <c r="F29" s="495" t="str">
        <f>IF('Техническая по возраст группам'!G41="Ж", "спортсменка", IF('Техническая по возраст группам'!G41="М", "спортсмен", "не понятно кто"))</f>
        <v>спортсменка</v>
      </c>
      <c r="G29" s="495" t="str">
        <f ca="1">'Техническая по возраст группам'!H41</f>
        <v>г.р.???</v>
      </c>
      <c r="H29" s="495" t="str">
        <f>'Техническая по возраст группам'!B41</f>
        <v>II</v>
      </c>
      <c r="I29" s="2147" t="str">
        <f>'Техническая по возраст группам'!I41</f>
        <v>Фамилия_1 Имя Отчество</v>
      </c>
      <c r="J29" s="2744"/>
      <c r="K29" s="501"/>
    </row>
    <row r="30" spans="1:11" s="496" customFormat="1" ht="21" customHeight="1" x14ac:dyDescent="0.25">
      <c r="A30" s="492">
        <v>22</v>
      </c>
      <c r="B30" s="2370" t="str">
        <f>'Техническая по возраст группам'!C42</f>
        <v>Девушки</v>
      </c>
      <c r="C30" s="2739"/>
      <c r="D30" s="640" t="str">
        <f>'Техническая по возраст группам'!D42</f>
        <v xml:space="preserve"> </v>
      </c>
      <c r="E30" s="500">
        <f>'Техническая по возраст группам'!E42</f>
        <v>0</v>
      </c>
      <c r="F30" s="495" t="str">
        <f>IF('Техническая по возраст группам'!G42="Ж", "спортсменка", IF('Техническая по возраст группам'!G42="М", "спортсмен", "не понятно кто"))</f>
        <v>спортсменка</v>
      </c>
      <c r="G30" s="495" t="str">
        <f ca="1">'Техническая по возраст группам'!H42</f>
        <v>г.р.???</v>
      </c>
      <c r="H30" s="495" t="str">
        <f>'Техническая по возраст группам'!B42</f>
        <v>I юн</v>
      </c>
      <c r="I30" s="2147" t="str">
        <f>'Техническая по возраст группам'!I42</f>
        <v>Фамилия_1 Имя Отчество</v>
      </c>
      <c r="J30" s="2743"/>
      <c r="K30" s="501"/>
    </row>
    <row r="31" spans="1:11" s="496" customFormat="1" ht="21" customHeight="1" x14ac:dyDescent="0.25">
      <c r="A31" s="492">
        <v>23</v>
      </c>
      <c r="B31" s="2370" t="str">
        <f>'Техническая по возраст группам'!C43</f>
        <v>Девушки</v>
      </c>
      <c r="C31" s="2738"/>
      <c r="D31" s="640" t="str">
        <f>'Техническая по возраст группам'!D43</f>
        <v xml:space="preserve"> </v>
      </c>
      <c r="E31" s="500">
        <f>'Техническая по возраст группам'!E43</f>
        <v>0</v>
      </c>
      <c r="F31" s="495" t="str">
        <f>IF('Техническая по возраст группам'!G43="Ж", "спортсменка", IF('Техническая по возраст группам'!G43="М", "спортсмен", "не понятно кто"))</f>
        <v>спортсменка</v>
      </c>
      <c r="G31" s="495" t="str">
        <f ca="1">'Техническая по возраст группам'!H43</f>
        <v>г.р.???</v>
      </c>
      <c r="H31" s="495" t="str">
        <f>'Техническая по возраст группам'!B43</f>
        <v>МС</v>
      </c>
      <c r="I31" s="2147" t="str">
        <f>'Техническая по возраст группам'!I43</f>
        <v>Фамилия_1 Имя Отчество</v>
      </c>
      <c r="J31" s="2742"/>
      <c r="K31" s="501"/>
    </row>
    <row r="32" spans="1:11" s="496" customFormat="1" ht="21" customHeight="1" x14ac:dyDescent="0.25">
      <c r="A32" s="492">
        <v>24</v>
      </c>
      <c r="B32" s="2370" t="str">
        <f>'Техническая по возраст группам'!C44</f>
        <v>Девушки</v>
      </c>
      <c r="C32" s="2737"/>
      <c r="D32" s="640" t="str">
        <f>'Техническая по возраст группам'!D44</f>
        <v xml:space="preserve"> </v>
      </c>
      <c r="E32" s="500">
        <f>'Техническая по возраст группам'!E44</f>
        <v>0</v>
      </c>
      <c r="F32" s="495" t="str">
        <f>IF('Техническая по возраст группам'!G44="Ж", "спортсменка", IF('Техническая по возраст группам'!G44="М", "спортсмен", "не понятно кто"))</f>
        <v>спортсменка</v>
      </c>
      <c r="G32" s="495" t="str">
        <f ca="1">'Техническая по возраст группам'!H44</f>
        <v>г.р.???</v>
      </c>
      <c r="H32" s="495" t="str">
        <f>'Техническая по возраст группам'!B44</f>
        <v>I</v>
      </c>
      <c r="I32" s="2147" t="str">
        <f>'Техническая по возраст группам'!I44</f>
        <v>Фамилия_1 Имя Отчество</v>
      </c>
      <c r="J32" s="2741"/>
      <c r="K32" s="501"/>
    </row>
    <row r="33" spans="1:11" s="496" customFormat="1" ht="21" customHeight="1" x14ac:dyDescent="0.25">
      <c r="A33" s="492">
        <v>25</v>
      </c>
      <c r="B33" s="2370" t="str">
        <f>'Техническая по возраст группам'!C45</f>
        <v>Девушки</v>
      </c>
      <c r="C33" s="2736"/>
      <c r="D33" s="640" t="str">
        <f>'Техническая по возраст группам'!D45</f>
        <v xml:space="preserve"> </v>
      </c>
      <c r="E33" s="500">
        <f>'Техническая по возраст группам'!E45</f>
        <v>0</v>
      </c>
      <c r="F33" s="495" t="str">
        <f>IF('Техническая по возраст группам'!G45="Ж", "спортсменка", IF('Техническая по возраст группам'!G45="М", "спортсмен", "не понятно кто"))</f>
        <v>спортсменка</v>
      </c>
      <c r="G33" s="495" t="str">
        <f ca="1">'Техническая по возраст группам'!H45</f>
        <v>г.р.???</v>
      </c>
      <c r="H33" s="495" t="str">
        <f>'Техническая по возраст группам'!B45</f>
        <v>II</v>
      </c>
      <c r="I33" s="2147" t="str">
        <f>'Техническая по возраст группам'!I45</f>
        <v>Фамилия_1 Имя Отчество</v>
      </c>
      <c r="J33" s="2729"/>
      <c r="K33" s="501"/>
    </row>
    <row r="34" spans="1:11" s="496" customFormat="1" ht="21" customHeight="1" x14ac:dyDescent="0.25">
      <c r="A34" s="492">
        <v>26</v>
      </c>
      <c r="B34" s="2370" t="str">
        <f>'Техническая по возраст группам'!C46</f>
        <v>Юноши</v>
      </c>
      <c r="C34" s="2735"/>
      <c r="D34" s="640" t="str">
        <f>'Техническая по возраст группам'!D46</f>
        <v xml:space="preserve"> </v>
      </c>
      <c r="E34" s="500">
        <f>'Техническая по возраст группам'!E46</f>
        <v>0</v>
      </c>
      <c r="F34" s="495" t="str">
        <f>IF('Техническая по возраст группам'!G46="Ж", "спортсменка", IF('Техническая по возраст группам'!G46="М", "спортсмен", "не понятно кто"))</f>
        <v>спортсмен</v>
      </c>
      <c r="G34" s="495" t="str">
        <f ca="1">'Техническая по возраст группам'!H46</f>
        <v>г.р.???</v>
      </c>
      <c r="H34" s="495" t="str">
        <f>'Техническая по возраст группам'!B46</f>
        <v>III юн</v>
      </c>
      <c r="I34" s="2147" t="str">
        <f>'Техническая по возраст группам'!I46</f>
        <v>Фамилия_1 Имя Отчество</v>
      </c>
      <c r="J34" s="2728"/>
      <c r="K34" s="501"/>
    </row>
    <row r="35" spans="1:11" s="496" customFormat="1" ht="21" customHeight="1" x14ac:dyDescent="0.25">
      <c r="A35" s="492">
        <v>27</v>
      </c>
      <c r="B35" s="2370" t="str">
        <f>'Техническая по возраст группам'!C47</f>
        <v>Юноши</v>
      </c>
      <c r="C35" s="2734"/>
      <c r="D35" s="640" t="str">
        <f>'Техническая по возраст группам'!D47</f>
        <v xml:space="preserve"> </v>
      </c>
      <c r="E35" s="500">
        <f>'Техническая по возраст группам'!E47</f>
        <v>0</v>
      </c>
      <c r="F35" s="495" t="str">
        <f>IF('Техническая по возраст группам'!G47="Ж", "спортсменка", IF('Техническая по возраст группам'!G47="М", "спортсмен", "не понятно кто"))</f>
        <v>спортсмен</v>
      </c>
      <c r="G35" s="495" t="str">
        <f ca="1">'Техническая по возраст группам'!H47</f>
        <v>г.р.???</v>
      </c>
      <c r="H35" s="495" t="str">
        <f>'Техническая по возраст группам'!B47</f>
        <v>II</v>
      </c>
      <c r="I35" s="2147" t="str">
        <f>'Техническая по возраст группам'!I47</f>
        <v>Фамилия_1 Имя Отчество</v>
      </c>
      <c r="J35" s="2727"/>
      <c r="K35" s="501"/>
    </row>
    <row r="36" spans="1:11" s="496" customFormat="1" ht="21" customHeight="1" x14ac:dyDescent="0.25">
      <c r="A36" s="492">
        <v>28</v>
      </c>
      <c r="B36" s="2370" t="str">
        <f>'Техническая по возраст группам'!C48</f>
        <v>Юноши</v>
      </c>
      <c r="C36" s="2733"/>
      <c r="D36" s="640" t="str">
        <f>'Техническая по возраст группам'!D48</f>
        <v xml:space="preserve"> </v>
      </c>
      <c r="E36" s="500">
        <f>'Техническая по возраст группам'!E48</f>
        <v>0</v>
      </c>
      <c r="F36" s="495" t="str">
        <f>IF('Техническая по возраст группам'!G48="Ж", "спортсменка", IF('Техническая по возраст группам'!G48="М", "спортсмен", "не понятно кто"))</f>
        <v>спортсмен</v>
      </c>
      <c r="G36" s="495" t="str">
        <f ca="1">'Техническая по возраст группам'!H48</f>
        <v>г.р.???</v>
      </c>
      <c r="H36" s="495" t="str">
        <f>'Техническая по возраст группам'!B48</f>
        <v>II</v>
      </c>
      <c r="I36" s="2147" t="str">
        <f>'Техническая по возраст группам'!I48</f>
        <v>Фамилия_1 Имя Отчество</v>
      </c>
      <c r="J36" s="2726"/>
      <c r="K36" s="501"/>
    </row>
    <row r="37" spans="1:11" s="496" customFormat="1" ht="21" customHeight="1" x14ac:dyDescent="0.25">
      <c r="A37" s="492">
        <v>29</v>
      </c>
      <c r="B37" s="2370" t="str">
        <f>'Техническая по возраст группам'!C49</f>
        <v>Юноши</v>
      </c>
      <c r="C37" s="2732"/>
      <c r="D37" s="640" t="str">
        <f>'Техническая по возраст группам'!D49</f>
        <v xml:space="preserve"> </v>
      </c>
      <c r="E37" s="500">
        <f>'Техническая по возраст группам'!E49</f>
        <v>0</v>
      </c>
      <c r="F37" s="495" t="str">
        <f>IF('Техническая по возраст группам'!G49="Ж", "спортсменка", IF('Техническая по возраст группам'!G49="М", "спортсмен", "не понятно кто"))</f>
        <v>спортсмен</v>
      </c>
      <c r="G37" s="495" t="str">
        <f ca="1">'Техническая по возраст группам'!H49</f>
        <v>г.р.???</v>
      </c>
      <c r="H37" s="495" t="str">
        <f>'Техническая по возраст группам'!B49</f>
        <v>II</v>
      </c>
      <c r="I37" s="2147" t="str">
        <f>'Техническая по возраст группам'!I49</f>
        <v>Фамилия_1 Имя Отчество</v>
      </c>
      <c r="J37" s="2725"/>
      <c r="K37" s="501"/>
    </row>
    <row r="38" spans="1:11" s="496" customFormat="1" ht="21" customHeight="1" x14ac:dyDescent="0.25">
      <c r="A38" s="492">
        <v>30</v>
      </c>
      <c r="B38" s="2370" t="str">
        <f>'Техническая по возраст группам'!C50</f>
        <v>Юноши</v>
      </c>
      <c r="C38" s="2731"/>
      <c r="D38" s="640" t="str">
        <f>'Техническая по возраст группам'!D50</f>
        <v xml:space="preserve"> </v>
      </c>
      <c r="E38" s="500">
        <f>'Техническая по возраст группам'!E50</f>
        <v>0</v>
      </c>
      <c r="F38" s="495" t="str">
        <f>IF('Техническая по возраст группам'!G50="Ж", "спортсменка", IF('Техническая по возраст группам'!G50="М", "спортсмен", "не понятно кто"))</f>
        <v>спортсмен</v>
      </c>
      <c r="G38" s="495" t="str">
        <f ca="1">'Техническая по возраст группам'!H50</f>
        <v>г.р.???</v>
      </c>
      <c r="H38" s="495" t="str">
        <f>'Техническая по возраст группам'!B50</f>
        <v>II</v>
      </c>
      <c r="I38" s="2147" t="str">
        <f>'Техническая по возраст группам'!I50</f>
        <v>Фамилия_1 Имя Отчество</v>
      </c>
      <c r="J38" s="2724"/>
      <c r="K38" s="501"/>
    </row>
    <row r="39" spans="1:11" s="496" customFormat="1" ht="21" customHeight="1" x14ac:dyDescent="0.25">
      <c r="A39" s="492">
        <v>31</v>
      </c>
      <c r="B39" s="2370" t="str">
        <f>'Техническая по возраст группам'!C51</f>
        <v>Юноши</v>
      </c>
      <c r="C39" s="2730"/>
      <c r="D39" s="640" t="str">
        <f>'Техническая по возраст группам'!D51</f>
        <v xml:space="preserve"> </v>
      </c>
      <c r="E39" s="500">
        <f>'Техническая по возраст группам'!E51</f>
        <v>0</v>
      </c>
      <c r="F39" s="495" t="str">
        <f>IF('Техническая по возраст группам'!G51="Ж", "спортсменка", IF('Техническая по возраст группам'!G51="М", "спортсмен", "не понятно кто"))</f>
        <v>спортсмен</v>
      </c>
      <c r="G39" s="495" t="str">
        <f ca="1">'Техническая по возраст группам'!H51</f>
        <v>г.р.???</v>
      </c>
      <c r="H39" s="495" t="str">
        <f>'Техническая по возраст группам'!B51</f>
        <v>II</v>
      </c>
      <c r="I39" s="2147" t="str">
        <f>'Техническая по возраст группам'!I51</f>
        <v>Фамилия_1 Имя Отчество</v>
      </c>
      <c r="J39" s="2723"/>
      <c r="K39" s="501"/>
    </row>
    <row r="40" spans="1:11" s="496" customFormat="1" ht="21" customHeight="1" x14ac:dyDescent="0.25">
      <c r="A40" s="492">
        <v>32</v>
      </c>
      <c r="B40" s="2370" t="str">
        <f>'Техническая по возраст группам'!C52</f>
        <v>Юноши</v>
      </c>
      <c r="C40" s="2720"/>
      <c r="D40" s="640" t="str">
        <f>'Техническая по возраст группам'!D52</f>
        <v xml:space="preserve"> </v>
      </c>
      <c r="E40" s="500">
        <f>'Техническая по возраст группам'!E52</f>
        <v>0</v>
      </c>
      <c r="F40" s="495" t="str">
        <f>IF('Техническая по возраст группам'!G52="Ж", "спортсменка", IF('Техническая по возраст группам'!G52="М", "спортсмен", "не понятно кто"))</f>
        <v>спортсмен</v>
      </c>
      <c r="G40" s="495" t="str">
        <f ca="1">'Техническая по возраст группам'!H52</f>
        <v>г.р.???</v>
      </c>
      <c r="H40" s="495" t="str">
        <f>'Техническая по возраст группам'!B52</f>
        <v>II</v>
      </c>
      <c r="I40" s="2147" t="str">
        <f>'Техническая по возраст группам'!I52</f>
        <v>Фамилия_1 Имя Отчество</v>
      </c>
      <c r="J40" s="2722"/>
      <c r="K40" s="501"/>
    </row>
    <row r="41" spans="1:11" s="496" customFormat="1" ht="21" customHeight="1" x14ac:dyDescent="0.25">
      <c r="A41" s="492">
        <v>33</v>
      </c>
      <c r="B41" s="2370" t="str">
        <f>'Техническая по возраст группам'!C53</f>
        <v>Юноши</v>
      </c>
      <c r="C41" s="2719"/>
      <c r="D41" s="640" t="str">
        <f>'Техническая по возраст группам'!D53</f>
        <v xml:space="preserve"> </v>
      </c>
      <c r="E41" s="500">
        <f>'Техническая по возраст группам'!E53</f>
        <v>0</v>
      </c>
      <c r="F41" s="495" t="str">
        <f>IF('Техническая по возраст группам'!G53="Ж", "спортсменка", IF('Техническая по возраст группам'!G53="М", "спортсмен", "не понятно кто"))</f>
        <v>спортсмен</v>
      </c>
      <c r="G41" s="495" t="str">
        <f ca="1">'Техническая по возраст группам'!H53</f>
        <v>г.р.???</v>
      </c>
      <c r="H41" s="495" t="str">
        <f>'Техническая по возраст группам'!B53</f>
        <v>II</v>
      </c>
      <c r="I41" s="2147" t="str">
        <f>'Техническая по возраст группам'!I53</f>
        <v>Фамилия_1 Имя Отчество</v>
      </c>
      <c r="J41" s="2721"/>
      <c r="K41" s="501"/>
    </row>
    <row r="42" spans="1:11" s="496" customFormat="1" ht="21" customHeight="1" x14ac:dyDescent="0.25">
      <c r="A42" s="492">
        <v>34</v>
      </c>
      <c r="B42" s="2370" t="str">
        <f>'Техническая по возраст группам'!C54</f>
        <v>Юноши</v>
      </c>
      <c r="C42" s="2718"/>
      <c r="D42" s="640" t="str">
        <f>'Техническая по возраст группам'!D54</f>
        <v xml:space="preserve"> </v>
      </c>
      <c r="E42" s="500">
        <f>'Техническая по возраст группам'!E54</f>
        <v>0</v>
      </c>
      <c r="F42" s="495" t="str">
        <f>IF('Техническая по возраст группам'!G54="Ж", "спортсменка", IF('Техническая по возраст группам'!G54="М", "спортсмен", "не понятно кто"))</f>
        <v>спортсмен</v>
      </c>
      <c r="G42" s="495" t="str">
        <f ca="1">'Техническая по возраст группам'!H54</f>
        <v>г.р.???</v>
      </c>
      <c r="H42" s="495" t="str">
        <f>'Техническая по возраст группам'!B54</f>
        <v>ЗМС</v>
      </c>
      <c r="I42" s="2147" t="str">
        <f>'Техническая по возраст группам'!I54</f>
        <v>Фамилия_1 Имя Отчество</v>
      </c>
      <c r="J42" s="2715"/>
      <c r="K42" s="501"/>
    </row>
    <row r="43" spans="1:11" s="496" customFormat="1" ht="21" customHeight="1" x14ac:dyDescent="0.25">
      <c r="A43" s="492">
        <v>35</v>
      </c>
      <c r="B43" s="2370" t="str">
        <f>'Техническая по возраст группам'!C55</f>
        <v>Юноши</v>
      </c>
      <c r="C43" s="2717"/>
      <c r="D43" s="640" t="str">
        <f>'Техническая по возраст группам'!D55</f>
        <v xml:space="preserve"> </v>
      </c>
      <c r="E43" s="500">
        <f>'Техническая по возраст группам'!E55</f>
        <v>0</v>
      </c>
      <c r="F43" s="495" t="str">
        <f>IF('Техническая по возраст группам'!G55="Ж", "спортсменка", IF('Техническая по возраст группам'!G55="М", "спортсмен", "не понятно кто"))</f>
        <v>спортсмен</v>
      </c>
      <c r="G43" s="495" t="str">
        <f ca="1">'Техническая по возраст группам'!H55</f>
        <v>г.р.???</v>
      </c>
      <c r="H43" s="495" t="str">
        <f>'Техническая по возраст группам'!B55</f>
        <v>МСМК</v>
      </c>
      <c r="I43" s="2147" t="str">
        <f>'Техническая по возраст группам'!I55</f>
        <v>Фамилия_1 Имя Отчество</v>
      </c>
      <c r="J43" s="2714"/>
      <c r="K43" s="501"/>
    </row>
    <row r="44" spans="1:11" s="496" customFormat="1" ht="21" customHeight="1" x14ac:dyDescent="0.25">
      <c r="A44" s="492">
        <v>36</v>
      </c>
      <c r="B44" s="2370" t="str">
        <f>'Техническая по возраст группам'!C56</f>
        <v>Юноши</v>
      </c>
      <c r="C44" s="2716"/>
      <c r="D44" s="640" t="str">
        <f>'Техническая по возраст группам'!D56</f>
        <v xml:space="preserve"> </v>
      </c>
      <c r="E44" s="500">
        <f>'Техническая по возраст группам'!E56</f>
        <v>0</v>
      </c>
      <c r="F44" s="495" t="str">
        <f>IF('Техническая по возраст группам'!G56="Ж", "спортсменка", IF('Техническая по возраст группам'!G56="М", "спортсмен", "не понятно кто"))</f>
        <v>спортсмен</v>
      </c>
      <c r="G44" s="495" t="str">
        <f ca="1">'Техническая по возраст группам'!H56</f>
        <v>г.р.???</v>
      </c>
      <c r="H44" s="495" t="str">
        <f>'Техническая по возраст группам'!B56</f>
        <v>МС</v>
      </c>
      <c r="I44" s="2147" t="str">
        <f>'Техническая по возраст группам'!I56</f>
        <v>Фамилия_1 Имя Отчество</v>
      </c>
      <c r="J44" s="2713"/>
      <c r="K44" s="501"/>
    </row>
    <row r="45" spans="1:11" s="496" customFormat="1" ht="21" customHeight="1" x14ac:dyDescent="0.25">
      <c r="A45" s="492">
        <v>37</v>
      </c>
      <c r="B45" s="2370" t="str">
        <f>'Техническая по возраст группам'!C57</f>
        <v>Юноши</v>
      </c>
      <c r="C45" s="2707"/>
      <c r="D45" s="640" t="str">
        <f>'Техническая по возраст группам'!D57</f>
        <v xml:space="preserve"> </v>
      </c>
      <c r="E45" s="500">
        <f>'Техническая по возраст группам'!E57</f>
        <v>0</v>
      </c>
      <c r="F45" s="495" t="str">
        <f>IF('Техническая по возраст группам'!G57="Ж", "спортсменка", IF('Техническая по возраст группам'!G57="М", "спортсмен", "не понятно кто"))</f>
        <v>спортсмен</v>
      </c>
      <c r="G45" s="495" t="str">
        <f ca="1">'Техническая по возраст группам'!H57</f>
        <v>г.р.???</v>
      </c>
      <c r="H45" s="495" t="str">
        <f>'Техническая по возраст группам'!B57</f>
        <v>КМС</v>
      </c>
      <c r="I45" s="2147" t="str">
        <f>'Техническая по возраст группам'!I57</f>
        <v>Фамилия_1 Имя Отчество</v>
      </c>
      <c r="J45" s="2712"/>
      <c r="K45" s="501"/>
    </row>
    <row r="46" spans="1:11" s="496" customFormat="1" ht="21" customHeight="1" x14ac:dyDescent="0.25">
      <c r="A46" s="492">
        <v>38</v>
      </c>
      <c r="B46" s="2370" t="str">
        <f>'Техническая по возраст группам'!C58</f>
        <v>Юноши</v>
      </c>
      <c r="C46" s="2706"/>
      <c r="D46" s="640" t="str">
        <f>'Техническая по возраст группам'!D58</f>
        <v xml:space="preserve"> </v>
      </c>
      <c r="E46" s="500">
        <f>'Техническая по возраст группам'!E58</f>
        <v>0</v>
      </c>
      <c r="F46" s="495" t="str">
        <f>IF('Техническая по возраст группам'!G58="Ж", "спортсменка", IF('Техническая по возраст группам'!G58="М", "спортсмен", "не понятно кто"))</f>
        <v>спортсмен</v>
      </c>
      <c r="G46" s="495" t="str">
        <f ca="1">'Техническая по возраст группам'!H58</f>
        <v>г.р.???</v>
      </c>
      <c r="H46" s="495" t="str">
        <f>'Техническая по возраст группам'!B58</f>
        <v>КМС</v>
      </c>
      <c r="I46" s="2147" t="str">
        <f>'Техническая по возраст группам'!I58</f>
        <v>Фамилия_1 Имя Отчество</v>
      </c>
      <c r="J46" s="2711"/>
      <c r="K46" s="501"/>
    </row>
    <row r="47" spans="1:11" s="496" customFormat="1" ht="21" customHeight="1" x14ac:dyDescent="0.25">
      <c r="A47" s="492">
        <v>39</v>
      </c>
      <c r="B47" s="2370" t="str">
        <f>'Техническая по возраст группам'!C59</f>
        <v>Юноши</v>
      </c>
      <c r="C47" s="2705"/>
      <c r="D47" s="640" t="str">
        <f>'Техническая по возраст группам'!D59</f>
        <v xml:space="preserve"> </v>
      </c>
      <c r="E47" s="500">
        <f>'Техническая по возраст группам'!E59</f>
        <v>0</v>
      </c>
      <c r="F47" s="495" t="str">
        <f>IF('Техническая по возраст группам'!G59="Ж", "спортсменка", IF('Техническая по возраст группам'!G59="М", "спортсмен", "не понятно кто"))</f>
        <v>спортсмен</v>
      </c>
      <c r="G47" s="495" t="str">
        <f ca="1">'Техническая по возраст группам'!H59</f>
        <v>г.р.???</v>
      </c>
      <c r="H47" s="495" t="str">
        <f>'Техническая по возраст группам'!B59</f>
        <v>КМС</v>
      </c>
      <c r="I47" s="2147" t="str">
        <f>'Техническая по возраст группам'!I59</f>
        <v>Фамилия_1 Имя Отчество</v>
      </c>
      <c r="J47" s="2710"/>
      <c r="K47" s="501"/>
    </row>
    <row r="48" spans="1:11" s="496" customFormat="1" ht="21" customHeight="1" x14ac:dyDescent="0.25">
      <c r="A48" s="492">
        <v>40</v>
      </c>
      <c r="B48" s="2370" t="str">
        <f>'Техническая по возраст группам'!C60</f>
        <v>Юноши</v>
      </c>
      <c r="C48" s="2704"/>
      <c r="D48" s="640" t="str">
        <f>'Техническая по возраст группам'!D60</f>
        <v xml:space="preserve"> </v>
      </c>
      <c r="E48" s="500">
        <f>'Техническая по возраст группам'!E60</f>
        <v>0</v>
      </c>
      <c r="F48" s="495" t="str">
        <f>IF('Техническая по возраст группам'!G60="Ж", "спортсменка", IF('Техническая по возраст группам'!G60="М", "спортсмен", "не понятно кто"))</f>
        <v>спортсмен</v>
      </c>
      <c r="G48" s="495" t="str">
        <f ca="1">'Техническая по возраст группам'!H60</f>
        <v>г.р.???</v>
      </c>
      <c r="H48" s="495" t="str">
        <f>'Техническая по возраст группам'!B60</f>
        <v>КМС</v>
      </c>
      <c r="I48" s="2147" t="str">
        <f>'Техническая по возраст группам'!I60</f>
        <v>Фамилия_1 Имя Отчество</v>
      </c>
      <c r="J48" s="2709"/>
      <c r="K48" s="501"/>
    </row>
    <row r="49" spans="1:11" s="496" customFormat="1" ht="21" customHeight="1" x14ac:dyDescent="0.25">
      <c r="A49" s="492">
        <v>41</v>
      </c>
      <c r="B49" s="2370" t="str">
        <f>'Техническая по возраст группам'!C61</f>
        <v>Юноши</v>
      </c>
      <c r="C49" s="2703"/>
      <c r="D49" s="640" t="str">
        <f>'Техническая по возраст группам'!D61</f>
        <v xml:space="preserve"> </v>
      </c>
      <c r="E49" s="500">
        <f>'Техническая по возраст группам'!E61</f>
        <v>0</v>
      </c>
      <c r="F49" s="495" t="str">
        <f>IF('Техническая по возраст группам'!G61="Ж", "спортсменка", IF('Техническая по возраст группам'!G61="М", "спортсмен", "не понятно кто"))</f>
        <v>спортсмен</v>
      </c>
      <c r="G49" s="495" t="str">
        <f ca="1">'Техническая по возраст группам'!H61</f>
        <v>г.р.???</v>
      </c>
      <c r="H49" s="495" t="str">
        <f>'Техническая по возраст группам'!B61</f>
        <v>II юн</v>
      </c>
      <c r="I49" s="2147" t="str">
        <f>'Техническая по возраст группам'!I61</f>
        <v>Фамилия_1 Имя Отчество</v>
      </c>
      <c r="J49" s="2708"/>
      <c r="K49" s="501"/>
    </row>
    <row r="50" spans="1:11" s="496" customFormat="1" ht="21" customHeight="1" x14ac:dyDescent="0.25">
      <c r="A50" s="492">
        <v>42</v>
      </c>
      <c r="B50" s="2370" t="str">
        <f>'Техническая по возраст группам'!C62</f>
        <v>Юноши</v>
      </c>
      <c r="C50" s="2702"/>
      <c r="D50" s="640" t="str">
        <f>'Техническая по возраст группам'!D62</f>
        <v xml:space="preserve"> </v>
      </c>
      <c r="E50" s="500">
        <f>'Техническая по возраст группам'!E62</f>
        <v>0</v>
      </c>
      <c r="F50" s="495" t="str">
        <f>IF('Техническая по возраст группам'!G62="Ж", "спортсменка", IF('Техническая по возраст группам'!G62="М", "спортсмен", "не понятно кто"))</f>
        <v>спортсмен</v>
      </c>
      <c r="G50" s="495" t="str">
        <f ca="1">'Техническая по возраст группам'!H62</f>
        <v>г.р.???</v>
      </c>
      <c r="H50" s="495" t="str">
        <f>'Техническая по возраст группам'!B62</f>
        <v>II юн</v>
      </c>
      <c r="I50" s="2147" t="str">
        <f>'Техническая по возраст группам'!I62</f>
        <v>Фамилия_1 Имя Отчество</v>
      </c>
      <c r="J50" s="2695"/>
      <c r="K50" s="501"/>
    </row>
    <row r="51" spans="1:11" s="496" customFormat="1" ht="21" customHeight="1" x14ac:dyDescent="0.25">
      <c r="A51" s="492">
        <v>43</v>
      </c>
      <c r="B51" s="2370" t="str">
        <f>'Техническая по возраст группам'!C63</f>
        <v>Юноши</v>
      </c>
      <c r="C51" s="2701"/>
      <c r="D51" s="640" t="str">
        <f>'Техническая по возраст группам'!D63</f>
        <v xml:space="preserve"> </v>
      </c>
      <c r="E51" s="500">
        <f>'Техническая по возраст группам'!E63</f>
        <v>0</v>
      </c>
      <c r="F51" s="495" t="str">
        <f>IF('Техническая по возраст группам'!G63="Ж", "спортсменка", IF('Техническая по возраст группам'!G63="М", "спортсмен", "не понятно кто"))</f>
        <v>спортсмен</v>
      </c>
      <c r="G51" s="495" t="str">
        <f ca="1">'Техническая по возраст группам'!H63</f>
        <v>г.р.???</v>
      </c>
      <c r="H51" s="495" t="str">
        <f>'Техническая по возраст группам'!B63</f>
        <v>II юн</v>
      </c>
      <c r="I51" s="2147" t="str">
        <f>'Техническая по возраст группам'!I63</f>
        <v>Фамилия_1 Имя Отчество</v>
      </c>
      <c r="J51" s="2694"/>
      <c r="K51" s="501"/>
    </row>
    <row r="52" spans="1:11" s="496" customFormat="1" ht="21" customHeight="1" x14ac:dyDescent="0.25">
      <c r="A52" s="492">
        <v>44</v>
      </c>
      <c r="B52" s="2370" t="str">
        <f>'Техническая по возраст группам'!C64</f>
        <v>Юноши</v>
      </c>
      <c r="C52" s="2700"/>
      <c r="D52" s="640" t="str">
        <f>'Техническая по возраст группам'!D64</f>
        <v xml:space="preserve"> </v>
      </c>
      <c r="E52" s="500">
        <f>'Техническая по возраст группам'!E64</f>
        <v>0</v>
      </c>
      <c r="F52" s="495" t="str">
        <f>IF('Техническая по возраст группам'!G64="Ж", "спортсменка", IF('Техническая по возраст группам'!G64="М", "спортсмен", "не понятно кто"))</f>
        <v>спортсмен</v>
      </c>
      <c r="G52" s="495" t="str">
        <f ca="1">'Техническая по возраст группам'!H64</f>
        <v>г.р.???</v>
      </c>
      <c r="H52" s="495" t="str">
        <f>'Техническая по возраст группам'!B64</f>
        <v>II юн</v>
      </c>
      <c r="I52" s="2147" t="str">
        <f>'Техническая по возраст группам'!I64</f>
        <v>Фамилия_1 Имя Отчество</v>
      </c>
      <c r="J52" s="2693"/>
      <c r="K52" s="501"/>
    </row>
    <row r="53" spans="1:11" s="496" customFormat="1" ht="21" customHeight="1" x14ac:dyDescent="0.25">
      <c r="A53" s="492">
        <v>45</v>
      </c>
      <c r="B53" s="2370" t="str">
        <f>'Техническая по возраст группам'!C65</f>
        <v>Юноши</v>
      </c>
      <c r="C53" s="2699"/>
      <c r="D53" s="640" t="str">
        <f>'Техническая по возраст группам'!D65</f>
        <v xml:space="preserve"> </v>
      </c>
      <c r="E53" s="500">
        <f>'Техническая по возраст группам'!E65</f>
        <v>0</v>
      </c>
      <c r="F53" s="495" t="str">
        <f>IF('Техническая по возраст группам'!G65="Ж", "спортсменка", IF('Техническая по возраст группам'!G65="М", "спортсмен", "не понятно кто"))</f>
        <v>спортсмен</v>
      </c>
      <c r="G53" s="495" t="str">
        <f ca="1">'Техническая по возраст группам'!H65</f>
        <v>г.р.???</v>
      </c>
      <c r="H53" s="495" t="str">
        <f>'Техническая по возраст группам'!B65</f>
        <v>II юн</v>
      </c>
      <c r="I53" s="2147" t="str">
        <f>'Техническая по возраст группам'!I65</f>
        <v>Фамилия_1 Имя Отчество</v>
      </c>
      <c r="J53" s="2692"/>
      <c r="K53" s="501"/>
    </row>
    <row r="54" spans="1:11" s="496" customFormat="1" ht="21" customHeight="1" x14ac:dyDescent="0.25">
      <c r="A54" s="492">
        <v>46</v>
      </c>
      <c r="B54" s="2370" t="str">
        <f>'Техническая по возраст группам'!C66</f>
        <v>Юноши</v>
      </c>
      <c r="C54" s="2698"/>
      <c r="D54" s="640" t="str">
        <f>'Техническая по возраст группам'!D66</f>
        <v xml:space="preserve"> </v>
      </c>
      <c r="E54" s="500">
        <f>'Техническая по возраст группам'!E66</f>
        <v>0</v>
      </c>
      <c r="F54" s="495" t="str">
        <f>IF('Техническая по возраст группам'!G66="Ж", "спортсменка", IF('Техническая по возраст группам'!G66="М", "спортсмен", "не понятно кто"))</f>
        <v>спортсмен</v>
      </c>
      <c r="G54" s="495" t="str">
        <f ca="1">'Техническая по возраст группам'!H66</f>
        <v>г.р.???</v>
      </c>
      <c r="H54" s="495" t="str">
        <f>'Техническая по возраст группам'!B66</f>
        <v>III юн</v>
      </c>
      <c r="I54" s="2147" t="str">
        <f>'Техническая по возраст группам'!I66</f>
        <v>Фамилия_1 Имя Отчество</v>
      </c>
      <c r="J54" s="2691"/>
      <c r="K54" s="501"/>
    </row>
    <row r="55" spans="1:11" s="496" customFormat="1" ht="21" customHeight="1" x14ac:dyDescent="0.25">
      <c r="A55" s="492">
        <v>47</v>
      </c>
      <c r="B55" s="2370" t="str">
        <f>'Техническая по возраст группам'!C67</f>
        <v>Юноши</v>
      </c>
      <c r="C55" s="2697"/>
      <c r="D55" s="640" t="str">
        <f>'Техническая по возраст группам'!D67</f>
        <v xml:space="preserve"> </v>
      </c>
      <c r="E55" s="500">
        <f>'Техническая по возраст группам'!E67</f>
        <v>0</v>
      </c>
      <c r="F55" s="495" t="str">
        <f>IF('Техническая по возраст группам'!G67="Ж", "спортсменка", IF('Техническая по возраст группам'!G67="М", "спортсмен", "не понятно кто"))</f>
        <v>спортсмен</v>
      </c>
      <c r="G55" s="495" t="str">
        <f ca="1">'Техническая по возраст группам'!H67</f>
        <v>г.р.???</v>
      </c>
      <c r="H55" s="495" t="str">
        <f>'Техническая по возраст группам'!B67</f>
        <v>I юн</v>
      </c>
      <c r="I55" s="2147" t="str">
        <f>'Техническая по возраст группам'!I67</f>
        <v>Фамилия_1 Имя Отчество</v>
      </c>
      <c r="J55" s="2690"/>
      <c r="K55" s="501"/>
    </row>
    <row r="56" spans="1:11" s="496" customFormat="1" ht="21" customHeight="1" x14ac:dyDescent="0.25">
      <c r="A56" s="492">
        <v>48</v>
      </c>
      <c r="B56" s="2370" t="str">
        <f>'Техническая по возраст группам'!C68</f>
        <v>Юноши</v>
      </c>
      <c r="C56" s="2696"/>
      <c r="D56" s="640" t="str">
        <f>'Техническая по возраст группам'!D68</f>
        <v xml:space="preserve"> </v>
      </c>
      <c r="E56" s="500">
        <f>'Техническая по возраст группам'!E68</f>
        <v>0</v>
      </c>
      <c r="F56" s="495" t="str">
        <f>IF('Техническая по возраст группам'!G68="Ж", "спортсменка", IF('Техническая по возраст группам'!G68="М", "спортсмен", "не понятно кто"))</f>
        <v>спортсмен</v>
      </c>
      <c r="G56" s="495" t="str">
        <f ca="1">'Техническая по возраст группам'!H68</f>
        <v>г.р.???</v>
      </c>
      <c r="H56" s="495" t="str">
        <f>'Техническая по возраст группам'!B68</f>
        <v>III</v>
      </c>
      <c r="I56" s="2147" t="str">
        <f>'Техническая по возраст группам'!I68</f>
        <v>Фамилия_1 Имя Отчество</v>
      </c>
      <c r="J56" s="2689"/>
      <c r="K56" s="501"/>
    </row>
    <row r="57" spans="1:11" s="496" customFormat="1" ht="21" customHeight="1" x14ac:dyDescent="0.25">
      <c r="A57" s="492">
        <v>49</v>
      </c>
      <c r="B57" s="2370" t="str">
        <f>'Техническая по возраст группам'!C69</f>
        <v>Юноши</v>
      </c>
      <c r="C57" s="2668"/>
      <c r="D57" s="640" t="str">
        <f>'Техническая по возраст группам'!D69</f>
        <v xml:space="preserve"> </v>
      </c>
      <c r="E57" s="500">
        <f>'Техническая по возраст группам'!E69</f>
        <v>0</v>
      </c>
      <c r="F57" s="495" t="str">
        <f>IF('Техническая по возраст группам'!G69="Ж", "спортсменка", IF('Техническая по возраст группам'!G69="М", "спортсмен", "не понятно кто"))</f>
        <v>спортсмен</v>
      </c>
      <c r="G57" s="495" t="str">
        <f ca="1">'Техническая по возраст группам'!H69</f>
        <v>г.р.???</v>
      </c>
      <c r="H57" s="495" t="str">
        <f>'Техническая по возраст группам'!B69</f>
        <v>I юн</v>
      </c>
      <c r="I57" s="2147" t="str">
        <f>'Техническая по возраст группам'!I69</f>
        <v>Фамилия_1 Имя Отчество</v>
      </c>
      <c r="J57" s="2688"/>
      <c r="K57" s="501"/>
    </row>
    <row r="58" spans="1:11" s="496" customFormat="1" ht="21" customHeight="1" x14ac:dyDescent="0.25">
      <c r="A58" s="492">
        <v>50</v>
      </c>
      <c r="B58" s="2370" t="str">
        <f>'Техническая по возраст группам'!C70</f>
        <v>Юноши</v>
      </c>
      <c r="C58" s="2669"/>
      <c r="D58" s="640" t="str">
        <f>'Техническая по возраст группам'!D70</f>
        <v xml:space="preserve"> </v>
      </c>
      <c r="E58" s="500">
        <f>'Техническая по возраст группам'!E70</f>
        <v>0</v>
      </c>
      <c r="F58" s="495" t="str">
        <f>IF('Техническая по возраст группам'!G70="Ж", "спортсменка", IF('Техническая по возраст группам'!G70="М", "спортсмен", "не понятно кто"))</f>
        <v>спортсмен</v>
      </c>
      <c r="G58" s="495" t="str">
        <f ca="1">'Техническая по возраст группам'!H70</f>
        <v>г.р.???</v>
      </c>
      <c r="H58" s="495" t="str">
        <f>'Техническая по возраст группам'!B70</f>
        <v>II юн</v>
      </c>
      <c r="I58" s="2147" t="str">
        <f>'Техническая по возраст группам'!I70</f>
        <v>Фамилия_1 Имя Отчество</v>
      </c>
      <c r="J58" s="2687"/>
      <c r="K58" s="501"/>
    </row>
    <row r="59" spans="1:11" ht="12" customHeight="1" x14ac:dyDescent="0.25">
      <c r="A59" s="490"/>
      <c r="B59" s="502"/>
      <c r="C59" s="502"/>
      <c r="D59" s="489"/>
      <c r="E59" s="490"/>
      <c r="F59" s="490"/>
      <c r="G59" s="490"/>
      <c r="H59" s="503"/>
      <c r="I59" s="641"/>
      <c r="J59" s="488"/>
      <c r="K59" s="489"/>
    </row>
    <row r="60" spans="1:11" s="496" customFormat="1" ht="24.75" customHeight="1" x14ac:dyDescent="0.3">
      <c r="A60" s="504"/>
      <c r="B60" s="485" t="s">
        <v>665</v>
      </c>
      <c r="C60" s="485"/>
      <c r="D60" s="505" t="str">
        <f>'Техническая по возраст группам'!E75</f>
        <v>Фамилия_1 Имя Отчество</v>
      </c>
      <c r="E60" s="506"/>
      <c r="F60" s="506"/>
      <c r="G60" s="485" t="s">
        <v>666</v>
      </c>
      <c r="H60" s="2203"/>
      <c r="I60" s="2680"/>
      <c r="J60" s="2681"/>
      <c r="K60" s="2682"/>
    </row>
    <row r="61" spans="1:11" s="496" customFormat="1" ht="24.75" customHeight="1" x14ac:dyDescent="0.3">
      <c r="A61" s="490"/>
      <c r="B61" s="147"/>
      <c r="C61" s="147"/>
      <c r="D61" s="505" t="str">
        <f>'Техническая по возраст группам'!E76</f>
        <v>Фамилия_2 Имя Отчество</v>
      </c>
      <c r="E61" s="507"/>
      <c r="F61" s="507"/>
      <c r="G61" s="243"/>
      <c r="H61" s="2196"/>
      <c r="I61" s="2677"/>
      <c r="J61" s="2678"/>
      <c r="K61" s="2679"/>
    </row>
    <row r="62" spans="1:11" s="496" customFormat="1" ht="24.75" customHeight="1" x14ac:dyDescent="0.3">
      <c r="A62" s="490"/>
      <c r="B62" s="147"/>
      <c r="C62" s="147"/>
      <c r="D62" s="505" t="str">
        <f>'Техническая по возраст группам'!E77</f>
        <v>Фамилия_3 Имя Отчество</v>
      </c>
      <c r="E62" s="507"/>
      <c r="F62" s="507"/>
      <c r="G62" s="243"/>
      <c r="H62" s="2196"/>
      <c r="I62" s="2674"/>
      <c r="J62" s="2675"/>
      <c r="K62" s="2676"/>
    </row>
    <row r="63" spans="1:11" s="496" customFormat="1" ht="21" customHeight="1" x14ac:dyDescent="0.3">
      <c r="A63" s="243"/>
      <c r="B63" s="147"/>
      <c r="C63" s="147"/>
      <c r="D63" s="147"/>
      <c r="E63" s="243"/>
      <c r="F63" s="243"/>
      <c r="G63" s="243"/>
      <c r="H63" s="243"/>
      <c r="I63" s="243"/>
      <c r="J63" s="243"/>
      <c r="K63" s="508"/>
    </row>
    <row r="64" spans="1:11" s="496" customFormat="1" ht="17.25" customHeight="1" x14ac:dyDescent="0.3">
      <c r="D64" s="509" t="s">
        <v>667</v>
      </c>
      <c r="E64" s="506"/>
      <c r="F64" s="506"/>
      <c r="G64" s="506"/>
      <c r="H64" s="2192" t="str">
        <f>'Техническая по возраст группам'!E75</f>
        <v>Фамилия_1 Имя Отчество</v>
      </c>
      <c r="I64" s="2671"/>
      <c r="J64" s="2672"/>
      <c r="K64" s="2673"/>
    </row>
    <row r="65" spans="1:11" s="510" customFormat="1" ht="12.75" customHeight="1" x14ac:dyDescent="0.25">
      <c r="A65" s="511"/>
      <c r="B65" s="511"/>
      <c r="C65" s="511"/>
      <c r="F65" s="512" t="s">
        <v>668</v>
      </c>
      <c r="G65" s="513"/>
      <c r="H65" s="512"/>
      <c r="I65" s="512"/>
      <c r="J65" s="512" t="s">
        <v>669</v>
      </c>
      <c r="K65" s="514"/>
    </row>
    <row r="66" spans="1:11" s="47" customFormat="1" ht="21" customHeight="1" x14ac:dyDescent="0.2">
      <c r="A66" s="4"/>
      <c r="B66" s="4"/>
      <c r="C66" s="4"/>
      <c r="F66" s="515"/>
      <c r="G66" s="516"/>
      <c r="H66" s="515"/>
      <c r="I66" s="515"/>
      <c r="J66" s="515"/>
      <c r="K66" s="517"/>
    </row>
    <row r="67" spans="1:11" s="496" customFormat="1" ht="19.5" x14ac:dyDescent="0.35">
      <c r="A67" s="518" t="s">
        <v>670</v>
      </c>
      <c r="B67" s="518"/>
      <c r="C67" s="518"/>
      <c r="D67" s="519"/>
      <c r="E67" s="520"/>
      <c r="F67" s="2373" t="s">
        <v>706</v>
      </c>
      <c r="G67" s="2373"/>
      <c r="H67" s="521"/>
      <c r="I67" s="521"/>
      <c r="J67" s="2187"/>
      <c r="K67" s="2670"/>
    </row>
    <row r="68" spans="1:11" s="513" customFormat="1" ht="12" x14ac:dyDescent="0.25">
      <c r="A68" s="522"/>
      <c r="B68" s="522"/>
      <c r="C68" s="522"/>
      <c r="E68" s="522"/>
      <c r="F68" s="512"/>
      <c r="I68" s="512" t="s">
        <v>668</v>
      </c>
      <c r="J68" s="512"/>
      <c r="K68" s="512" t="s">
        <v>669</v>
      </c>
    </row>
    <row r="70" spans="1:11" s="496" customFormat="1" ht="33.75" customHeight="1" x14ac:dyDescent="0.35">
      <c r="A70" s="2186" t="s">
        <v>673</v>
      </c>
      <c r="B70" s="2186"/>
      <c r="C70" s="2186"/>
      <c r="D70" s="2186"/>
      <c r="E70" s="523"/>
      <c r="F70" s="523"/>
      <c r="G70" s="523"/>
      <c r="H70" s="523"/>
      <c r="I70" s="2187"/>
      <c r="J70" s="2683"/>
      <c r="K70" s="2684"/>
    </row>
    <row r="71" spans="1:11" s="510" customFormat="1" ht="12.75" customHeight="1" x14ac:dyDescent="0.25">
      <c r="A71" s="511"/>
      <c r="B71" s="511"/>
      <c r="C71" s="511"/>
      <c r="F71" s="512" t="s">
        <v>668</v>
      </c>
      <c r="G71" s="513"/>
      <c r="H71" s="512"/>
      <c r="I71" s="512"/>
      <c r="J71" s="512" t="s">
        <v>669</v>
      </c>
      <c r="K71" s="514"/>
    </row>
    <row r="72" spans="1:11" s="496" customFormat="1" ht="12" customHeight="1" x14ac:dyDescent="0.25">
      <c r="A72" s="488"/>
      <c r="B72" s="490"/>
      <c r="C72" s="490"/>
      <c r="D72" s="490"/>
      <c r="E72" s="490"/>
      <c r="F72" s="490"/>
      <c r="G72" s="490"/>
      <c r="H72" s="490"/>
      <c r="I72" s="490"/>
      <c r="J72" s="490"/>
      <c r="K72" s="490"/>
    </row>
    <row r="73" spans="1:11" s="496" customFormat="1" ht="33.75" customHeight="1" x14ac:dyDescent="0.35">
      <c r="A73" s="2186" t="s">
        <v>674</v>
      </c>
      <c r="B73" s="2186"/>
      <c r="C73" s="2186"/>
      <c r="D73" s="2186"/>
      <c r="E73" s="523"/>
      <c r="F73" s="523"/>
      <c r="G73" s="523"/>
      <c r="H73" s="523"/>
      <c r="I73" s="2187"/>
      <c r="J73" s="2685"/>
      <c r="K73" s="2686"/>
    </row>
    <row r="74" spans="1:11" s="510" customFormat="1" ht="12.75" customHeight="1" x14ac:dyDescent="0.25">
      <c r="A74" s="511"/>
      <c r="B74" s="511"/>
      <c r="C74" s="511"/>
      <c r="F74" s="512" t="s">
        <v>668</v>
      </c>
      <c r="G74" s="513"/>
      <c r="H74" s="512"/>
      <c r="I74" s="512"/>
      <c r="J74" s="512" t="s">
        <v>669</v>
      </c>
      <c r="K74" s="514"/>
    </row>
    <row r="75" spans="1:11" s="496" customFormat="1" ht="12" customHeight="1" x14ac:dyDescent="0.25">
      <c r="A75" s="488"/>
      <c r="B75" s="488"/>
      <c r="C75" s="488"/>
      <c r="D75" s="490"/>
      <c r="E75" s="490"/>
      <c r="F75" s="490"/>
      <c r="G75" s="490"/>
      <c r="H75" s="490"/>
      <c r="I75" s="490"/>
      <c r="J75" s="490"/>
      <c r="K75" s="490"/>
    </row>
    <row r="76" spans="1:11" s="496" customFormat="1" ht="18.75" x14ac:dyDescent="0.3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</row>
  </sheetData>
  <mergeCells count="119">
    <mergeCell ref="I8:J8"/>
    <mergeCell ref="I9:J9"/>
    <mergeCell ref="I10:J10"/>
    <mergeCell ref="H1:K2"/>
    <mergeCell ref="B8:D8"/>
    <mergeCell ref="B15:C15"/>
    <mergeCell ref="B14:C14"/>
    <mergeCell ref="B13:C13"/>
    <mergeCell ref="B9:C9"/>
    <mergeCell ref="B12:C12"/>
    <mergeCell ref="B11:C11"/>
    <mergeCell ref="B10:C10"/>
    <mergeCell ref="A3:K3"/>
    <mergeCell ref="D4:K4"/>
    <mergeCell ref="A5:B5"/>
    <mergeCell ref="D5:K5"/>
    <mergeCell ref="A6:B6"/>
    <mergeCell ref="D6:I6"/>
    <mergeCell ref="B21:C21"/>
    <mergeCell ref="B20:C20"/>
    <mergeCell ref="B19:C19"/>
    <mergeCell ref="B18:C18"/>
    <mergeCell ref="B17:C17"/>
    <mergeCell ref="B16:C16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7:J27"/>
    <mergeCell ref="I26:J26"/>
    <mergeCell ref="I25:J25"/>
    <mergeCell ref="I24:J24"/>
    <mergeCell ref="I23:J23"/>
    <mergeCell ref="I22:J22"/>
    <mergeCell ref="B28:C28"/>
    <mergeCell ref="B27:C27"/>
    <mergeCell ref="B26:C26"/>
    <mergeCell ref="B25:C25"/>
    <mergeCell ref="B24:C24"/>
    <mergeCell ref="B23:C23"/>
    <mergeCell ref="B22:C22"/>
    <mergeCell ref="B32:C32"/>
    <mergeCell ref="B31:C31"/>
    <mergeCell ref="B30:C30"/>
    <mergeCell ref="B29:C29"/>
    <mergeCell ref="I32:J32"/>
    <mergeCell ref="I31:J31"/>
    <mergeCell ref="I30:J30"/>
    <mergeCell ref="I29:J29"/>
    <mergeCell ref="I28:J28"/>
    <mergeCell ref="I39:J39"/>
    <mergeCell ref="I38:J38"/>
    <mergeCell ref="I37:J37"/>
    <mergeCell ref="I36:J36"/>
    <mergeCell ref="I35:J35"/>
    <mergeCell ref="I34:J34"/>
    <mergeCell ref="I33:J33"/>
    <mergeCell ref="B39:C39"/>
    <mergeCell ref="B38:C38"/>
    <mergeCell ref="B37:C37"/>
    <mergeCell ref="B36:C36"/>
    <mergeCell ref="B35:C35"/>
    <mergeCell ref="B34:C34"/>
    <mergeCell ref="B33:C33"/>
    <mergeCell ref="I44:J44"/>
    <mergeCell ref="I43:J43"/>
    <mergeCell ref="I42:J42"/>
    <mergeCell ref="B44:C44"/>
    <mergeCell ref="B43:C43"/>
    <mergeCell ref="B42:C42"/>
    <mergeCell ref="B41:C41"/>
    <mergeCell ref="B40:C40"/>
    <mergeCell ref="I41:J41"/>
    <mergeCell ref="I40:J40"/>
    <mergeCell ref="B49:C49"/>
    <mergeCell ref="B48:C48"/>
    <mergeCell ref="B47:C47"/>
    <mergeCell ref="B46:C46"/>
    <mergeCell ref="B45:C45"/>
    <mergeCell ref="I49:J49"/>
    <mergeCell ref="I48:J48"/>
    <mergeCell ref="I47:J47"/>
    <mergeCell ref="I46:J46"/>
    <mergeCell ref="I45:J45"/>
    <mergeCell ref="I56:J56"/>
    <mergeCell ref="I55:J55"/>
    <mergeCell ref="I54:J54"/>
    <mergeCell ref="I53:J53"/>
    <mergeCell ref="I52:J52"/>
    <mergeCell ref="I51:J51"/>
    <mergeCell ref="I50:J50"/>
    <mergeCell ref="B56:C56"/>
    <mergeCell ref="B55:C55"/>
    <mergeCell ref="B54:C54"/>
    <mergeCell ref="B53:C53"/>
    <mergeCell ref="B52:C52"/>
    <mergeCell ref="B51:C51"/>
    <mergeCell ref="B50:C50"/>
    <mergeCell ref="A73:D73"/>
    <mergeCell ref="A70:D70"/>
    <mergeCell ref="B57:C57"/>
    <mergeCell ref="B58:C58"/>
    <mergeCell ref="F67:G67"/>
    <mergeCell ref="J67:K67"/>
    <mergeCell ref="H64:K64"/>
    <mergeCell ref="H62:K62"/>
    <mergeCell ref="H61:K61"/>
    <mergeCell ref="H60:K60"/>
    <mergeCell ref="I70:K70"/>
    <mergeCell ref="I73:K73"/>
    <mergeCell ref="I58:J58"/>
    <mergeCell ref="I57:J57"/>
  </mergeCells>
  <pageMargins left="0.31496062874794006" right="0.31496062874794006" top="0.55118107795715332" bottom="0.31496062874794006" header="0" footer="0.11811023205518723"/>
  <pageSetup paperSize="9" fitToWidth="0" fitToHeight="0" orientation="landscape"/>
  <headerFooter>
    <oddFooter>&amp;R&amp;8&amp;"Times New Roman,Regular"Стр. &amp;P из &amp;N&amp;12&amp;"-,Regular"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7"/>
  <sheetViews>
    <sheetView workbookViewId="0"/>
  </sheetViews>
  <sheetFormatPr defaultColWidth="9.140625" defaultRowHeight="15" x14ac:dyDescent="0.25"/>
  <cols>
    <col min="1" max="1" width="2.7109375" style="46" customWidth="1"/>
    <col min="2" max="2" width="6.42578125" style="46" customWidth="1"/>
    <col min="3" max="3" width="11.42578125" style="46" customWidth="1"/>
    <col min="4" max="4" width="5.28515625" style="46" customWidth="1"/>
    <col min="5" max="5" width="6.28515625" style="46" customWidth="1"/>
    <col min="6" max="6" width="8.5703125" style="46" customWidth="1"/>
    <col min="7" max="7" width="6" style="46" customWidth="1"/>
    <col min="8" max="8" width="15.28515625" style="46" customWidth="1"/>
    <col min="9" max="9" width="4.28515625" style="46" customWidth="1"/>
    <col min="10" max="10" width="2.7109375" style="46" customWidth="1"/>
    <col min="11" max="11" width="9.85546875" style="46" customWidth="1"/>
    <col min="12" max="12" width="3.7109375" style="46" customWidth="1"/>
    <col min="13" max="13" width="9.42578125" style="46" customWidth="1"/>
    <col min="14" max="14" width="3.140625" style="46" customWidth="1"/>
    <col min="15" max="15" width="3" style="46" customWidth="1"/>
    <col min="16" max="16" width="6.85546875" style="46" bestFit="1" customWidth="1"/>
    <col min="17" max="17" width="5.7109375" style="46" customWidth="1"/>
    <col min="18" max="18" width="7.7109375" style="46" customWidth="1"/>
    <col min="19" max="19" width="6.140625" style="46" bestFit="1" customWidth="1"/>
    <col min="20" max="20" width="6.140625" style="46" customWidth="1"/>
    <col min="21" max="21" width="7.5703125" style="46" bestFit="1" customWidth="1"/>
    <col min="22" max="22" width="2" style="46" customWidth="1"/>
    <col min="23" max="23" width="7" style="46" bestFit="1" customWidth="1"/>
    <col min="24" max="24" width="2" style="46" bestFit="1" customWidth="1"/>
    <col min="25" max="25" width="7" style="46" bestFit="1" customWidth="1"/>
    <col min="26" max="26" width="2.42578125" style="46" customWidth="1"/>
    <col min="27" max="27" width="5.85546875" style="46" customWidth="1"/>
    <col min="28" max="28" width="2.28515625" style="46" customWidth="1"/>
    <col min="29" max="29" width="5.85546875" style="46" customWidth="1"/>
    <col min="30" max="30" width="2.42578125" style="46" customWidth="1"/>
    <col min="31" max="31" width="5.85546875" style="46" customWidth="1"/>
    <col min="32" max="32" width="2.42578125" style="46" customWidth="1"/>
    <col min="33" max="33" width="5.85546875" style="46" customWidth="1"/>
    <col min="34" max="34" width="2" style="46" bestFit="1" customWidth="1"/>
    <col min="35" max="35" width="5.85546875" style="46" customWidth="1"/>
    <col min="36" max="36" width="2" style="46" bestFit="1" customWidth="1"/>
    <col min="37" max="37" width="5.85546875" style="46" customWidth="1"/>
    <col min="38" max="38" width="2" style="46" bestFit="1" customWidth="1"/>
    <col min="39" max="39" width="5.85546875" style="46" customWidth="1"/>
    <col min="40" max="40" width="2" style="46" bestFit="1" customWidth="1"/>
    <col min="41" max="41" width="2.5703125" style="46" bestFit="1" customWidth="1"/>
    <col min="42" max="42" width="5.7109375" style="46" customWidth="1"/>
    <col min="43" max="43" width="4.85546875" style="46" customWidth="1"/>
    <col min="44" max="44" width="6" style="46" customWidth="1"/>
    <col min="45" max="45" width="6.140625" style="46" customWidth="1"/>
    <col min="46" max="46" width="9.140625" style="46" bestFit="1" customWidth="1"/>
    <col min="47" max="16384" width="9.140625" style="46"/>
  </cols>
  <sheetData>
    <row r="1" spans="1:45" ht="19.5" x14ac:dyDescent="0.25">
      <c r="A1" s="39"/>
      <c r="B1" s="299" t="s">
        <v>572</v>
      </c>
      <c r="C1" s="87"/>
      <c r="D1" s="39"/>
      <c r="E1" s="96"/>
      <c r="F1" s="96"/>
      <c r="G1" s="87"/>
      <c r="H1" s="87"/>
      <c r="I1" s="87"/>
      <c r="J1" s="87"/>
      <c r="K1" s="87"/>
      <c r="L1" s="112"/>
      <c r="M1" s="112"/>
      <c r="N1" s="112"/>
      <c r="O1" s="112"/>
      <c r="P1" s="194"/>
      <c r="Q1" s="194"/>
      <c r="R1" s="194"/>
      <c r="S1" s="194"/>
      <c r="T1" s="195"/>
      <c r="U1" s="195"/>
      <c r="V1" s="195"/>
      <c r="W1" s="195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95"/>
      <c r="AJ1" s="202"/>
      <c r="AK1" s="195"/>
      <c r="AL1" s="202"/>
      <c r="AM1" s="195"/>
      <c r="AN1" s="96"/>
      <c r="AO1" s="96"/>
      <c r="AP1" s="96"/>
    </row>
    <row r="2" spans="1:45" s="300" customFormat="1" x14ac:dyDescent="0.25">
      <c r="A2" s="301"/>
      <c r="B2" s="302" t="s">
        <v>573</v>
      </c>
      <c r="C2" s="302"/>
      <c r="D2" s="301"/>
      <c r="E2" s="303"/>
      <c r="F2" s="303"/>
      <c r="G2" s="302"/>
      <c r="H2" s="302"/>
      <c r="I2" s="302"/>
      <c r="J2" s="302"/>
      <c r="K2" s="302"/>
      <c r="L2" s="304"/>
      <c r="M2" s="304"/>
      <c r="N2" s="304"/>
      <c r="O2" s="304"/>
      <c r="P2" s="305"/>
      <c r="Q2" s="305"/>
      <c r="R2" s="305"/>
      <c r="S2" s="305"/>
      <c r="T2" s="306"/>
      <c r="U2" s="306"/>
      <c r="V2" s="306"/>
      <c r="W2" s="306"/>
      <c r="X2" s="304"/>
      <c r="Y2" s="304"/>
      <c r="Z2" s="304"/>
      <c r="AA2" s="304"/>
      <c r="AB2" s="304"/>
      <c r="AC2" s="304"/>
      <c r="AD2" s="304"/>
      <c r="AE2" s="304"/>
      <c r="AF2" s="307"/>
      <c r="AG2" s="307"/>
      <c r="AH2" s="307"/>
      <c r="AI2" s="308"/>
      <c r="AJ2" s="309"/>
      <c r="AK2" s="308"/>
      <c r="AL2" s="309"/>
      <c r="AM2" s="308"/>
      <c r="AN2" s="310"/>
      <c r="AO2" s="311"/>
      <c r="AP2" s="311"/>
    </row>
    <row r="3" spans="1:45" s="300" customFormat="1" x14ac:dyDescent="0.25">
      <c r="A3" s="301"/>
      <c r="B3" s="302" t="s">
        <v>574</v>
      </c>
      <c r="C3" s="302"/>
      <c r="D3" s="301"/>
      <c r="E3" s="303"/>
      <c r="F3" s="303"/>
      <c r="G3" s="302"/>
      <c r="H3" s="302"/>
      <c r="I3" s="302"/>
      <c r="J3" s="302"/>
      <c r="K3" s="302"/>
      <c r="L3" s="304"/>
      <c r="M3" s="304"/>
      <c r="N3" s="304"/>
      <c r="O3" s="304"/>
      <c r="P3" s="305"/>
      <c r="Q3" s="305"/>
      <c r="R3" s="305"/>
      <c r="S3" s="305"/>
      <c r="T3" s="306"/>
      <c r="U3" s="306"/>
      <c r="V3" s="306"/>
      <c r="W3" s="306"/>
      <c r="X3" s="304"/>
      <c r="Y3" s="304"/>
      <c r="Z3" s="304"/>
      <c r="AA3" s="304"/>
      <c r="AB3" s="304"/>
      <c r="AC3" s="304"/>
      <c r="AD3" s="304"/>
      <c r="AE3" s="304"/>
      <c r="AF3" s="307"/>
      <c r="AG3" s="307"/>
      <c r="AH3" s="307"/>
      <c r="AI3" s="308"/>
      <c r="AJ3" s="309"/>
      <c r="AK3" s="308"/>
      <c r="AL3" s="309"/>
      <c r="AM3" s="308"/>
      <c r="AN3" s="310"/>
      <c r="AO3" s="311"/>
      <c r="AP3" s="311"/>
    </row>
    <row r="4" spans="1:45" s="300" customFormat="1" x14ac:dyDescent="0.25">
      <c r="A4" s="301"/>
      <c r="B4" s="2071" t="s">
        <v>575</v>
      </c>
      <c r="C4" s="2071"/>
      <c r="D4" s="2071"/>
      <c r="E4" s="2071"/>
      <c r="F4" s="2071"/>
      <c r="G4" s="2071"/>
      <c r="H4" s="2071"/>
      <c r="I4" s="2071"/>
      <c r="J4" s="2071"/>
      <c r="K4" s="2071"/>
      <c r="L4" s="2071"/>
      <c r="M4" s="2071"/>
      <c r="N4" s="2071"/>
      <c r="O4" s="2071"/>
      <c r="P4" s="2071"/>
      <c r="Q4" s="2071"/>
      <c r="R4" s="2071"/>
      <c r="S4" s="2071"/>
      <c r="T4" s="2071"/>
      <c r="U4" s="2071"/>
      <c r="V4" s="2071"/>
      <c r="W4" s="2071"/>
      <c r="X4" s="2071"/>
      <c r="Y4" s="2071"/>
      <c r="Z4" s="2071"/>
      <c r="AA4" s="2071"/>
      <c r="AB4" s="2071"/>
      <c r="AC4" s="2071"/>
      <c r="AD4" s="304"/>
      <c r="AE4" s="304"/>
      <c r="AF4" s="307"/>
      <c r="AG4" s="307"/>
      <c r="AH4" s="307"/>
      <c r="AI4" s="308"/>
      <c r="AJ4" s="309"/>
      <c r="AK4" s="308"/>
      <c r="AL4" s="309"/>
      <c r="AM4" s="308"/>
      <c r="AN4" s="310"/>
      <c r="AO4" s="311"/>
      <c r="AP4" s="311"/>
    </row>
    <row r="5" spans="1:45" s="300" customFormat="1" x14ac:dyDescent="0.25">
      <c r="A5" s="301"/>
      <c r="B5" s="2071"/>
      <c r="C5" s="2071"/>
      <c r="D5" s="2071"/>
      <c r="E5" s="2071"/>
      <c r="F5" s="2071"/>
      <c r="G5" s="2071"/>
      <c r="H5" s="2071"/>
      <c r="I5" s="2071"/>
      <c r="J5" s="2071"/>
      <c r="K5" s="2071"/>
      <c r="L5" s="2071"/>
      <c r="M5" s="2071"/>
      <c r="N5" s="2071"/>
      <c r="O5" s="2071"/>
      <c r="P5" s="2071"/>
      <c r="Q5" s="2071"/>
      <c r="R5" s="2071"/>
      <c r="S5" s="2071"/>
      <c r="T5" s="2071"/>
      <c r="U5" s="2071"/>
      <c r="V5" s="2071"/>
      <c r="W5" s="2071"/>
      <c r="X5" s="2071"/>
      <c r="Y5" s="2071"/>
      <c r="Z5" s="2071"/>
      <c r="AA5" s="2071"/>
      <c r="AB5" s="2071"/>
      <c r="AC5" s="2071"/>
      <c r="AD5" s="304"/>
      <c r="AE5" s="304"/>
      <c r="AF5" s="307"/>
      <c r="AG5" s="307"/>
      <c r="AH5" s="307"/>
      <c r="AI5" s="308"/>
      <c r="AJ5" s="309"/>
      <c r="AK5" s="308"/>
      <c r="AL5" s="309"/>
      <c r="AM5" s="308"/>
      <c r="AN5" s="310"/>
      <c r="AO5" s="311"/>
      <c r="AP5" s="311"/>
    </row>
    <row r="6" spans="1:45" s="300" customFormat="1" x14ac:dyDescent="0.25">
      <c r="A6" s="301"/>
      <c r="B6" s="302" t="s">
        <v>576</v>
      </c>
      <c r="C6" s="302"/>
      <c r="D6" s="301"/>
      <c r="E6" s="303"/>
      <c r="F6" s="303"/>
      <c r="G6" s="302"/>
      <c r="H6" s="302"/>
      <c r="I6" s="302"/>
      <c r="J6" s="302"/>
      <c r="K6" s="302"/>
      <c r="L6" s="304"/>
      <c r="M6" s="304"/>
      <c r="N6" s="304"/>
      <c r="O6" s="304"/>
      <c r="P6" s="305"/>
      <c r="Q6" s="305"/>
      <c r="R6" s="305"/>
      <c r="S6" s="305"/>
      <c r="T6" s="306"/>
      <c r="U6" s="306"/>
      <c r="V6" s="306"/>
      <c r="W6" s="306"/>
      <c r="X6" s="304"/>
      <c r="Y6" s="304"/>
      <c r="Z6" s="304"/>
      <c r="AA6" s="304"/>
      <c r="AB6" s="304"/>
      <c r="AC6" s="304"/>
      <c r="AD6" s="304"/>
      <c r="AE6" s="304"/>
      <c r="AF6" s="307"/>
      <c r="AG6" s="307"/>
      <c r="AH6" s="307"/>
      <c r="AI6" s="308"/>
      <c r="AJ6" s="309"/>
      <c r="AK6" s="308"/>
      <c r="AL6" s="309"/>
      <c r="AM6" s="308"/>
      <c r="AN6" s="310"/>
      <c r="AO6" s="311"/>
      <c r="AP6" s="311"/>
    </row>
    <row r="7" spans="1:45" s="300" customFormat="1" x14ac:dyDescent="0.25">
      <c r="A7" s="301"/>
      <c r="B7" s="2071" t="s">
        <v>577</v>
      </c>
      <c r="C7" s="2071"/>
      <c r="D7" s="2071"/>
      <c r="E7" s="2071"/>
      <c r="F7" s="2071"/>
      <c r="G7" s="2071"/>
      <c r="H7" s="2071"/>
      <c r="I7" s="2071"/>
      <c r="J7" s="2071"/>
      <c r="K7" s="2071"/>
      <c r="L7" s="2071"/>
      <c r="M7" s="2071"/>
      <c r="N7" s="2071"/>
      <c r="O7" s="2071"/>
      <c r="P7" s="2071"/>
      <c r="Q7" s="2071"/>
      <c r="R7" s="2071"/>
      <c r="S7" s="2071"/>
      <c r="T7" s="2071"/>
      <c r="U7" s="2071"/>
      <c r="V7" s="2071"/>
      <c r="W7" s="2071"/>
      <c r="X7" s="2071"/>
      <c r="Y7" s="2071"/>
      <c r="Z7" s="2071"/>
      <c r="AA7" s="2071"/>
      <c r="AB7" s="2071"/>
      <c r="AC7" s="2071"/>
      <c r="AD7" s="304"/>
      <c r="AE7" s="304"/>
      <c r="AF7" s="307"/>
      <c r="AG7" s="307"/>
      <c r="AH7" s="307"/>
      <c r="AI7" s="308"/>
      <c r="AJ7" s="309"/>
      <c r="AK7" s="308"/>
      <c r="AL7" s="309"/>
      <c r="AM7" s="308"/>
      <c r="AN7" s="310"/>
      <c r="AO7" s="311"/>
      <c r="AP7" s="311"/>
    </row>
    <row r="8" spans="1:45" s="300" customFormat="1" x14ac:dyDescent="0.25">
      <c r="A8" s="301"/>
      <c r="B8" s="2071"/>
      <c r="C8" s="2071"/>
      <c r="D8" s="2071"/>
      <c r="E8" s="2071"/>
      <c r="F8" s="2071"/>
      <c r="G8" s="2071"/>
      <c r="H8" s="2071"/>
      <c r="I8" s="2071"/>
      <c r="J8" s="2071"/>
      <c r="K8" s="2071"/>
      <c r="L8" s="2071"/>
      <c r="M8" s="2071"/>
      <c r="N8" s="2071"/>
      <c r="O8" s="2071"/>
      <c r="P8" s="2071"/>
      <c r="Q8" s="2071"/>
      <c r="R8" s="2071"/>
      <c r="S8" s="2071"/>
      <c r="T8" s="2071"/>
      <c r="U8" s="2071"/>
      <c r="V8" s="2071"/>
      <c r="W8" s="2071"/>
      <c r="X8" s="2071"/>
      <c r="Y8" s="2071"/>
      <c r="Z8" s="2071"/>
      <c r="AA8" s="2071"/>
      <c r="AB8" s="2071"/>
      <c r="AC8" s="2071"/>
      <c r="AD8" s="304"/>
      <c r="AE8" s="304"/>
      <c r="AF8" s="307"/>
      <c r="AG8" s="307"/>
      <c r="AH8" s="307"/>
      <c r="AI8" s="308"/>
      <c r="AJ8" s="309"/>
      <c r="AK8" s="308"/>
      <c r="AL8" s="309"/>
      <c r="AM8" s="308"/>
      <c r="AN8" s="310"/>
      <c r="AO8" s="311"/>
      <c r="AP8" s="311"/>
    </row>
    <row r="9" spans="1:45" x14ac:dyDescent="0.25">
      <c r="A9" s="39"/>
      <c r="B9" s="87"/>
      <c r="C9" s="87"/>
      <c r="D9" s="39"/>
      <c r="E9" s="96"/>
      <c r="F9" s="96"/>
      <c r="G9" s="87"/>
      <c r="H9" s="87"/>
      <c r="I9" s="87"/>
      <c r="J9" s="87"/>
      <c r="K9" s="87"/>
      <c r="L9" s="112"/>
      <c r="M9" s="112"/>
      <c r="N9" s="112"/>
      <c r="O9" s="112"/>
      <c r="P9" s="194"/>
      <c r="Q9" s="194"/>
      <c r="R9" s="194"/>
      <c r="S9" s="194"/>
      <c r="T9" s="195"/>
      <c r="U9" s="195"/>
      <c r="V9" s="195"/>
      <c r="W9" s="195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202"/>
      <c r="AL9" s="195"/>
      <c r="AM9" s="202"/>
      <c r="AN9" s="195"/>
      <c r="AO9" s="202"/>
      <c r="AP9" s="195"/>
      <c r="AQ9" s="96"/>
      <c r="AR9" s="96"/>
      <c r="AS9" s="96"/>
    </row>
    <row r="10" spans="1:45" ht="15.75" x14ac:dyDescent="0.25">
      <c r="A10" s="313"/>
      <c r="B10" s="314" t="s">
        <v>578</v>
      </c>
      <c r="C10" s="315"/>
      <c r="D10" s="315"/>
      <c r="E10" s="316"/>
      <c r="F10" s="317"/>
      <c r="G10" s="315"/>
      <c r="H10" s="2072" t="s">
        <v>579</v>
      </c>
      <c r="I10" s="2822"/>
      <c r="J10" s="2823"/>
      <c r="K10" s="2824"/>
      <c r="L10" s="2825"/>
      <c r="M10" s="2826"/>
      <c r="N10" s="2827"/>
      <c r="O10" s="2828"/>
      <c r="P10" s="2018" t="s">
        <v>246</v>
      </c>
      <c r="Q10" s="2907"/>
      <c r="R10" s="2908"/>
      <c r="S10" s="2909"/>
      <c r="T10" s="2910"/>
      <c r="U10" s="2028" t="s">
        <v>580</v>
      </c>
      <c r="V10" s="2829"/>
      <c r="W10" s="2830"/>
      <c r="X10" s="2831"/>
      <c r="Y10" s="2832"/>
      <c r="Z10" s="2833"/>
      <c r="AA10" s="2834"/>
      <c r="AB10" s="2835"/>
      <c r="AC10" s="2836"/>
      <c r="AD10" s="2880" t="s">
        <v>581</v>
      </c>
      <c r="AE10" s="2881"/>
      <c r="AF10" s="2882"/>
      <c r="AG10" s="2883"/>
      <c r="AH10" s="2884"/>
      <c r="AI10" s="2885"/>
      <c r="AJ10" s="2886"/>
      <c r="AK10" s="2887"/>
      <c r="AL10" s="2888"/>
      <c r="AM10" s="2889"/>
      <c r="AN10" s="2890"/>
      <c r="AO10" s="318"/>
      <c r="AP10" s="96"/>
      <c r="AQ10" s="96"/>
      <c r="AR10" s="96"/>
    </row>
    <row r="11" spans="1:45" ht="15.75" x14ac:dyDescent="0.25">
      <c r="A11" s="313"/>
      <c r="B11" s="319" t="s">
        <v>582</v>
      </c>
      <c r="C11" s="320"/>
      <c r="D11" s="321" t="s">
        <v>583</v>
      </c>
      <c r="E11" s="322">
        <v>7</v>
      </c>
      <c r="F11" s="321" t="s">
        <v>584</v>
      </c>
      <c r="G11" s="323">
        <v>3</v>
      </c>
      <c r="H11" s="324" t="s">
        <v>260</v>
      </c>
      <c r="I11" s="2048" t="s">
        <v>79</v>
      </c>
      <c r="J11" s="2848"/>
      <c r="K11" s="2849"/>
      <c r="L11" s="2048" t="s">
        <v>94</v>
      </c>
      <c r="M11" s="2846"/>
      <c r="N11" s="2046" t="s">
        <v>158</v>
      </c>
      <c r="O11" s="2847"/>
      <c r="P11" s="2911"/>
      <c r="Q11" s="2912"/>
      <c r="R11" s="2913"/>
      <c r="S11" s="2914"/>
      <c r="T11" s="2915"/>
      <c r="U11" s="2837"/>
      <c r="V11" s="2838"/>
      <c r="W11" s="2839"/>
      <c r="X11" s="2840"/>
      <c r="Y11" s="2841"/>
      <c r="Z11" s="2842"/>
      <c r="AA11" s="2843"/>
      <c r="AB11" s="2844"/>
      <c r="AC11" s="2845"/>
      <c r="AD11" s="2891"/>
      <c r="AE11" s="2892"/>
      <c r="AF11" s="2892"/>
      <c r="AG11" s="2892"/>
      <c r="AH11" s="2892"/>
      <c r="AI11" s="2892"/>
      <c r="AJ11" s="2892"/>
      <c r="AK11" s="2892"/>
      <c r="AL11" s="2892"/>
      <c r="AM11" s="2892"/>
      <c r="AN11" s="2893"/>
      <c r="AO11" s="327"/>
      <c r="AP11" s="96"/>
      <c r="AQ11" s="96"/>
      <c r="AR11" s="96"/>
    </row>
    <row r="12" spans="1:45" ht="15.75" x14ac:dyDescent="0.25">
      <c r="A12" s="313"/>
      <c r="B12" s="315"/>
      <c r="C12" s="320"/>
      <c r="D12" s="321" t="s">
        <v>585</v>
      </c>
      <c r="E12" s="322">
        <v>7</v>
      </c>
      <c r="F12" s="321" t="s">
        <v>310</v>
      </c>
      <c r="G12" s="323">
        <v>2</v>
      </c>
      <c r="H12" s="324" t="s">
        <v>261</v>
      </c>
      <c r="I12" s="2048" t="s">
        <v>76</v>
      </c>
      <c r="J12" s="2850"/>
      <c r="K12" s="2851"/>
      <c r="L12" s="2048" t="s">
        <v>100</v>
      </c>
      <c r="M12" s="2852"/>
      <c r="N12" s="2046" t="s">
        <v>82</v>
      </c>
      <c r="O12" s="2853"/>
      <c r="P12" s="2018" t="s">
        <v>248</v>
      </c>
      <c r="Q12" s="2854"/>
      <c r="R12" s="2855"/>
      <c r="S12" s="2856"/>
      <c r="T12" s="2857"/>
      <c r="U12" s="2028" t="s">
        <v>586</v>
      </c>
      <c r="V12" s="2863"/>
      <c r="W12" s="2864"/>
      <c r="X12" s="2865"/>
      <c r="Y12" s="2866"/>
      <c r="Z12" s="2867"/>
      <c r="AA12" s="2868"/>
      <c r="AB12" s="2869"/>
      <c r="AC12" s="2870"/>
      <c r="AD12" s="2894"/>
      <c r="AE12" s="2892"/>
      <c r="AF12" s="2892"/>
      <c r="AG12" s="2892"/>
      <c r="AH12" s="2892"/>
      <c r="AI12" s="2892"/>
      <c r="AJ12" s="2892"/>
      <c r="AK12" s="2892"/>
      <c r="AL12" s="2892"/>
      <c r="AM12" s="2892"/>
      <c r="AN12" s="2895"/>
      <c r="AO12" s="318"/>
      <c r="AP12" s="96"/>
      <c r="AQ12" s="96"/>
      <c r="AR12" s="96"/>
    </row>
    <row r="13" spans="1:45" ht="15.75" x14ac:dyDescent="0.25">
      <c r="A13" s="313"/>
      <c r="B13" s="328"/>
      <c r="C13" s="313" t="s">
        <v>587</v>
      </c>
      <c r="D13" s="329" t="s">
        <v>588</v>
      </c>
      <c r="E13" s="331">
        <v>17</v>
      </c>
      <c r="F13" s="329" t="s">
        <v>589</v>
      </c>
      <c r="G13" s="330">
        <v>14</v>
      </c>
      <c r="H13" s="332" t="s">
        <v>262</v>
      </c>
      <c r="I13" s="1981" t="s">
        <v>84</v>
      </c>
      <c r="J13" s="2809"/>
      <c r="K13" s="2810"/>
      <c r="L13" s="1981" t="s">
        <v>117</v>
      </c>
      <c r="M13" s="2808"/>
      <c r="N13" s="1985"/>
      <c r="O13" s="2807"/>
      <c r="P13" s="2858"/>
      <c r="Q13" s="2859"/>
      <c r="R13" s="2860"/>
      <c r="S13" s="2861"/>
      <c r="T13" s="2862"/>
      <c r="U13" s="2871"/>
      <c r="V13" s="2872"/>
      <c r="W13" s="2873"/>
      <c r="X13" s="2874"/>
      <c r="Y13" s="2875"/>
      <c r="Z13" s="2876"/>
      <c r="AA13" s="2877"/>
      <c r="AB13" s="2878"/>
      <c r="AC13" s="2879"/>
      <c r="AD13" s="2896"/>
      <c r="AE13" s="2897"/>
      <c r="AF13" s="2898"/>
      <c r="AG13" s="2899"/>
      <c r="AH13" s="2900"/>
      <c r="AI13" s="2901"/>
      <c r="AJ13" s="2902"/>
      <c r="AK13" s="2903"/>
      <c r="AL13" s="2904"/>
      <c r="AM13" s="2905"/>
      <c r="AN13" s="2906"/>
      <c r="AO13" s="195"/>
      <c r="AP13" s="96"/>
      <c r="AQ13" s="96"/>
      <c r="AR13" s="96"/>
    </row>
    <row r="14" spans="1:45" ht="25.5" x14ac:dyDescent="0.25">
      <c r="A14" s="1980" t="s">
        <v>590</v>
      </c>
      <c r="B14" s="1980"/>
      <c r="C14" s="1980"/>
      <c r="D14" s="1980"/>
      <c r="E14" s="1980"/>
      <c r="F14" s="1980"/>
      <c r="G14" s="1980"/>
      <c r="H14" s="1980"/>
      <c r="I14" s="1980"/>
      <c r="J14" s="1980"/>
      <c r="K14" s="1980"/>
      <c r="L14" s="1980"/>
      <c r="M14" s="1980"/>
      <c r="N14" s="1980"/>
      <c r="O14" s="1980"/>
      <c r="P14" s="1980"/>
      <c r="Q14" s="1980"/>
      <c r="R14" s="1980"/>
      <c r="S14" s="1980"/>
      <c r="T14" s="1980"/>
      <c r="U14" s="1980"/>
      <c r="V14" s="1980"/>
      <c r="W14" s="1980"/>
      <c r="X14" s="1980"/>
      <c r="Y14" s="1980"/>
      <c r="Z14" s="1980"/>
      <c r="AA14" s="1980"/>
      <c r="AB14" s="1980"/>
      <c r="AC14" s="1980"/>
      <c r="AD14" s="1980"/>
      <c r="AE14" s="1980"/>
      <c r="AF14" s="1980"/>
      <c r="AG14" s="1980"/>
      <c r="AH14" s="1980"/>
      <c r="AI14" s="1980"/>
      <c r="AJ14" s="1980"/>
      <c r="AK14" s="1980"/>
      <c r="AL14" s="1980"/>
      <c r="AM14" s="1980"/>
      <c r="AN14" s="1980"/>
      <c r="AO14" s="333"/>
      <c r="AP14" s="333"/>
      <c r="AQ14" s="96"/>
      <c r="AR14" s="96"/>
      <c r="AS14" s="96"/>
    </row>
    <row r="15" spans="1:45" ht="15.75" x14ac:dyDescent="0.25">
      <c r="A15" s="193"/>
      <c r="B15" s="87"/>
      <c r="C15" s="334"/>
      <c r="D15" s="335" t="s">
        <v>591</v>
      </c>
      <c r="E15" s="336" t="s">
        <v>592</v>
      </c>
      <c r="F15" s="336"/>
      <c r="G15" s="334"/>
      <c r="H15" s="334"/>
      <c r="I15" s="334"/>
      <c r="J15" s="334"/>
      <c r="K15" s="334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112"/>
      <c r="Y15" s="112"/>
      <c r="Z15" s="112"/>
      <c r="AA15" s="112"/>
      <c r="AH15" s="112"/>
      <c r="AJ15" s="112"/>
      <c r="AP15" s="195"/>
      <c r="AQ15" s="96"/>
      <c r="AR15" s="96"/>
      <c r="AS15" s="96"/>
    </row>
    <row r="16" spans="1:45" ht="15.75" x14ac:dyDescent="0.25">
      <c r="A16" s="193"/>
      <c r="B16" s="87"/>
      <c r="C16" s="334"/>
      <c r="D16" s="335" t="s">
        <v>593</v>
      </c>
      <c r="E16" s="338" t="s">
        <v>594</v>
      </c>
      <c r="F16" s="336"/>
      <c r="G16" s="334"/>
      <c r="H16" s="334"/>
      <c r="I16" s="334"/>
      <c r="J16" s="334"/>
      <c r="K16" s="334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112"/>
      <c r="Y16" s="112"/>
      <c r="Z16" s="112"/>
      <c r="AA16" s="112"/>
      <c r="AD16" s="55"/>
      <c r="AG16" s="112"/>
      <c r="AH16" s="339"/>
      <c r="AI16" s="112"/>
      <c r="AJ16" s="112"/>
      <c r="AP16" s="195"/>
      <c r="AQ16" s="96"/>
      <c r="AR16" s="96"/>
      <c r="AS16" s="96"/>
    </row>
    <row r="17" spans="1:45" ht="15.75" x14ac:dyDescent="0.25">
      <c r="A17" s="193"/>
      <c r="B17" s="262"/>
      <c r="C17" s="262"/>
      <c r="D17" s="262"/>
      <c r="E17" s="340" t="s">
        <v>595</v>
      </c>
      <c r="G17" s="341" t="s">
        <v>596</v>
      </c>
      <c r="H17" s="342"/>
      <c r="I17" s="342"/>
      <c r="J17" s="342"/>
      <c r="K17" s="342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/>
      <c r="AF17" s="343"/>
      <c r="AG17" s="343"/>
      <c r="AH17" s="343"/>
      <c r="AI17" s="343"/>
      <c r="AJ17" s="343"/>
      <c r="AK17" s="344"/>
      <c r="AL17" s="345"/>
      <c r="AM17" s="345"/>
      <c r="AN17" s="345"/>
      <c r="AP17" s="318"/>
      <c r="AQ17" s="96"/>
      <c r="AR17" s="96"/>
      <c r="AS17" s="96"/>
    </row>
    <row r="18" spans="1:45" ht="15.75" x14ac:dyDescent="0.25">
      <c r="A18" s="193"/>
      <c r="B18" s="262"/>
      <c r="C18" s="262"/>
      <c r="D18" s="262"/>
      <c r="E18" s="340"/>
      <c r="G18" s="341"/>
      <c r="H18" s="262"/>
      <c r="I18" s="262"/>
      <c r="J18" s="262"/>
      <c r="K18" s="262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46"/>
      <c r="AP18" s="318"/>
      <c r="AQ18" s="96"/>
      <c r="AR18" s="96"/>
      <c r="AS18" s="96"/>
    </row>
    <row r="19" spans="1:45" ht="22.5" customHeight="1" x14ac:dyDescent="0.25">
      <c r="A19" s="2104" t="s">
        <v>6</v>
      </c>
      <c r="B19" s="2108" t="s">
        <v>597</v>
      </c>
      <c r="C19" s="2118" t="s">
        <v>598</v>
      </c>
      <c r="D19" s="2815"/>
      <c r="E19" s="2106" t="s">
        <v>599</v>
      </c>
      <c r="F19" s="2110" t="s">
        <v>70</v>
      </c>
      <c r="G19" s="2116" t="s">
        <v>600</v>
      </c>
      <c r="H19" s="2112" t="s">
        <v>601</v>
      </c>
      <c r="I19" s="2917" t="s">
        <v>602</v>
      </c>
      <c r="J19" s="2114" t="s">
        <v>603</v>
      </c>
      <c r="K19" s="2100" t="s">
        <v>713</v>
      </c>
      <c r="L19" s="2812"/>
      <c r="M19" s="2139" t="s">
        <v>608</v>
      </c>
      <c r="N19" s="2820"/>
      <c r="P19" s="18" t="s">
        <v>622</v>
      </c>
      <c r="Q19" s="18" t="s">
        <v>623</v>
      </c>
      <c r="R19" s="18" t="s">
        <v>603</v>
      </c>
    </row>
    <row r="20" spans="1:45" ht="16.5" x14ac:dyDescent="0.25">
      <c r="A20" s="2811"/>
      <c r="B20" s="2819"/>
      <c r="C20" s="2816"/>
      <c r="D20" s="2817"/>
      <c r="E20" s="2818"/>
      <c r="F20" s="2814"/>
      <c r="G20" s="2916"/>
      <c r="H20" s="2821"/>
      <c r="I20" s="2918"/>
      <c r="J20" s="2813"/>
      <c r="K20" s="357" t="s">
        <v>563</v>
      </c>
      <c r="L20" s="354" t="s">
        <v>610</v>
      </c>
      <c r="M20" s="679" t="s">
        <v>714</v>
      </c>
      <c r="N20" s="361" t="s">
        <v>618</v>
      </c>
      <c r="O20" s="54"/>
      <c r="P20" s="18" t="e">
        <f>SUMIFS(#REF!,#REF!, $B20,#REF!, $D20,#REF!, $F20)</f>
        <v>#REF!</v>
      </c>
      <c r="Q20" s="55" t="e">
        <f>COUNTIFS(#REF!, $B20,#REF!, $D20,#REF!, $F20,#REF!, "&gt;=0")</f>
        <v>#REF!</v>
      </c>
      <c r="R20" s="18" t="e">
        <f>COUNTIFS(#REF!, $B20,#REF!, $D20,#REF!, $F20,#REF!, "лично")</f>
        <v>#REF!</v>
      </c>
      <c r="T20" s="16"/>
    </row>
    <row r="21" spans="1:45" x14ac:dyDescent="0.25">
      <c r="A21" s="363">
        <v>1</v>
      </c>
      <c r="B21" s="364" t="s">
        <v>76</v>
      </c>
      <c r="C21" s="365" t="s">
        <v>264</v>
      </c>
      <c r="D21" s="366" t="s">
        <v>454</v>
      </c>
      <c r="E21" s="367">
        <v>36335</v>
      </c>
      <c r="F21" s="368" t="str">
        <f t="shared" ref="F21:F52" si="0">$E$16</f>
        <v>Сокращенное название</v>
      </c>
      <c r="G21" s="364" t="s">
        <v>624</v>
      </c>
      <c r="H21" s="369" t="str">
        <f>E76</f>
        <v>Фамилия_1 Имя Отчество</v>
      </c>
      <c r="I21" s="370">
        <f t="shared" ref="I21:I52" si="1">COUNTIF(K21:L21, "&gt;=0")-COUNTIF(K21:L21, "в")-COUNTIF(K21:L21, "л")</f>
        <v>0</v>
      </c>
      <c r="J21" s="371">
        <f t="shared" ref="J21:J52" si="2">COUNTIF(K21:L21, "л")</f>
        <v>0</v>
      </c>
      <c r="K21" s="372"/>
      <c r="L21" s="375"/>
      <c r="M21" s="372"/>
      <c r="N21" s="385"/>
      <c r="O21" s="54"/>
      <c r="P21" s="18" t="e">
        <f>SUMIFS(#REF!,#REF!, $C21,#REF!, $E21,#REF!, $F21)</f>
        <v>#REF!</v>
      </c>
      <c r="Q21" s="55" t="e">
        <f>COUNTIFS(#REF!, $C21,#REF!, $E21,#REF!, $F21,#REF!, "&gt;=0")</f>
        <v>#REF!</v>
      </c>
      <c r="R21" s="18" t="e">
        <f>COUNTIFS(#REF!, $C21,#REF!, $E21,#REF!, $F21,#REF!, "лично")</f>
        <v>#REF!</v>
      </c>
      <c r="T21" s="364" t="s">
        <v>260</v>
      </c>
      <c r="U21" s="56"/>
    </row>
    <row r="22" spans="1:45" x14ac:dyDescent="0.25">
      <c r="A22" s="363">
        <f t="shared" ref="A22:A53" si="3">A21+1</f>
        <v>2</v>
      </c>
      <c r="B22" s="364" t="s">
        <v>76</v>
      </c>
      <c r="C22" s="365" t="s">
        <v>264</v>
      </c>
      <c r="D22" s="366" t="s">
        <v>454</v>
      </c>
      <c r="E22" s="680"/>
      <c r="F22" s="368" t="str">
        <f t="shared" si="0"/>
        <v>Сокращенное название</v>
      </c>
      <c r="G22" s="364" t="s">
        <v>624</v>
      </c>
      <c r="H22" s="369" t="str">
        <f t="shared" ref="H22:H53" si="4">H21</f>
        <v>Фамилия_1 Имя Отчество</v>
      </c>
      <c r="I22" s="370">
        <f t="shared" si="1"/>
        <v>0</v>
      </c>
      <c r="J22" s="371">
        <f t="shared" si="2"/>
        <v>0</v>
      </c>
      <c r="K22" s="372"/>
      <c r="L22" s="375"/>
      <c r="M22" s="372"/>
      <c r="N22" s="385"/>
      <c r="O22" s="54"/>
      <c r="P22" s="18" t="e">
        <f>SUMIFS(#REF!,#REF!, $C22,#REF!, $E22,#REF!, $F22)</f>
        <v>#REF!</v>
      </c>
      <c r="Q22" s="55" t="e">
        <f>COUNTIFS(#REF!, $C22,#REF!, $E22,#REF!, $F22,#REF!, "&gt;=0")</f>
        <v>#REF!</v>
      </c>
      <c r="R22" s="18" t="e">
        <f>COUNTIFS(#REF!, $C22,#REF!, $E22,#REF!, $F22,#REF!, "лично")</f>
        <v>#REF!</v>
      </c>
      <c r="T22" s="364" t="s">
        <v>261</v>
      </c>
      <c r="U22" s="56"/>
    </row>
    <row r="23" spans="1:45" x14ac:dyDescent="0.25">
      <c r="A23" s="363">
        <f t="shared" si="3"/>
        <v>3</v>
      </c>
      <c r="B23" s="364" t="s">
        <v>260</v>
      </c>
      <c r="C23" s="365" t="s">
        <v>264</v>
      </c>
      <c r="D23" s="366" t="s">
        <v>454</v>
      </c>
      <c r="E23" s="680"/>
      <c r="F23" s="368" t="str">
        <f t="shared" si="0"/>
        <v>Сокращенное название</v>
      </c>
      <c r="G23" s="364" t="s">
        <v>624</v>
      </c>
      <c r="H23" s="369" t="str">
        <f t="shared" si="4"/>
        <v>Фамилия_1 Имя Отчество</v>
      </c>
      <c r="I23" s="370">
        <f t="shared" si="1"/>
        <v>0</v>
      </c>
      <c r="J23" s="371">
        <f t="shared" si="2"/>
        <v>0</v>
      </c>
      <c r="K23" s="372"/>
      <c r="L23" s="375"/>
      <c r="M23" s="372"/>
      <c r="N23" s="385"/>
      <c r="O23" s="54"/>
      <c r="P23" s="18" t="e">
        <f>SUMIFS(#REF!,#REF!, $C23,#REF!, $E23,#REF!, $F23)</f>
        <v>#REF!</v>
      </c>
      <c r="Q23" s="55" t="e">
        <f>COUNTIFS(#REF!, $C23,#REF!, $E23,#REF!, $F23,#REF!, "&gt;=0")</f>
        <v>#REF!</v>
      </c>
      <c r="R23" s="18" t="e">
        <f>COUNTIFS(#REF!, $C23,#REF!, $E23,#REF!, $F23,#REF!, "лично")</f>
        <v>#REF!</v>
      </c>
      <c r="T23" s="364" t="s">
        <v>262</v>
      </c>
      <c r="U23" s="56"/>
    </row>
    <row r="24" spans="1:45" x14ac:dyDescent="0.25">
      <c r="A24" s="363">
        <f t="shared" si="3"/>
        <v>4</v>
      </c>
      <c r="B24" s="364" t="s">
        <v>261</v>
      </c>
      <c r="C24" s="365" t="s">
        <v>264</v>
      </c>
      <c r="D24" s="366" t="s">
        <v>454</v>
      </c>
      <c r="E24" s="680"/>
      <c r="F24" s="368" t="str">
        <f t="shared" si="0"/>
        <v>Сокращенное название</v>
      </c>
      <c r="G24" s="364" t="s">
        <v>624</v>
      </c>
      <c r="H24" s="369" t="str">
        <f t="shared" si="4"/>
        <v>Фамилия_1 Имя Отчество</v>
      </c>
      <c r="I24" s="370">
        <f t="shared" si="1"/>
        <v>0</v>
      </c>
      <c r="J24" s="371">
        <f t="shared" si="2"/>
        <v>0</v>
      </c>
      <c r="K24" s="372"/>
      <c r="L24" s="375"/>
      <c r="M24" s="372"/>
      <c r="N24" s="385"/>
      <c r="O24" s="54"/>
      <c r="P24" s="18" t="e">
        <f>SUMIFS(#REF!,#REF!, $C24,#REF!, $E24,#REF!, $F24)</f>
        <v>#REF!</v>
      </c>
      <c r="Q24" s="55" t="e">
        <f>COUNTIFS(#REF!, $C24,#REF!, $E24,#REF!, $F24,#REF!, "&gt;=0")</f>
        <v>#REF!</v>
      </c>
      <c r="R24" s="18" t="e">
        <f>COUNTIFS(#REF!, $C24,#REF!, $E24,#REF!, $F24,#REF!, "лично")</f>
        <v>#REF!</v>
      </c>
      <c r="T24" s="364" t="s">
        <v>79</v>
      </c>
      <c r="U24" s="56"/>
    </row>
    <row r="25" spans="1:45" x14ac:dyDescent="0.25">
      <c r="A25" s="363">
        <f t="shared" si="3"/>
        <v>5</v>
      </c>
      <c r="B25" s="364" t="s">
        <v>262</v>
      </c>
      <c r="C25" s="365" t="s">
        <v>264</v>
      </c>
      <c r="D25" s="366" t="s">
        <v>454</v>
      </c>
      <c r="E25" s="680"/>
      <c r="F25" s="368" t="str">
        <f t="shared" si="0"/>
        <v>Сокращенное название</v>
      </c>
      <c r="G25" s="364" t="s">
        <v>624</v>
      </c>
      <c r="H25" s="369" t="str">
        <f t="shared" si="4"/>
        <v>Фамилия_1 Имя Отчество</v>
      </c>
      <c r="I25" s="370">
        <f t="shared" si="1"/>
        <v>0</v>
      </c>
      <c r="J25" s="371">
        <f t="shared" si="2"/>
        <v>0</v>
      </c>
      <c r="K25" s="372"/>
      <c r="L25" s="375"/>
      <c r="M25" s="372"/>
      <c r="N25" s="385"/>
      <c r="O25" s="54"/>
      <c r="P25" s="18" t="e">
        <f>SUMIFS(#REF!,#REF!, $C25,#REF!, $E25,#REF!, $F25)</f>
        <v>#REF!</v>
      </c>
      <c r="Q25" s="55" t="e">
        <f>COUNTIFS(#REF!, $C25,#REF!, $E25,#REF!, $F25,#REF!, "&gt;=0")</f>
        <v>#REF!</v>
      </c>
      <c r="R25" s="18" t="e">
        <f>COUNTIFS(#REF!, $C25,#REF!, $E25,#REF!, $F25,#REF!, "лично")</f>
        <v>#REF!</v>
      </c>
      <c r="T25" s="364" t="s">
        <v>76</v>
      </c>
      <c r="U25" s="56"/>
    </row>
    <row r="26" spans="1:45" x14ac:dyDescent="0.25">
      <c r="A26" s="363">
        <f t="shared" si="3"/>
        <v>6</v>
      </c>
      <c r="B26" s="364" t="s">
        <v>79</v>
      </c>
      <c r="C26" s="365" t="s">
        <v>264</v>
      </c>
      <c r="D26" s="366" t="s">
        <v>454</v>
      </c>
      <c r="E26" s="680"/>
      <c r="F26" s="368" t="str">
        <f t="shared" si="0"/>
        <v>Сокращенное название</v>
      </c>
      <c r="G26" s="364" t="s">
        <v>624</v>
      </c>
      <c r="H26" s="369" t="str">
        <f t="shared" si="4"/>
        <v>Фамилия_1 Имя Отчество</v>
      </c>
      <c r="I26" s="370">
        <f t="shared" si="1"/>
        <v>0</v>
      </c>
      <c r="J26" s="371">
        <f t="shared" si="2"/>
        <v>0</v>
      </c>
      <c r="K26" s="372"/>
      <c r="L26" s="375"/>
      <c r="M26" s="372"/>
      <c r="N26" s="385"/>
      <c r="O26" s="54"/>
      <c r="P26" s="18" t="e">
        <f>SUMIFS(#REF!,#REF!, $C26,#REF!, $E26,#REF!, $F26)</f>
        <v>#REF!</v>
      </c>
      <c r="Q26" s="55" t="e">
        <f>COUNTIFS(#REF!, $C26,#REF!, $E26,#REF!, $F26,#REF!, "&gt;=0")</f>
        <v>#REF!</v>
      </c>
      <c r="R26" s="18" t="e">
        <f>COUNTIFS(#REF!, $C26,#REF!, $E26,#REF!, $F26,#REF!, "лично")</f>
        <v>#REF!</v>
      </c>
      <c r="T26" s="364" t="s">
        <v>84</v>
      </c>
      <c r="U26" s="56"/>
    </row>
    <row r="27" spans="1:45" x14ac:dyDescent="0.25">
      <c r="A27" s="363">
        <f t="shared" si="3"/>
        <v>7</v>
      </c>
      <c r="B27" s="364" t="s">
        <v>76</v>
      </c>
      <c r="C27" s="365" t="s">
        <v>264</v>
      </c>
      <c r="D27" s="366" t="s">
        <v>454</v>
      </c>
      <c r="E27" s="680"/>
      <c r="F27" s="368" t="str">
        <f t="shared" si="0"/>
        <v>Сокращенное название</v>
      </c>
      <c r="G27" s="364" t="s">
        <v>624</v>
      </c>
      <c r="H27" s="369" t="str">
        <f t="shared" si="4"/>
        <v>Фамилия_1 Имя Отчество</v>
      </c>
      <c r="I27" s="370">
        <f t="shared" si="1"/>
        <v>0</v>
      </c>
      <c r="J27" s="371">
        <f t="shared" si="2"/>
        <v>0</v>
      </c>
      <c r="K27" s="372"/>
      <c r="L27" s="375"/>
      <c r="M27" s="372"/>
      <c r="N27" s="385"/>
      <c r="O27" s="54"/>
      <c r="P27" s="18" t="e">
        <f>SUMIFS(#REF!,#REF!, $C27,#REF!, $E27,#REF!, $F27)</f>
        <v>#REF!</v>
      </c>
      <c r="Q27" s="55" t="e">
        <f>COUNTIFS(#REF!, $C27,#REF!, $E27,#REF!, $F27,#REF!, "&gt;=0")</f>
        <v>#REF!</v>
      </c>
      <c r="R27" s="18" t="e">
        <f>COUNTIFS(#REF!, $C27,#REF!, $E27,#REF!, $F27,#REF!, "лично")</f>
        <v>#REF!</v>
      </c>
      <c r="T27" s="364" t="s">
        <v>94</v>
      </c>
      <c r="U27" s="56"/>
    </row>
    <row r="28" spans="1:45" x14ac:dyDescent="0.25">
      <c r="A28" s="363">
        <f t="shared" si="3"/>
        <v>8</v>
      </c>
      <c r="B28" s="364" t="s">
        <v>76</v>
      </c>
      <c r="C28" s="365" t="s">
        <v>264</v>
      </c>
      <c r="D28" s="366" t="s">
        <v>454</v>
      </c>
      <c r="E28" s="680"/>
      <c r="F28" s="368" t="str">
        <f t="shared" si="0"/>
        <v>Сокращенное название</v>
      </c>
      <c r="G28" s="364" t="s">
        <v>624</v>
      </c>
      <c r="H28" s="369" t="str">
        <f t="shared" si="4"/>
        <v>Фамилия_1 Имя Отчество</v>
      </c>
      <c r="I28" s="370">
        <f t="shared" si="1"/>
        <v>0</v>
      </c>
      <c r="J28" s="371">
        <f t="shared" si="2"/>
        <v>0</v>
      </c>
      <c r="K28" s="372"/>
      <c r="L28" s="375"/>
      <c r="M28" s="372"/>
      <c r="N28" s="385"/>
      <c r="O28" s="54"/>
      <c r="P28" s="18" t="e">
        <f>SUMIFS(#REF!,#REF!, $C28,#REF!, $E28,#REF!, $F28)</f>
        <v>#REF!</v>
      </c>
      <c r="Q28" s="55" t="e">
        <f>COUNTIFS(#REF!, $C28,#REF!, $E28,#REF!, $F28,#REF!, "&gt;=0")</f>
        <v>#REF!</v>
      </c>
      <c r="R28" s="18" t="e">
        <f>COUNTIFS(#REF!, $C28,#REF!, $E28,#REF!, $F28,#REF!, "лично")</f>
        <v>#REF!</v>
      </c>
      <c r="T28" s="386" t="s">
        <v>100</v>
      </c>
      <c r="U28" s="56"/>
    </row>
    <row r="29" spans="1:45" x14ac:dyDescent="0.25">
      <c r="A29" s="363">
        <f t="shared" si="3"/>
        <v>9</v>
      </c>
      <c r="B29" s="364" t="s">
        <v>94</v>
      </c>
      <c r="C29" s="365" t="s">
        <v>264</v>
      </c>
      <c r="D29" s="366" t="s">
        <v>454</v>
      </c>
      <c r="E29" s="680"/>
      <c r="F29" s="368" t="str">
        <f t="shared" si="0"/>
        <v>Сокращенное название</v>
      </c>
      <c r="G29" s="364" t="s">
        <v>624</v>
      </c>
      <c r="H29" s="369" t="str">
        <f t="shared" si="4"/>
        <v>Фамилия_1 Имя Отчество</v>
      </c>
      <c r="I29" s="370">
        <f t="shared" si="1"/>
        <v>0</v>
      </c>
      <c r="J29" s="371">
        <f t="shared" si="2"/>
        <v>0</v>
      </c>
      <c r="K29" s="372"/>
      <c r="L29" s="375"/>
      <c r="M29" s="372"/>
      <c r="N29" s="385"/>
      <c r="O29" s="54"/>
      <c r="P29" s="18" t="e">
        <f>SUMIFS(#REF!,#REF!, $C29,#REF!, $E29,#REF!, $F29)</f>
        <v>#REF!</v>
      </c>
      <c r="Q29" s="55" t="e">
        <f>COUNTIFS(#REF!, $C29,#REF!, $E29,#REF!, $F29,#REF!, "&gt;=0")</f>
        <v>#REF!</v>
      </c>
      <c r="R29" s="18" t="e">
        <f>COUNTIFS(#REF!, $C29,#REF!, $E29,#REF!, $F29,#REF!, "лично")</f>
        <v>#REF!</v>
      </c>
      <c r="T29" s="386" t="s">
        <v>117</v>
      </c>
      <c r="U29" s="56"/>
    </row>
    <row r="30" spans="1:45" x14ac:dyDescent="0.25">
      <c r="A30" s="363">
        <f t="shared" si="3"/>
        <v>10</v>
      </c>
      <c r="B30" s="364" t="s">
        <v>76</v>
      </c>
      <c r="C30" s="365" t="s">
        <v>264</v>
      </c>
      <c r="D30" s="366" t="s">
        <v>454</v>
      </c>
      <c r="E30" s="680"/>
      <c r="F30" s="368" t="str">
        <f t="shared" si="0"/>
        <v>Сокращенное название</v>
      </c>
      <c r="G30" s="364" t="s">
        <v>624</v>
      </c>
      <c r="H30" s="369" t="str">
        <f t="shared" si="4"/>
        <v>Фамилия_1 Имя Отчество</v>
      </c>
      <c r="I30" s="370">
        <f t="shared" si="1"/>
        <v>0</v>
      </c>
      <c r="J30" s="371">
        <f t="shared" si="2"/>
        <v>0</v>
      </c>
      <c r="K30" s="372"/>
      <c r="L30" s="375"/>
      <c r="M30" s="372"/>
      <c r="N30" s="385"/>
      <c r="O30" s="54"/>
      <c r="P30" s="18" t="e">
        <f>SUMIFS(#REF!,#REF!, $C30,#REF!, $E30,#REF!, $F30)</f>
        <v>#REF!</v>
      </c>
      <c r="Q30" s="55" t="e">
        <f>COUNTIFS(#REF!, $C30,#REF!, $E30,#REF!, $F30,#REF!, "&gt;=0")</f>
        <v>#REF!</v>
      </c>
      <c r="R30" s="18" t="e">
        <f>COUNTIFS(#REF!, $C30,#REF!, $E30,#REF!, $F30,#REF!, "лично")</f>
        <v>#REF!</v>
      </c>
      <c r="T30" s="386" t="s">
        <v>158</v>
      </c>
      <c r="U30" s="56"/>
    </row>
    <row r="31" spans="1:45" x14ac:dyDescent="0.25">
      <c r="A31" s="363">
        <f t="shared" si="3"/>
        <v>11</v>
      </c>
      <c r="B31" s="386" t="s">
        <v>100</v>
      </c>
      <c r="C31" s="365" t="s">
        <v>264</v>
      </c>
      <c r="D31" s="366" t="s">
        <v>454</v>
      </c>
      <c r="E31" s="680"/>
      <c r="F31" s="368" t="str">
        <f t="shared" si="0"/>
        <v>Сокращенное название</v>
      </c>
      <c r="G31" s="364" t="s">
        <v>624</v>
      </c>
      <c r="H31" s="369" t="str">
        <f t="shared" si="4"/>
        <v>Фамилия_1 Имя Отчество</v>
      </c>
      <c r="I31" s="370">
        <f t="shared" si="1"/>
        <v>0</v>
      </c>
      <c r="J31" s="371">
        <f t="shared" si="2"/>
        <v>0</v>
      </c>
      <c r="K31" s="372"/>
      <c r="L31" s="375"/>
      <c r="M31" s="372"/>
      <c r="N31" s="385"/>
      <c r="O31" s="54"/>
      <c r="P31" s="18" t="e">
        <f>SUMIFS(#REF!,#REF!, $C31,#REF!, $E31,#REF!, $F31)</f>
        <v>#REF!</v>
      </c>
      <c r="Q31" s="55" t="e">
        <f>COUNTIFS(#REF!, $C31,#REF!, $E31,#REF!, $F31,#REF!, "&gt;=0")</f>
        <v>#REF!</v>
      </c>
      <c r="R31" s="18" t="e">
        <f>COUNTIFS(#REF!, $C31,#REF!, $E31,#REF!, $F31,#REF!, "лично")</f>
        <v>#REF!</v>
      </c>
      <c r="T31" s="387" t="s">
        <v>82</v>
      </c>
      <c r="U31" s="56"/>
    </row>
    <row r="32" spans="1:45" x14ac:dyDescent="0.25">
      <c r="A32" s="363">
        <f t="shared" si="3"/>
        <v>12</v>
      </c>
      <c r="B32" s="364" t="s">
        <v>79</v>
      </c>
      <c r="C32" s="365" t="s">
        <v>264</v>
      </c>
      <c r="D32" s="366" t="s">
        <v>454</v>
      </c>
      <c r="E32" s="680"/>
      <c r="F32" s="368" t="str">
        <f t="shared" si="0"/>
        <v>Сокращенное название</v>
      </c>
      <c r="G32" s="364" t="s">
        <v>624</v>
      </c>
      <c r="H32" s="369" t="str">
        <f t="shared" si="4"/>
        <v>Фамилия_1 Имя Отчество</v>
      </c>
      <c r="I32" s="370">
        <f t="shared" si="1"/>
        <v>0</v>
      </c>
      <c r="J32" s="371">
        <f t="shared" si="2"/>
        <v>0</v>
      </c>
      <c r="K32" s="372"/>
      <c r="L32" s="375"/>
      <c r="M32" s="372"/>
      <c r="N32" s="385"/>
      <c r="O32" s="54"/>
      <c r="P32" s="18" t="e">
        <f>SUMIFS(#REF!,#REF!, $C32,#REF!, $E32,#REF!, $F32)</f>
        <v>#REF!</v>
      </c>
      <c r="Q32" s="55" t="e">
        <f>COUNTIFS(#REF!, $C32,#REF!, $E32,#REF!, $F32,#REF!, "&gt;=0")</f>
        <v>#REF!</v>
      </c>
      <c r="R32" s="18" t="e">
        <f>COUNTIFS(#REF!, $C32,#REF!, $E32,#REF!, $F32,#REF!, "лично")</f>
        <v>#REF!</v>
      </c>
      <c r="T32" s="16"/>
      <c r="U32" s="56"/>
    </row>
    <row r="33" spans="1:21" x14ac:dyDescent="0.25">
      <c r="A33" s="363">
        <f t="shared" si="3"/>
        <v>13</v>
      </c>
      <c r="B33" s="364" t="s">
        <v>76</v>
      </c>
      <c r="C33" s="365" t="s">
        <v>264</v>
      </c>
      <c r="D33" s="366" t="s">
        <v>454</v>
      </c>
      <c r="E33" s="680"/>
      <c r="F33" s="368" t="str">
        <f t="shared" si="0"/>
        <v>Сокращенное название</v>
      </c>
      <c r="G33" s="364" t="s">
        <v>624</v>
      </c>
      <c r="H33" s="369" t="str">
        <f t="shared" si="4"/>
        <v>Фамилия_1 Имя Отчество</v>
      </c>
      <c r="I33" s="370">
        <f t="shared" si="1"/>
        <v>0</v>
      </c>
      <c r="J33" s="371">
        <f t="shared" si="2"/>
        <v>0</v>
      </c>
      <c r="K33" s="372"/>
      <c r="L33" s="375"/>
      <c r="M33" s="372"/>
      <c r="N33" s="385"/>
      <c r="O33" s="54"/>
      <c r="P33" s="18" t="e">
        <f>SUMIFS(#REF!,#REF!, $C33,#REF!, $E33,#REF!, $F33)</f>
        <v>#REF!</v>
      </c>
      <c r="Q33" s="55" t="e">
        <f>COUNTIFS(#REF!, $C33,#REF!, $E33,#REF!, $F33,#REF!, "&gt;=0")</f>
        <v>#REF!</v>
      </c>
      <c r="R33" s="18" t="e">
        <f>COUNTIFS(#REF!, $C33,#REF!, $E33,#REF!, $F33,#REF!, "лично")</f>
        <v>#REF!</v>
      </c>
      <c r="T33" s="16"/>
      <c r="U33" s="56"/>
    </row>
    <row r="34" spans="1:21" x14ac:dyDescent="0.25">
      <c r="A34" s="363">
        <f t="shared" si="3"/>
        <v>14</v>
      </c>
      <c r="B34" s="364" t="s">
        <v>76</v>
      </c>
      <c r="C34" s="365" t="s">
        <v>264</v>
      </c>
      <c r="D34" s="366" t="s">
        <v>454</v>
      </c>
      <c r="E34" s="680"/>
      <c r="F34" s="368" t="str">
        <f t="shared" si="0"/>
        <v>Сокращенное название</v>
      </c>
      <c r="G34" s="364" t="s">
        <v>624</v>
      </c>
      <c r="H34" s="369" t="str">
        <f t="shared" si="4"/>
        <v>Фамилия_1 Имя Отчество</v>
      </c>
      <c r="I34" s="370">
        <f t="shared" si="1"/>
        <v>0</v>
      </c>
      <c r="J34" s="371">
        <f t="shared" si="2"/>
        <v>0</v>
      </c>
      <c r="K34" s="372"/>
      <c r="L34" s="375"/>
      <c r="M34" s="372"/>
      <c r="N34" s="385"/>
      <c r="O34" s="54"/>
      <c r="P34" s="18" t="e">
        <f>SUMIFS(#REF!,#REF!, $C34,#REF!, $E34,#REF!, $F34)</f>
        <v>#REF!</v>
      </c>
      <c r="Q34" s="55" t="e">
        <f>COUNTIFS(#REF!, $C34,#REF!, $E34,#REF!, $F34,#REF!, "&gt;=0")</f>
        <v>#REF!</v>
      </c>
      <c r="R34" s="18" t="e">
        <f>COUNTIFS(#REF!, $C34,#REF!, $E34,#REF!, $F34,#REF!, "лично")</f>
        <v>#REF!</v>
      </c>
      <c r="T34" s="16"/>
      <c r="U34" s="56"/>
    </row>
    <row r="35" spans="1:21" x14ac:dyDescent="0.25">
      <c r="A35" s="363">
        <f t="shared" si="3"/>
        <v>15</v>
      </c>
      <c r="B35" s="364" t="s">
        <v>76</v>
      </c>
      <c r="C35" s="365" t="s">
        <v>264</v>
      </c>
      <c r="D35" s="366" t="s">
        <v>454</v>
      </c>
      <c r="E35" s="680"/>
      <c r="F35" s="368" t="str">
        <f t="shared" si="0"/>
        <v>Сокращенное название</v>
      </c>
      <c r="G35" s="364" t="s">
        <v>624</v>
      </c>
      <c r="H35" s="369" t="str">
        <f t="shared" si="4"/>
        <v>Фамилия_1 Имя Отчество</v>
      </c>
      <c r="I35" s="370">
        <f t="shared" si="1"/>
        <v>0</v>
      </c>
      <c r="J35" s="371">
        <f t="shared" si="2"/>
        <v>0</v>
      </c>
      <c r="K35" s="372"/>
      <c r="L35" s="375"/>
      <c r="M35" s="372"/>
      <c r="N35" s="385"/>
      <c r="O35" s="54"/>
      <c r="P35" s="18" t="e">
        <f>SUMIFS(#REF!,#REF!, $C35,#REF!, $E35,#REF!, $F35)</f>
        <v>#REF!</v>
      </c>
      <c r="Q35" s="55" t="e">
        <f>COUNTIFS(#REF!, $C35,#REF!, $E35,#REF!, $F35,#REF!, "&gt;=0")</f>
        <v>#REF!</v>
      </c>
      <c r="R35" s="18" t="e">
        <f>COUNTIFS(#REF!, $C35,#REF!, $E35,#REF!, $F35,#REF!, "лично")</f>
        <v>#REF!</v>
      </c>
      <c r="T35" s="16"/>
      <c r="U35" s="56"/>
    </row>
    <row r="36" spans="1:21" x14ac:dyDescent="0.25">
      <c r="A36" s="363">
        <f t="shared" si="3"/>
        <v>16</v>
      </c>
      <c r="B36" s="364" t="s">
        <v>76</v>
      </c>
      <c r="C36" s="365" t="s">
        <v>264</v>
      </c>
      <c r="D36" s="366" t="s">
        <v>454</v>
      </c>
      <c r="E36" s="680"/>
      <c r="F36" s="368" t="str">
        <f t="shared" si="0"/>
        <v>Сокращенное название</v>
      </c>
      <c r="G36" s="364" t="s">
        <v>624</v>
      </c>
      <c r="H36" s="369" t="str">
        <f t="shared" si="4"/>
        <v>Фамилия_1 Имя Отчество</v>
      </c>
      <c r="I36" s="370">
        <f t="shared" si="1"/>
        <v>0</v>
      </c>
      <c r="J36" s="371">
        <f t="shared" si="2"/>
        <v>0</v>
      </c>
      <c r="K36" s="372"/>
      <c r="L36" s="375"/>
      <c r="M36" s="372"/>
      <c r="N36" s="385"/>
      <c r="O36" s="54"/>
      <c r="P36" s="18" t="e">
        <f>SUMIFS(#REF!,#REF!, $C36,#REF!, $E36,#REF!, $F36)</f>
        <v>#REF!</v>
      </c>
      <c r="Q36" s="55" t="e">
        <f>COUNTIFS(#REF!, $C36,#REF!, $E36,#REF!, $F36,#REF!, "&gt;=0")</f>
        <v>#REF!</v>
      </c>
      <c r="R36" s="18" t="e">
        <f>COUNTIFS(#REF!, $C36,#REF!, $E36,#REF!, $F36,#REF!, "лично")</f>
        <v>#REF!</v>
      </c>
      <c r="T36" s="16"/>
      <c r="U36" s="56"/>
    </row>
    <row r="37" spans="1:21" x14ac:dyDescent="0.25">
      <c r="A37" s="363">
        <f t="shared" si="3"/>
        <v>17</v>
      </c>
      <c r="B37" s="386" t="s">
        <v>100</v>
      </c>
      <c r="C37" s="365" t="s">
        <v>264</v>
      </c>
      <c r="D37" s="366" t="s">
        <v>454</v>
      </c>
      <c r="E37" s="680"/>
      <c r="F37" s="368" t="str">
        <f t="shared" si="0"/>
        <v>Сокращенное название</v>
      </c>
      <c r="G37" s="364" t="s">
        <v>624</v>
      </c>
      <c r="H37" s="369" t="str">
        <f t="shared" si="4"/>
        <v>Фамилия_1 Имя Отчество</v>
      </c>
      <c r="I37" s="370">
        <f t="shared" si="1"/>
        <v>0</v>
      </c>
      <c r="J37" s="371">
        <f t="shared" si="2"/>
        <v>0</v>
      </c>
      <c r="K37" s="372"/>
      <c r="L37" s="375"/>
      <c r="M37" s="372"/>
      <c r="N37" s="385"/>
      <c r="O37" s="54"/>
      <c r="P37" s="18" t="e">
        <f>SUMIFS(#REF!,#REF!, $C37,#REF!, $E37,#REF!, $F37)</f>
        <v>#REF!</v>
      </c>
      <c r="Q37" s="55" t="e">
        <f>COUNTIFS(#REF!, $C37,#REF!, $E37,#REF!, $F37,#REF!, "&gt;=0")</f>
        <v>#REF!</v>
      </c>
      <c r="R37" s="18" t="e">
        <f>COUNTIFS(#REF!, $C37,#REF!, $E37,#REF!, $F37,#REF!, "лично")</f>
        <v>#REF!</v>
      </c>
      <c r="T37" s="16"/>
      <c r="U37" s="56"/>
    </row>
    <row r="38" spans="1:21" x14ac:dyDescent="0.25">
      <c r="A38" s="363">
        <f t="shared" si="3"/>
        <v>18</v>
      </c>
      <c r="B38" s="386" t="s">
        <v>117</v>
      </c>
      <c r="C38" s="365" t="s">
        <v>264</v>
      </c>
      <c r="D38" s="366" t="s">
        <v>454</v>
      </c>
      <c r="E38" s="680"/>
      <c r="F38" s="368" t="str">
        <f t="shared" si="0"/>
        <v>Сокращенное название</v>
      </c>
      <c r="G38" s="364" t="s">
        <v>624</v>
      </c>
      <c r="H38" s="369" t="str">
        <f t="shared" si="4"/>
        <v>Фамилия_1 Имя Отчество</v>
      </c>
      <c r="I38" s="370">
        <f t="shared" si="1"/>
        <v>0</v>
      </c>
      <c r="J38" s="371">
        <f t="shared" si="2"/>
        <v>0</v>
      </c>
      <c r="K38" s="372"/>
      <c r="L38" s="375"/>
      <c r="M38" s="372"/>
      <c r="N38" s="385"/>
      <c r="O38" s="54"/>
      <c r="P38" s="18" t="e">
        <f>SUMIFS(#REF!,#REF!, $C38,#REF!, $E38,#REF!, $F38)</f>
        <v>#REF!</v>
      </c>
      <c r="Q38" s="55" t="e">
        <f>COUNTIFS(#REF!, $C38,#REF!, $E38,#REF!, $F38,#REF!, "&gt;=0")</f>
        <v>#REF!</v>
      </c>
      <c r="R38" s="18" t="e">
        <f>COUNTIFS(#REF!, $C38,#REF!, $E38,#REF!, $F38,#REF!, "лично")</f>
        <v>#REF!</v>
      </c>
      <c r="T38" s="16"/>
      <c r="U38" s="56"/>
    </row>
    <row r="39" spans="1:21" x14ac:dyDescent="0.25">
      <c r="A39" s="363">
        <f t="shared" si="3"/>
        <v>19</v>
      </c>
      <c r="B39" s="386" t="s">
        <v>158</v>
      </c>
      <c r="C39" s="365" t="s">
        <v>264</v>
      </c>
      <c r="D39" s="366" t="s">
        <v>454</v>
      </c>
      <c r="E39" s="680"/>
      <c r="F39" s="368" t="str">
        <f t="shared" si="0"/>
        <v>Сокращенное название</v>
      </c>
      <c r="G39" s="364" t="s">
        <v>624</v>
      </c>
      <c r="H39" s="369" t="str">
        <f t="shared" si="4"/>
        <v>Фамилия_1 Имя Отчество</v>
      </c>
      <c r="I39" s="370">
        <f t="shared" si="1"/>
        <v>0</v>
      </c>
      <c r="J39" s="371">
        <f t="shared" si="2"/>
        <v>0</v>
      </c>
      <c r="K39" s="372"/>
      <c r="L39" s="375"/>
      <c r="M39" s="372"/>
      <c r="N39" s="385"/>
      <c r="O39" s="54"/>
      <c r="P39" s="18" t="e">
        <f>SUMIFS(#REF!,#REF!, $C39,#REF!, $E39,#REF!, $F39)</f>
        <v>#REF!</v>
      </c>
      <c r="Q39" s="55" t="e">
        <f>COUNTIFS(#REF!, $C39,#REF!, $E39,#REF!, $F39,#REF!, "&gt;=0")</f>
        <v>#REF!</v>
      </c>
      <c r="R39" s="18" t="e">
        <f>COUNTIFS(#REF!, $C39,#REF!, $E39,#REF!, $F39,#REF!, "лично")</f>
        <v>#REF!</v>
      </c>
      <c r="T39" s="16"/>
      <c r="U39" s="56"/>
    </row>
    <row r="40" spans="1:21" x14ac:dyDescent="0.25">
      <c r="A40" s="363">
        <f t="shared" si="3"/>
        <v>20</v>
      </c>
      <c r="B40" s="364" t="s">
        <v>261</v>
      </c>
      <c r="C40" s="365" t="s">
        <v>264</v>
      </c>
      <c r="D40" s="366" t="s">
        <v>454</v>
      </c>
      <c r="E40" s="680"/>
      <c r="F40" s="368" t="str">
        <f t="shared" si="0"/>
        <v>Сокращенное название</v>
      </c>
      <c r="G40" s="364" t="s">
        <v>624</v>
      </c>
      <c r="H40" s="369" t="str">
        <f t="shared" si="4"/>
        <v>Фамилия_1 Имя Отчество</v>
      </c>
      <c r="I40" s="370">
        <f t="shared" si="1"/>
        <v>0</v>
      </c>
      <c r="J40" s="371">
        <f t="shared" si="2"/>
        <v>0</v>
      </c>
      <c r="K40" s="372"/>
      <c r="L40" s="375"/>
      <c r="M40" s="372"/>
      <c r="N40" s="385"/>
      <c r="O40" s="54"/>
      <c r="P40" s="18" t="e">
        <f>SUMIFS(#REF!,#REF!, $C40,#REF!, $E40,#REF!, $F40)</f>
        <v>#REF!</v>
      </c>
      <c r="Q40" s="55" t="e">
        <f>COUNTIFS(#REF!, $C40,#REF!, $E40,#REF!, $F40,#REF!, "&gt;=0")</f>
        <v>#REF!</v>
      </c>
      <c r="R40" s="18" t="e">
        <f>COUNTIFS(#REF!, $C40,#REF!, $E40,#REF!, $F40,#REF!, "лично")</f>
        <v>#REF!</v>
      </c>
      <c r="T40" s="16"/>
      <c r="U40" s="56"/>
    </row>
    <row r="41" spans="1:21" x14ac:dyDescent="0.25">
      <c r="A41" s="363">
        <f t="shared" si="3"/>
        <v>21</v>
      </c>
      <c r="B41" s="364" t="s">
        <v>262</v>
      </c>
      <c r="C41" s="365" t="s">
        <v>264</v>
      </c>
      <c r="D41" s="366" t="s">
        <v>454</v>
      </c>
      <c r="E41" s="680"/>
      <c r="F41" s="368" t="str">
        <f t="shared" si="0"/>
        <v>Сокращенное название</v>
      </c>
      <c r="G41" s="364" t="s">
        <v>624</v>
      </c>
      <c r="H41" s="369" t="str">
        <f t="shared" si="4"/>
        <v>Фамилия_1 Имя Отчество</v>
      </c>
      <c r="I41" s="370">
        <f t="shared" si="1"/>
        <v>0</v>
      </c>
      <c r="J41" s="371">
        <f t="shared" si="2"/>
        <v>0</v>
      </c>
      <c r="K41" s="372"/>
      <c r="L41" s="375"/>
      <c r="M41" s="372"/>
      <c r="N41" s="385"/>
      <c r="O41" s="54"/>
      <c r="P41" s="18" t="e">
        <f>SUMIFS(#REF!,#REF!, $C41,#REF!, $E41,#REF!, $F41)</f>
        <v>#REF!</v>
      </c>
      <c r="Q41" s="55" t="e">
        <f>COUNTIFS(#REF!, $C41,#REF!, $E41,#REF!, $F41,#REF!, "&gt;=0")</f>
        <v>#REF!</v>
      </c>
      <c r="R41" s="18" t="e">
        <f>COUNTIFS(#REF!, $C41,#REF!, $E41,#REF!, $F41,#REF!, "лично")</f>
        <v>#REF!</v>
      </c>
      <c r="T41" s="16"/>
      <c r="U41" s="56"/>
    </row>
    <row r="42" spans="1:21" x14ac:dyDescent="0.25">
      <c r="A42" s="363">
        <f t="shared" si="3"/>
        <v>22</v>
      </c>
      <c r="B42" s="364" t="s">
        <v>76</v>
      </c>
      <c r="C42" s="365" t="s">
        <v>264</v>
      </c>
      <c r="D42" s="366" t="s">
        <v>454</v>
      </c>
      <c r="E42" s="680"/>
      <c r="F42" s="368" t="str">
        <f t="shared" si="0"/>
        <v>Сокращенное название</v>
      </c>
      <c r="G42" s="364" t="s">
        <v>624</v>
      </c>
      <c r="H42" s="369" t="str">
        <f t="shared" si="4"/>
        <v>Фамилия_1 Имя Отчество</v>
      </c>
      <c r="I42" s="370">
        <f t="shared" si="1"/>
        <v>0</v>
      </c>
      <c r="J42" s="371">
        <f t="shared" si="2"/>
        <v>0</v>
      </c>
      <c r="K42" s="372"/>
      <c r="L42" s="375"/>
      <c r="M42" s="372"/>
      <c r="N42" s="385"/>
      <c r="O42" s="54"/>
      <c r="P42" s="18" t="e">
        <f>SUMIFS(#REF!,#REF!, $C42,#REF!, $E42,#REF!, $F42)</f>
        <v>#REF!</v>
      </c>
      <c r="Q42" s="55" t="e">
        <f>COUNTIFS(#REF!, $C42,#REF!, $E42,#REF!, $F42,#REF!, "&gt;=0")</f>
        <v>#REF!</v>
      </c>
      <c r="R42" s="18" t="e">
        <f>COUNTIFS(#REF!, $C42,#REF!, $E42,#REF!, $F42,#REF!, "лично")</f>
        <v>#REF!</v>
      </c>
      <c r="T42" s="16"/>
      <c r="U42" s="56"/>
    </row>
    <row r="43" spans="1:21" x14ac:dyDescent="0.25">
      <c r="A43" s="363">
        <f t="shared" si="3"/>
        <v>23</v>
      </c>
      <c r="B43" s="364" t="s">
        <v>262</v>
      </c>
      <c r="C43" s="365" t="s">
        <v>264</v>
      </c>
      <c r="D43" s="366" t="s">
        <v>454</v>
      </c>
      <c r="E43" s="680"/>
      <c r="F43" s="368" t="str">
        <f t="shared" si="0"/>
        <v>Сокращенное название</v>
      </c>
      <c r="G43" s="364" t="s">
        <v>624</v>
      </c>
      <c r="H43" s="369" t="str">
        <f t="shared" si="4"/>
        <v>Фамилия_1 Имя Отчество</v>
      </c>
      <c r="I43" s="370">
        <f t="shared" si="1"/>
        <v>0</v>
      </c>
      <c r="J43" s="371">
        <f t="shared" si="2"/>
        <v>0</v>
      </c>
      <c r="K43" s="372"/>
      <c r="L43" s="375"/>
      <c r="M43" s="372"/>
      <c r="N43" s="385"/>
      <c r="O43" s="54"/>
      <c r="P43" s="18" t="e">
        <f>SUMIFS(#REF!,#REF!, $C43,#REF!, $E43,#REF!, $F43)</f>
        <v>#REF!</v>
      </c>
      <c r="Q43" s="55" t="e">
        <f>COUNTIFS(#REF!, $C43,#REF!, $E43,#REF!, $F43,#REF!, "&gt;=0")</f>
        <v>#REF!</v>
      </c>
      <c r="R43" s="18" t="e">
        <f>COUNTIFS(#REF!, $C43,#REF!, $E43,#REF!, $F43,#REF!, "лично")</f>
        <v>#REF!</v>
      </c>
      <c r="T43" s="16"/>
      <c r="U43" s="56"/>
    </row>
    <row r="44" spans="1:21" x14ac:dyDescent="0.25">
      <c r="A44" s="363">
        <f t="shared" si="3"/>
        <v>24</v>
      </c>
      <c r="B44" s="364" t="s">
        <v>76</v>
      </c>
      <c r="C44" s="365" t="s">
        <v>264</v>
      </c>
      <c r="D44" s="366" t="s">
        <v>454</v>
      </c>
      <c r="E44" s="680"/>
      <c r="F44" s="368" t="str">
        <f t="shared" si="0"/>
        <v>Сокращенное название</v>
      </c>
      <c r="G44" s="364" t="s">
        <v>624</v>
      </c>
      <c r="H44" s="369" t="str">
        <f t="shared" si="4"/>
        <v>Фамилия_1 Имя Отчество</v>
      </c>
      <c r="I44" s="370">
        <f t="shared" si="1"/>
        <v>0</v>
      </c>
      <c r="J44" s="371">
        <f t="shared" si="2"/>
        <v>0</v>
      </c>
      <c r="K44" s="372"/>
      <c r="L44" s="375"/>
      <c r="M44" s="372"/>
      <c r="N44" s="385"/>
      <c r="O44" s="54"/>
      <c r="P44" s="18" t="e">
        <f>SUMIFS(#REF!,#REF!, $C44,#REF!, $E44,#REF!, $F44)</f>
        <v>#REF!</v>
      </c>
      <c r="Q44" s="55" t="e">
        <f>COUNTIFS(#REF!, $C44,#REF!, $E44,#REF!, $F44,#REF!, "&gt;=0")</f>
        <v>#REF!</v>
      </c>
      <c r="R44" s="18" t="e">
        <f>COUNTIFS(#REF!, $C44,#REF!, $E44,#REF!, $F44,#REF!, "лично")</f>
        <v>#REF!</v>
      </c>
      <c r="T44" s="16"/>
      <c r="U44" s="56"/>
    </row>
    <row r="45" spans="1:21" x14ac:dyDescent="0.25">
      <c r="A45" s="435">
        <f t="shared" si="3"/>
        <v>25</v>
      </c>
      <c r="B45" s="388" t="s">
        <v>84</v>
      </c>
      <c r="C45" s="389" t="s">
        <v>264</v>
      </c>
      <c r="D45" s="390" t="s">
        <v>454</v>
      </c>
      <c r="E45" s="681"/>
      <c r="F45" s="392" t="str">
        <f t="shared" si="0"/>
        <v>Сокращенное название</v>
      </c>
      <c r="G45" s="388" t="s">
        <v>624</v>
      </c>
      <c r="H45" s="393" t="str">
        <f t="shared" si="4"/>
        <v>Фамилия_1 Имя Отчество</v>
      </c>
      <c r="I45" s="394">
        <f t="shared" si="1"/>
        <v>0</v>
      </c>
      <c r="J45" s="395">
        <f t="shared" si="2"/>
        <v>0</v>
      </c>
      <c r="K45" s="396"/>
      <c r="L45" s="399"/>
      <c r="M45" s="396"/>
      <c r="N45" s="409"/>
      <c r="O45" s="54"/>
      <c r="P45" s="18" t="e">
        <f>SUMIFS(#REF!,#REF!, $C45,#REF!, $E45,#REF!, $F45)</f>
        <v>#REF!</v>
      </c>
      <c r="Q45" s="55" t="e">
        <f>COUNTIFS(#REF!, $C45,#REF!, $E45,#REF!, $F45,#REF!, "&gt;=0")</f>
        <v>#REF!</v>
      </c>
      <c r="R45" s="18" t="e">
        <f>COUNTIFS(#REF!, $C45,#REF!, $E45,#REF!, $F45,#REF!, "лично")</f>
        <v>#REF!</v>
      </c>
      <c r="T45" s="16"/>
      <c r="U45" s="56"/>
    </row>
    <row r="46" spans="1:21" x14ac:dyDescent="0.25">
      <c r="A46" s="410">
        <f t="shared" si="3"/>
        <v>26</v>
      </c>
      <c r="B46" s="411" t="s">
        <v>158</v>
      </c>
      <c r="C46" s="412" t="s">
        <v>265</v>
      </c>
      <c r="D46" s="413" t="s">
        <v>454</v>
      </c>
      <c r="E46" s="682"/>
      <c r="F46" s="415" t="str">
        <f t="shared" si="0"/>
        <v>Сокращенное название</v>
      </c>
      <c r="G46" s="416" t="s">
        <v>625</v>
      </c>
      <c r="H46" s="417" t="str">
        <f t="shared" si="4"/>
        <v>Фамилия_1 Имя Отчество</v>
      </c>
      <c r="I46" s="418">
        <f t="shared" si="1"/>
        <v>0</v>
      </c>
      <c r="J46" s="419">
        <f t="shared" si="2"/>
        <v>0</v>
      </c>
      <c r="K46" s="427"/>
      <c r="L46" s="428"/>
      <c r="M46" s="420"/>
      <c r="N46" s="434"/>
      <c r="O46" s="54"/>
      <c r="P46" s="18" t="e">
        <f>SUMIFS(#REF!,#REF!, $C46,#REF!, $E46,#REF!, $F46)</f>
        <v>#REF!</v>
      </c>
      <c r="Q46" s="55" t="e">
        <f>COUNTIFS(#REF!, $C46,#REF!, $E46,#REF!, $F46,#REF!, "&gt;=0")</f>
        <v>#REF!</v>
      </c>
      <c r="R46" s="18" t="e">
        <f>COUNTIFS(#REF!, $C46,#REF!, $E46,#REF!, $F46,#REF!, "лично")</f>
        <v>#REF!</v>
      </c>
      <c r="T46" s="16"/>
      <c r="U46" s="56"/>
    </row>
    <row r="47" spans="1:21" x14ac:dyDescent="0.25">
      <c r="A47" s="363">
        <f t="shared" si="3"/>
        <v>27</v>
      </c>
      <c r="B47" s="364" t="s">
        <v>84</v>
      </c>
      <c r="C47" s="365" t="s">
        <v>265</v>
      </c>
      <c r="D47" s="366" t="s">
        <v>454</v>
      </c>
      <c r="E47" s="680"/>
      <c r="F47" s="369" t="str">
        <f t="shared" si="0"/>
        <v>Сокращенное название</v>
      </c>
      <c r="G47" s="364" t="s">
        <v>625</v>
      </c>
      <c r="H47" s="369" t="str">
        <f t="shared" si="4"/>
        <v>Фамилия_1 Имя Отчество</v>
      </c>
      <c r="I47" s="370">
        <f t="shared" si="1"/>
        <v>0</v>
      </c>
      <c r="J47" s="371">
        <f t="shared" si="2"/>
        <v>0</v>
      </c>
      <c r="K47" s="372"/>
      <c r="L47" s="375"/>
      <c r="M47" s="372"/>
      <c r="N47" s="385"/>
      <c r="O47" s="54"/>
      <c r="P47" s="18" t="e">
        <f>SUMIFS(#REF!,#REF!, $C47,#REF!, $E47,#REF!, $F47)</f>
        <v>#REF!</v>
      </c>
      <c r="Q47" s="55" t="e">
        <f>COUNTIFS(#REF!, $C47,#REF!, $E47,#REF!, $F47,#REF!, "&gt;=0")</f>
        <v>#REF!</v>
      </c>
      <c r="R47" s="18" t="e">
        <f>COUNTIFS(#REF!, $C47,#REF!, $E47,#REF!, $F47,#REF!, "лично")</f>
        <v>#REF!</v>
      </c>
      <c r="T47" s="16"/>
      <c r="U47" s="56"/>
    </row>
    <row r="48" spans="1:21" x14ac:dyDescent="0.25">
      <c r="A48" s="363">
        <f t="shared" si="3"/>
        <v>28</v>
      </c>
      <c r="B48" s="364" t="s">
        <v>260</v>
      </c>
      <c r="C48" s="365" t="s">
        <v>265</v>
      </c>
      <c r="D48" s="366" t="s">
        <v>454</v>
      </c>
      <c r="E48" s="680"/>
      <c r="F48" s="369" t="str">
        <f t="shared" si="0"/>
        <v>Сокращенное название</v>
      </c>
      <c r="G48" s="364" t="s">
        <v>625</v>
      </c>
      <c r="H48" s="369" t="str">
        <f t="shared" si="4"/>
        <v>Фамилия_1 Имя Отчество</v>
      </c>
      <c r="I48" s="370">
        <f t="shared" si="1"/>
        <v>0</v>
      </c>
      <c r="J48" s="371">
        <f t="shared" si="2"/>
        <v>0</v>
      </c>
      <c r="K48" s="372"/>
      <c r="L48" s="375"/>
      <c r="M48" s="372"/>
      <c r="N48" s="385"/>
      <c r="O48" s="54"/>
      <c r="P48" s="18" t="e">
        <f>SUMIFS(#REF!,#REF!, $C48,#REF!, $E48,#REF!, $F48)</f>
        <v>#REF!</v>
      </c>
      <c r="Q48" s="55" t="e">
        <f>COUNTIFS(#REF!, $C48,#REF!, $E48,#REF!, $F48,#REF!, "&gt;=0")</f>
        <v>#REF!</v>
      </c>
      <c r="R48" s="18" t="e">
        <f>COUNTIFS(#REF!, $C48,#REF!, $E48,#REF!, $F48,#REF!, "лично")</f>
        <v>#REF!</v>
      </c>
      <c r="T48" s="16"/>
      <c r="U48" s="56"/>
    </row>
    <row r="49" spans="1:21" x14ac:dyDescent="0.25">
      <c r="A49" s="363">
        <f t="shared" si="3"/>
        <v>29</v>
      </c>
      <c r="B49" s="364" t="s">
        <v>261</v>
      </c>
      <c r="C49" s="365" t="s">
        <v>265</v>
      </c>
      <c r="D49" s="366" t="s">
        <v>454</v>
      </c>
      <c r="E49" s="680"/>
      <c r="F49" s="369" t="str">
        <f t="shared" si="0"/>
        <v>Сокращенное название</v>
      </c>
      <c r="G49" s="364" t="s">
        <v>625</v>
      </c>
      <c r="H49" s="369" t="str">
        <f t="shared" si="4"/>
        <v>Фамилия_1 Имя Отчество</v>
      </c>
      <c r="I49" s="370">
        <f t="shared" si="1"/>
        <v>0</v>
      </c>
      <c r="J49" s="371">
        <f t="shared" si="2"/>
        <v>0</v>
      </c>
      <c r="K49" s="372"/>
      <c r="L49" s="375"/>
      <c r="M49" s="372"/>
      <c r="N49" s="385"/>
      <c r="O49" s="54"/>
      <c r="P49" s="18" t="e">
        <f>SUMIFS(#REF!,#REF!, $C49,#REF!, $E49,#REF!, $F49)</f>
        <v>#REF!</v>
      </c>
      <c r="Q49" s="55" t="e">
        <f>COUNTIFS(#REF!, $C49,#REF!, $E49,#REF!, $F49,#REF!, "&gt;=0")</f>
        <v>#REF!</v>
      </c>
      <c r="R49" s="18" t="e">
        <f>COUNTIFS(#REF!, $C49,#REF!, $E49,#REF!, $F49,#REF!, "лично")</f>
        <v>#REF!</v>
      </c>
      <c r="T49" s="16"/>
      <c r="U49" s="56"/>
    </row>
    <row r="50" spans="1:21" x14ac:dyDescent="0.25">
      <c r="A50" s="363">
        <f t="shared" si="3"/>
        <v>30</v>
      </c>
      <c r="B50" s="364" t="s">
        <v>262</v>
      </c>
      <c r="C50" s="365" t="s">
        <v>265</v>
      </c>
      <c r="D50" s="366" t="s">
        <v>454</v>
      </c>
      <c r="E50" s="680"/>
      <c r="F50" s="369" t="str">
        <f t="shared" si="0"/>
        <v>Сокращенное название</v>
      </c>
      <c r="G50" s="364" t="s">
        <v>625</v>
      </c>
      <c r="H50" s="369" t="str">
        <f t="shared" si="4"/>
        <v>Фамилия_1 Имя Отчество</v>
      </c>
      <c r="I50" s="370">
        <f t="shared" si="1"/>
        <v>0</v>
      </c>
      <c r="J50" s="371">
        <f t="shared" si="2"/>
        <v>0</v>
      </c>
      <c r="K50" s="372"/>
      <c r="L50" s="375"/>
      <c r="M50" s="372"/>
      <c r="N50" s="385"/>
      <c r="O50" s="54"/>
      <c r="P50" s="18" t="e">
        <f>SUMIFS(#REF!,#REF!, $C50,#REF!, $E50,#REF!, $F50)</f>
        <v>#REF!</v>
      </c>
      <c r="Q50" s="55" t="e">
        <f>COUNTIFS(#REF!, $C50,#REF!, $E50,#REF!, $F50,#REF!, "&gt;=0")</f>
        <v>#REF!</v>
      </c>
      <c r="R50" s="18" t="e">
        <f>COUNTIFS(#REF!, $C50,#REF!, $E50,#REF!, $F50,#REF!, "лично")</f>
        <v>#REF!</v>
      </c>
      <c r="T50" s="16"/>
      <c r="U50" s="56"/>
    </row>
    <row r="51" spans="1:21" x14ac:dyDescent="0.25">
      <c r="A51" s="363">
        <f t="shared" si="3"/>
        <v>31</v>
      </c>
      <c r="B51" s="364" t="s">
        <v>79</v>
      </c>
      <c r="C51" s="365" t="s">
        <v>265</v>
      </c>
      <c r="D51" s="366" t="s">
        <v>454</v>
      </c>
      <c r="E51" s="680"/>
      <c r="F51" s="369" t="str">
        <f t="shared" si="0"/>
        <v>Сокращенное название</v>
      </c>
      <c r="G51" s="364" t="s">
        <v>625</v>
      </c>
      <c r="H51" s="369" t="str">
        <f t="shared" si="4"/>
        <v>Фамилия_1 Имя Отчество</v>
      </c>
      <c r="I51" s="370">
        <f t="shared" si="1"/>
        <v>0</v>
      </c>
      <c r="J51" s="371">
        <f t="shared" si="2"/>
        <v>0</v>
      </c>
      <c r="K51" s="372"/>
      <c r="L51" s="375"/>
      <c r="M51" s="372"/>
      <c r="N51" s="385"/>
      <c r="O51" s="54"/>
      <c r="P51" s="18" t="e">
        <f>SUMIFS(#REF!,#REF!, $C51,#REF!, $E51,#REF!, $F51)</f>
        <v>#REF!</v>
      </c>
      <c r="Q51" s="55" t="e">
        <f>COUNTIFS(#REF!, $C51,#REF!, $E51,#REF!, $F51,#REF!, "&gt;=0")</f>
        <v>#REF!</v>
      </c>
      <c r="R51" s="18" t="e">
        <f>COUNTIFS(#REF!, $C51,#REF!, $E51,#REF!, $F51,#REF!, "лично")</f>
        <v>#REF!</v>
      </c>
      <c r="T51" s="16"/>
      <c r="U51" s="56"/>
    </row>
    <row r="52" spans="1:21" x14ac:dyDescent="0.25">
      <c r="A52" s="363">
        <f t="shared" si="3"/>
        <v>32</v>
      </c>
      <c r="B52" s="364" t="s">
        <v>79</v>
      </c>
      <c r="C52" s="365" t="s">
        <v>265</v>
      </c>
      <c r="D52" s="366" t="s">
        <v>454</v>
      </c>
      <c r="E52" s="680"/>
      <c r="F52" s="369" t="str">
        <f t="shared" si="0"/>
        <v>Сокращенное название</v>
      </c>
      <c r="G52" s="364" t="s">
        <v>625</v>
      </c>
      <c r="H52" s="369" t="str">
        <f t="shared" si="4"/>
        <v>Фамилия_1 Имя Отчество</v>
      </c>
      <c r="I52" s="370">
        <f t="shared" si="1"/>
        <v>0</v>
      </c>
      <c r="J52" s="371">
        <f t="shared" si="2"/>
        <v>0</v>
      </c>
      <c r="K52" s="372"/>
      <c r="L52" s="375"/>
      <c r="M52" s="372"/>
      <c r="N52" s="385"/>
      <c r="O52" s="54"/>
      <c r="P52" s="18" t="e">
        <f>SUMIFS(#REF!,#REF!, $C52,#REF!, $E52,#REF!, $F52)</f>
        <v>#REF!</v>
      </c>
      <c r="Q52" s="55" t="e">
        <f>COUNTIFS(#REF!, $C52,#REF!, $E52,#REF!, $F52,#REF!, "&gt;=0")</f>
        <v>#REF!</v>
      </c>
      <c r="R52" s="18" t="e">
        <f>COUNTIFS(#REF!, $C52,#REF!, $E52,#REF!, $F52,#REF!, "лично")</f>
        <v>#REF!</v>
      </c>
      <c r="T52" s="16"/>
      <c r="U52" s="56"/>
    </row>
    <row r="53" spans="1:21" x14ac:dyDescent="0.25">
      <c r="A53" s="363">
        <f t="shared" si="3"/>
        <v>33</v>
      </c>
      <c r="B53" s="364" t="s">
        <v>79</v>
      </c>
      <c r="C53" s="365" t="s">
        <v>265</v>
      </c>
      <c r="D53" s="366" t="s">
        <v>454</v>
      </c>
      <c r="E53" s="680"/>
      <c r="F53" s="369" t="str">
        <f t="shared" ref="F53:F70" si="5">$E$16</f>
        <v>Сокращенное название</v>
      </c>
      <c r="G53" s="364" t="s">
        <v>625</v>
      </c>
      <c r="H53" s="369" t="str">
        <f t="shared" si="4"/>
        <v>Фамилия_1 Имя Отчество</v>
      </c>
      <c r="I53" s="370">
        <f t="shared" ref="I53:I70" si="6">COUNTIF(K53:L53, "&gt;=0")-COUNTIF(K53:L53, "в")-COUNTIF(K53:L53, "л")</f>
        <v>0</v>
      </c>
      <c r="J53" s="371">
        <f t="shared" ref="J53:J84" si="7">COUNTIF(K53:L53, "л")</f>
        <v>0</v>
      </c>
      <c r="K53" s="372"/>
      <c r="L53" s="375"/>
      <c r="M53" s="372"/>
      <c r="N53" s="385"/>
      <c r="O53" s="54"/>
      <c r="P53" s="18" t="e">
        <f>SUMIFS(#REF!,#REF!, $C53,#REF!, $E53,#REF!, $F53)</f>
        <v>#REF!</v>
      </c>
      <c r="Q53" s="55" t="e">
        <f>COUNTIFS(#REF!, $C53,#REF!, $E53,#REF!, $F53,#REF!, "&gt;=0")</f>
        <v>#REF!</v>
      </c>
      <c r="R53" s="18" t="e">
        <f>COUNTIFS(#REF!, $C53,#REF!, $E53,#REF!, $F53,#REF!, "лично")</f>
        <v>#REF!</v>
      </c>
      <c r="T53" s="16"/>
      <c r="U53" s="56"/>
    </row>
    <row r="54" spans="1:21" x14ac:dyDescent="0.25">
      <c r="A54" s="363">
        <f t="shared" ref="A54:A70" si="8">A53+1</f>
        <v>34</v>
      </c>
      <c r="B54" s="364" t="s">
        <v>260</v>
      </c>
      <c r="C54" s="365" t="s">
        <v>265</v>
      </c>
      <c r="D54" s="366" t="s">
        <v>454</v>
      </c>
      <c r="E54" s="680"/>
      <c r="F54" s="369" t="str">
        <f t="shared" si="5"/>
        <v>Сокращенное название</v>
      </c>
      <c r="G54" s="364" t="s">
        <v>625</v>
      </c>
      <c r="H54" s="369" t="str">
        <f t="shared" ref="H54:H70" si="9">H53</f>
        <v>Фамилия_1 Имя Отчество</v>
      </c>
      <c r="I54" s="370">
        <f t="shared" si="6"/>
        <v>0</v>
      </c>
      <c r="J54" s="371">
        <f t="shared" si="7"/>
        <v>0</v>
      </c>
      <c r="K54" s="372"/>
      <c r="L54" s="375"/>
      <c r="M54" s="372"/>
      <c r="N54" s="385"/>
      <c r="O54" s="54"/>
      <c r="P54" s="18" t="e">
        <f>SUMIFS(#REF!,#REF!, $C54,#REF!, $E54,#REF!, $F54)</f>
        <v>#REF!</v>
      </c>
      <c r="Q54" s="55" t="e">
        <f>COUNTIFS(#REF!, $C54,#REF!, $E54,#REF!, $F54,#REF!, "&gt;=0")</f>
        <v>#REF!</v>
      </c>
      <c r="R54" s="18" t="e">
        <f>COUNTIFS(#REF!, $C54,#REF!, $E54,#REF!, $F54,#REF!, "лично")</f>
        <v>#REF!</v>
      </c>
      <c r="T54" s="16"/>
      <c r="U54" s="56"/>
    </row>
    <row r="55" spans="1:21" x14ac:dyDescent="0.25">
      <c r="A55" s="363">
        <f t="shared" si="8"/>
        <v>35</v>
      </c>
      <c r="B55" s="364" t="s">
        <v>261</v>
      </c>
      <c r="C55" s="365" t="s">
        <v>265</v>
      </c>
      <c r="D55" s="366" t="s">
        <v>454</v>
      </c>
      <c r="E55" s="680"/>
      <c r="F55" s="369" t="str">
        <f t="shared" si="5"/>
        <v>Сокращенное название</v>
      </c>
      <c r="G55" s="364" t="s">
        <v>625</v>
      </c>
      <c r="H55" s="369" t="str">
        <f t="shared" si="9"/>
        <v>Фамилия_1 Имя Отчество</v>
      </c>
      <c r="I55" s="370">
        <f t="shared" si="6"/>
        <v>0</v>
      </c>
      <c r="J55" s="371">
        <f t="shared" si="7"/>
        <v>0</v>
      </c>
      <c r="K55" s="372"/>
      <c r="L55" s="375"/>
      <c r="M55" s="372"/>
      <c r="N55" s="385"/>
      <c r="O55" s="54"/>
      <c r="P55" s="18" t="e">
        <f>SUMIFS(#REF!,#REF!, $C55,#REF!, $E55,#REF!, $F55)</f>
        <v>#REF!</v>
      </c>
      <c r="Q55" s="55" t="e">
        <f>COUNTIFS(#REF!, $C55,#REF!, $E55,#REF!, $F55,#REF!, "&gt;=0")</f>
        <v>#REF!</v>
      </c>
      <c r="R55" s="18" t="e">
        <f>COUNTIFS(#REF!, $C55,#REF!, $E55,#REF!, $F55,#REF!, "лично")</f>
        <v>#REF!</v>
      </c>
      <c r="T55" s="16"/>
      <c r="U55" s="56"/>
    </row>
    <row r="56" spans="1:21" x14ac:dyDescent="0.25">
      <c r="A56" s="363">
        <f t="shared" si="8"/>
        <v>36</v>
      </c>
      <c r="B56" s="364" t="s">
        <v>262</v>
      </c>
      <c r="C56" s="365" t="s">
        <v>265</v>
      </c>
      <c r="D56" s="366" t="s">
        <v>454</v>
      </c>
      <c r="E56" s="680"/>
      <c r="F56" s="369" t="str">
        <f t="shared" si="5"/>
        <v>Сокращенное название</v>
      </c>
      <c r="G56" s="364" t="s">
        <v>625</v>
      </c>
      <c r="H56" s="369" t="str">
        <f t="shared" si="9"/>
        <v>Фамилия_1 Имя Отчество</v>
      </c>
      <c r="I56" s="370">
        <f t="shared" si="6"/>
        <v>0</v>
      </c>
      <c r="J56" s="371">
        <f t="shared" si="7"/>
        <v>0</v>
      </c>
      <c r="K56" s="372"/>
      <c r="L56" s="375"/>
      <c r="M56" s="372"/>
      <c r="N56" s="385"/>
      <c r="O56" s="54"/>
      <c r="P56" s="18" t="e">
        <f>SUMIFS(#REF!,#REF!, $C56,#REF!, $E56,#REF!, $F56)</f>
        <v>#REF!</v>
      </c>
      <c r="Q56" s="55" t="e">
        <f>COUNTIFS(#REF!, $C56,#REF!, $E56,#REF!, $F56,#REF!, "&gt;=0")</f>
        <v>#REF!</v>
      </c>
      <c r="R56" s="18" t="e">
        <f>COUNTIFS(#REF!, $C56,#REF!, $E56,#REF!, $F56,#REF!, "лично")</f>
        <v>#REF!</v>
      </c>
      <c r="T56" s="16"/>
      <c r="U56" s="56"/>
    </row>
    <row r="57" spans="1:21" x14ac:dyDescent="0.25">
      <c r="A57" s="363">
        <f t="shared" si="8"/>
        <v>37</v>
      </c>
      <c r="B57" s="364" t="s">
        <v>79</v>
      </c>
      <c r="C57" s="365" t="s">
        <v>265</v>
      </c>
      <c r="D57" s="366" t="s">
        <v>454</v>
      </c>
      <c r="E57" s="680"/>
      <c r="F57" s="369" t="str">
        <f t="shared" si="5"/>
        <v>Сокращенное название</v>
      </c>
      <c r="G57" s="364" t="s">
        <v>625</v>
      </c>
      <c r="H57" s="369" t="str">
        <f t="shared" si="9"/>
        <v>Фамилия_1 Имя Отчество</v>
      </c>
      <c r="I57" s="370">
        <f t="shared" si="6"/>
        <v>0</v>
      </c>
      <c r="J57" s="371">
        <f t="shared" si="7"/>
        <v>0</v>
      </c>
      <c r="K57" s="372"/>
      <c r="L57" s="375"/>
      <c r="M57" s="372"/>
      <c r="N57" s="385"/>
      <c r="O57" s="54"/>
      <c r="P57" s="18" t="e">
        <f>SUMIFS(#REF!,#REF!, $C57,#REF!, $E57,#REF!, $F57)</f>
        <v>#REF!</v>
      </c>
      <c r="Q57" s="55" t="e">
        <f>COUNTIFS(#REF!, $C57,#REF!, $E57,#REF!, $F57,#REF!, "&gt;=0")</f>
        <v>#REF!</v>
      </c>
      <c r="R57" s="18" t="e">
        <f>COUNTIFS(#REF!, $C57,#REF!, $E57,#REF!, $F57,#REF!, "лично")</f>
        <v>#REF!</v>
      </c>
      <c r="T57" s="16"/>
      <c r="U57" s="56"/>
    </row>
    <row r="58" spans="1:21" x14ac:dyDescent="0.25">
      <c r="A58" s="363">
        <f t="shared" si="8"/>
        <v>38</v>
      </c>
      <c r="B58" s="364" t="s">
        <v>79</v>
      </c>
      <c r="C58" s="365" t="s">
        <v>265</v>
      </c>
      <c r="D58" s="366" t="s">
        <v>454</v>
      </c>
      <c r="E58" s="680"/>
      <c r="F58" s="369" t="str">
        <f t="shared" si="5"/>
        <v>Сокращенное название</v>
      </c>
      <c r="G58" s="364" t="s">
        <v>625</v>
      </c>
      <c r="H58" s="369" t="str">
        <f t="shared" si="9"/>
        <v>Фамилия_1 Имя Отчество</v>
      </c>
      <c r="I58" s="370">
        <f t="shared" si="6"/>
        <v>0</v>
      </c>
      <c r="J58" s="371">
        <f t="shared" si="7"/>
        <v>0</v>
      </c>
      <c r="K58" s="372"/>
      <c r="L58" s="375"/>
      <c r="M58" s="372"/>
      <c r="N58" s="385"/>
      <c r="O58" s="54"/>
      <c r="P58" s="18" t="e">
        <f>SUMIFS(#REF!,#REF!, $C58,#REF!, $E58,#REF!, $F58)</f>
        <v>#REF!</v>
      </c>
      <c r="Q58" s="55" t="e">
        <f>COUNTIFS(#REF!, $C58,#REF!, $E58,#REF!, $F58,#REF!, "&gt;=0")</f>
        <v>#REF!</v>
      </c>
      <c r="R58" s="18" t="e">
        <f>COUNTIFS(#REF!, $C58,#REF!, $E58,#REF!, $F58,#REF!, "лично")</f>
        <v>#REF!</v>
      </c>
      <c r="T58" s="16"/>
      <c r="U58" s="56"/>
    </row>
    <row r="59" spans="1:21" x14ac:dyDescent="0.25">
      <c r="A59" s="363">
        <f t="shared" si="8"/>
        <v>39</v>
      </c>
      <c r="B59" s="364" t="s">
        <v>79</v>
      </c>
      <c r="C59" s="365" t="s">
        <v>265</v>
      </c>
      <c r="D59" s="366" t="s">
        <v>454</v>
      </c>
      <c r="E59" s="680"/>
      <c r="F59" s="369" t="str">
        <f t="shared" si="5"/>
        <v>Сокращенное название</v>
      </c>
      <c r="G59" s="364" t="s">
        <v>625</v>
      </c>
      <c r="H59" s="369" t="str">
        <f t="shared" si="9"/>
        <v>Фамилия_1 Имя Отчество</v>
      </c>
      <c r="I59" s="370">
        <f t="shared" si="6"/>
        <v>0</v>
      </c>
      <c r="J59" s="371">
        <f t="shared" si="7"/>
        <v>0</v>
      </c>
      <c r="K59" s="372"/>
      <c r="L59" s="375"/>
      <c r="M59" s="372"/>
      <c r="N59" s="385"/>
      <c r="O59" s="54"/>
      <c r="P59" s="18" t="e">
        <f>SUMIFS(#REF!,#REF!, $C59,#REF!, $E59,#REF!, $F59)</f>
        <v>#REF!</v>
      </c>
      <c r="Q59" s="55" t="e">
        <f>COUNTIFS(#REF!, $C59,#REF!, $E59,#REF!, $F59,#REF!, "&gt;=0")</f>
        <v>#REF!</v>
      </c>
      <c r="R59" s="18" t="e">
        <f>COUNTIFS(#REF!, $C59,#REF!, $E59,#REF!, $F59,#REF!, "лично")</f>
        <v>#REF!</v>
      </c>
      <c r="T59" s="16"/>
      <c r="U59" s="56"/>
    </row>
    <row r="60" spans="1:21" x14ac:dyDescent="0.25">
      <c r="A60" s="363">
        <f t="shared" si="8"/>
        <v>40</v>
      </c>
      <c r="B60" s="364" t="s">
        <v>79</v>
      </c>
      <c r="C60" s="365" t="s">
        <v>265</v>
      </c>
      <c r="D60" s="366" t="s">
        <v>454</v>
      </c>
      <c r="E60" s="680"/>
      <c r="F60" s="369" t="str">
        <f t="shared" si="5"/>
        <v>Сокращенное название</v>
      </c>
      <c r="G60" s="364" t="s">
        <v>625</v>
      </c>
      <c r="H60" s="369" t="str">
        <f t="shared" si="9"/>
        <v>Фамилия_1 Имя Отчество</v>
      </c>
      <c r="I60" s="370">
        <f t="shared" si="6"/>
        <v>0</v>
      </c>
      <c r="J60" s="371">
        <f t="shared" si="7"/>
        <v>0</v>
      </c>
      <c r="K60" s="372"/>
      <c r="L60" s="375"/>
      <c r="M60" s="372"/>
      <c r="N60" s="385"/>
      <c r="O60" s="54"/>
      <c r="P60" s="18" t="e">
        <f>SUMIFS(#REF!,#REF!, $C60,#REF!, $E60,#REF!, $F60)</f>
        <v>#REF!</v>
      </c>
      <c r="Q60" s="55" t="e">
        <f>COUNTIFS(#REF!, $C60,#REF!, $E60,#REF!, $F60,#REF!, "&gt;=0")</f>
        <v>#REF!</v>
      </c>
      <c r="R60" s="18" t="e">
        <f>COUNTIFS(#REF!, $C60,#REF!, $E60,#REF!, $F60,#REF!, "лично")</f>
        <v>#REF!</v>
      </c>
      <c r="T60" s="16"/>
      <c r="U60" s="56"/>
    </row>
    <row r="61" spans="1:21" x14ac:dyDescent="0.25">
      <c r="A61" s="363">
        <f t="shared" si="8"/>
        <v>41</v>
      </c>
      <c r="B61" s="364" t="s">
        <v>79</v>
      </c>
      <c r="C61" s="365" t="s">
        <v>265</v>
      </c>
      <c r="D61" s="366" t="s">
        <v>454</v>
      </c>
      <c r="E61" s="680"/>
      <c r="F61" s="369" t="str">
        <f t="shared" si="5"/>
        <v>Сокращенное название</v>
      </c>
      <c r="G61" s="364" t="s">
        <v>625</v>
      </c>
      <c r="H61" s="369" t="str">
        <f t="shared" si="9"/>
        <v>Фамилия_1 Имя Отчество</v>
      </c>
      <c r="I61" s="370">
        <f t="shared" si="6"/>
        <v>0</v>
      </c>
      <c r="J61" s="371">
        <f t="shared" si="7"/>
        <v>0</v>
      </c>
      <c r="K61" s="372"/>
      <c r="L61" s="375"/>
      <c r="M61" s="372"/>
      <c r="N61" s="385"/>
      <c r="O61" s="54"/>
      <c r="P61" s="18" t="e">
        <f>SUMIFS(#REF!,#REF!, $C61,#REF!, $E61,#REF!, $F61)</f>
        <v>#REF!</v>
      </c>
      <c r="Q61" s="55" t="e">
        <f>COUNTIFS(#REF!, $C61,#REF!, $E61,#REF!, $F61,#REF!, "&gt;=0")</f>
        <v>#REF!</v>
      </c>
      <c r="R61" s="18" t="e">
        <f>COUNTIFS(#REF!, $C61,#REF!, $E61,#REF!, $F61,#REF!, "лично")</f>
        <v>#REF!</v>
      </c>
      <c r="T61" s="16"/>
      <c r="U61" s="56"/>
    </row>
    <row r="62" spans="1:21" x14ac:dyDescent="0.25">
      <c r="A62" s="363">
        <f t="shared" si="8"/>
        <v>42</v>
      </c>
      <c r="B62" s="364" t="s">
        <v>79</v>
      </c>
      <c r="C62" s="365" t="s">
        <v>265</v>
      </c>
      <c r="D62" s="366" t="s">
        <v>454</v>
      </c>
      <c r="E62" s="680"/>
      <c r="F62" s="369" t="str">
        <f t="shared" si="5"/>
        <v>Сокращенное название</v>
      </c>
      <c r="G62" s="364" t="s">
        <v>625</v>
      </c>
      <c r="H62" s="369" t="str">
        <f t="shared" si="9"/>
        <v>Фамилия_1 Имя Отчество</v>
      </c>
      <c r="I62" s="370">
        <f t="shared" si="6"/>
        <v>0</v>
      </c>
      <c r="J62" s="371">
        <f t="shared" si="7"/>
        <v>0</v>
      </c>
      <c r="K62" s="372"/>
      <c r="L62" s="375"/>
      <c r="M62" s="372"/>
      <c r="N62" s="385"/>
      <c r="O62" s="54"/>
      <c r="P62" s="18" t="e">
        <f>SUMIFS(#REF!,#REF!, $C62,#REF!, $E62,#REF!, $F62)</f>
        <v>#REF!</v>
      </c>
      <c r="Q62" s="55" t="e">
        <f>COUNTIFS(#REF!, $C62,#REF!, $E62,#REF!, $F62,#REF!, "&gt;=0")</f>
        <v>#REF!</v>
      </c>
      <c r="R62" s="18" t="e">
        <f>COUNTIFS(#REF!, $C62,#REF!, $E62,#REF!, $F62,#REF!, "лично")</f>
        <v>#REF!</v>
      </c>
      <c r="T62" s="16"/>
      <c r="U62" s="56"/>
    </row>
    <row r="63" spans="1:21" x14ac:dyDescent="0.25">
      <c r="A63" s="363">
        <f t="shared" si="8"/>
        <v>43</v>
      </c>
      <c r="B63" s="364" t="s">
        <v>79</v>
      </c>
      <c r="C63" s="365" t="s">
        <v>265</v>
      </c>
      <c r="D63" s="366" t="s">
        <v>454</v>
      </c>
      <c r="E63" s="680"/>
      <c r="F63" s="369" t="str">
        <f t="shared" si="5"/>
        <v>Сокращенное название</v>
      </c>
      <c r="G63" s="364" t="s">
        <v>625</v>
      </c>
      <c r="H63" s="369" t="str">
        <f t="shared" si="9"/>
        <v>Фамилия_1 Имя Отчество</v>
      </c>
      <c r="I63" s="370">
        <f t="shared" si="6"/>
        <v>0</v>
      </c>
      <c r="J63" s="371">
        <f t="shared" si="7"/>
        <v>0</v>
      </c>
      <c r="K63" s="372"/>
      <c r="L63" s="375"/>
      <c r="M63" s="372"/>
      <c r="N63" s="385"/>
      <c r="O63" s="54"/>
      <c r="P63" s="18" t="e">
        <f>SUMIFS(#REF!,#REF!, $C63,#REF!, $E63,#REF!, $F63)</f>
        <v>#REF!</v>
      </c>
      <c r="Q63" s="55" t="e">
        <f>COUNTIFS(#REF!, $C63,#REF!, $E63,#REF!, $F63,#REF!, "&gt;=0")</f>
        <v>#REF!</v>
      </c>
      <c r="R63" s="18" t="e">
        <f>COUNTIFS(#REF!, $C63,#REF!, $E63,#REF!, $F63,#REF!, "лично")</f>
        <v>#REF!</v>
      </c>
      <c r="T63" s="16"/>
      <c r="U63" s="56"/>
    </row>
    <row r="64" spans="1:21" x14ac:dyDescent="0.25">
      <c r="A64" s="363">
        <f t="shared" si="8"/>
        <v>44</v>
      </c>
      <c r="B64" s="364" t="s">
        <v>79</v>
      </c>
      <c r="C64" s="365" t="s">
        <v>265</v>
      </c>
      <c r="D64" s="366" t="s">
        <v>454</v>
      </c>
      <c r="E64" s="680"/>
      <c r="F64" s="369" t="str">
        <f t="shared" si="5"/>
        <v>Сокращенное название</v>
      </c>
      <c r="G64" s="364" t="s">
        <v>625</v>
      </c>
      <c r="H64" s="369" t="str">
        <f t="shared" si="9"/>
        <v>Фамилия_1 Имя Отчество</v>
      </c>
      <c r="I64" s="370">
        <f t="shared" si="6"/>
        <v>0</v>
      </c>
      <c r="J64" s="371">
        <f t="shared" si="7"/>
        <v>0</v>
      </c>
      <c r="K64" s="372"/>
      <c r="L64" s="375"/>
      <c r="M64" s="372"/>
      <c r="N64" s="385"/>
      <c r="O64" s="54"/>
      <c r="P64" s="18" t="e">
        <f>SUMIFS(#REF!,#REF!, $C64,#REF!, $E64,#REF!, $F64)</f>
        <v>#REF!</v>
      </c>
      <c r="Q64" s="55" t="e">
        <f>COUNTIFS(#REF!, $C64,#REF!, $E64,#REF!, $F64,#REF!, "&gt;=0")</f>
        <v>#REF!</v>
      </c>
      <c r="R64" s="18" t="e">
        <f>COUNTIFS(#REF!, $C64,#REF!, $E64,#REF!, $F64,#REF!, "лично")</f>
        <v>#REF!</v>
      </c>
      <c r="T64" s="16"/>
      <c r="U64" s="56"/>
    </row>
    <row r="65" spans="1:45" x14ac:dyDescent="0.25">
      <c r="A65" s="363">
        <f t="shared" si="8"/>
        <v>45</v>
      </c>
      <c r="B65" s="386" t="s">
        <v>117</v>
      </c>
      <c r="C65" s="365" t="s">
        <v>265</v>
      </c>
      <c r="D65" s="366" t="s">
        <v>454</v>
      </c>
      <c r="E65" s="680"/>
      <c r="F65" s="369" t="str">
        <f t="shared" si="5"/>
        <v>Сокращенное название</v>
      </c>
      <c r="G65" s="364" t="s">
        <v>625</v>
      </c>
      <c r="H65" s="369" t="str">
        <f t="shared" si="9"/>
        <v>Фамилия_1 Имя Отчество</v>
      </c>
      <c r="I65" s="370">
        <f t="shared" si="6"/>
        <v>0</v>
      </c>
      <c r="J65" s="371">
        <f t="shared" si="7"/>
        <v>0</v>
      </c>
      <c r="K65" s="372"/>
      <c r="L65" s="375"/>
      <c r="M65" s="372"/>
      <c r="N65" s="385"/>
      <c r="O65" s="54"/>
      <c r="P65" s="18" t="e">
        <f>SUMIFS(#REF!,#REF!, $C65,#REF!, $E65,#REF!, $F65)</f>
        <v>#REF!</v>
      </c>
      <c r="Q65" s="55" t="e">
        <f>COUNTIFS(#REF!, $C65,#REF!, $E65,#REF!, $F65,#REF!, "&gt;=0")</f>
        <v>#REF!</v>
      </c>
      <c r="R65" s="18" t="e">
        <f>COUNTIFS(#REF!, $C65,#REF!, $E65,#REF!, $F65,#REF!, "лично")</f>
        <v>#REF!</v>
      </c>
      <c r="T65" s="16"/>
      <c r="U65" s="56"/>
    </row>
    <row r="66" spans="1:45" x14ac:dyDescent="0.25">
      <c r="A66" s="363">
        <f t="shared" si="8"/>
        <v>46</v>
      </c>
      <c r="B66" s="386" t="s">
        <v>158</v>
      </c>
      <c r="C66" s="365" t="s">
        <v>265</v>
      </c>
      <c r="D66" s="366" t="s">
        <v>454</v>
      </c>
      <c r="E66" s="680"/>
      <c r="F66" s="369" t="str">
        <f t="shared" si="5"/>
        <v>Сокращенное название</v>
      </c>
      <c r="G66" s="364" t="s">
        <v>625</v>
      </c>
      <c r="H66" s="369" t="str">
        <f t="shared" si="9"/>
        <v>Фамилия_1 Имя Отчество</v>
      </c>
      <c r="I66" s="370">
        <f t="shared" si="6"/>
        <v>0</v>
      </c>
      <c r="J66" s="371">
        <f t="shared" si="7"/>
        <v>0</v>
      </c>
      <c r="K66" s="372"/>
      <c r="L66" s="375"/>
      <c r="M66" s="372"/>
      <c r="N66" s="385"/>
      <c r="O66" s="54"/>
      <c r="P66" s="18" t="e">
        <f>SUMIFS(#REF!,#REF!, $C66,#REF!, $E66,#REF!, $F66)</f>
        <v>#REF!</v>
      </c>
      <c r="Q66" s="55" t="e">
        <f>COUNTIFS(#REF!, $C66,#REF!, $E66,#REF!, $F66,#REF!, "&gt;=0")</f>
        <v>#REF!</v>
      </c>
      <c r="R66" s="18" t="e">
        <f>COUNTIFS(#REF!, $C66,#REF!, $E66,#REF!, $F66,#REF!, "лично")</f>
        <v>#REF!</v>
      </c>
      <c r="T66" s="16"/>
      <c r="U66" s="56"/>
    </row>
    <row r="67" spans="1:45" x14ac:dyDescent="0.25">
      <c r="A67" s="363">
        <f t="shared" si="8"/>
        <v>47</v>
      </c>
      <c r="B67" s="386" t="s">
        <v>100</v>
      </c>
      <c r="C67" s="365" t="s">
        <v>265</v>
      </c>
      <c r="D67" s="366" t="s">
        <v>454</v>
      </c>
      <c r="E67" s="680"/>
      <c r="F67" s="369" t="str">
        <f t="shared" si="5"/>
        <v>Сокращенное название</v>
      </c>
      <c r="G67" s="364" t="s">
        <v>625</v>
      </c>
      <c r="H67" s="369" t="str">
        <f t="shared" si="9"/>
        <v>Фамилия_1 Имя Отчество</v>
      </c>
      <c r="I67" s="370">
        <f t="shared" si="6"/>
        <v>0</v>
      </c>
      <c r="J67" s="371">
        <f t="shared" si="7"/>
        <v>0</v>
      </c>
      <c r="K67" s="372"/>
      <c r="L67" s="375"/>
      <c r="M67" s="372"/>
      <c r="N67" s="385"/>
      <c r="O67" s="54"/>
      <c r="P67" s="18" t="e">
        <f>SUMIFS(#REF!,#REF!, $C67,#REF!, $E67,#REF!, $F67)</f>
        <v>#REF!</v>
      </c>
      <c r="Q67" s="55" t="e">
        <f>COUNTIFS(#REF!, $C67,#REF!, $E67,#REF!, $F67,#REF!, "&gt;=0")</f>
        <v>#REF!</v>
      </c>
      <c r="R67" s="18" t="e">
        <f>COUNTIFS(#REF!, $C67,#REF!, $E67,#REF!, $F67,#REF!, "лично")</f>
        <v>#REF!</v>
      </c>
      <c r="T67" s="16"/>
      <c r="U67" s="56"/>
    </row>
    <row r="68" spans="1:45" x14ac:dyDescent="0.25">
      <c r="A68" s="363">
        <f t="shared" si="8"/>
        <v>48</v>
      </c>
      <c r="B68" s="364" t="s">
        <v>94</v>
      </c>
      <c r="C68" s="365" t="s">
        <v>265</v>
      </c>
      <c r="D68" s="366" t="s">
        <v>454</v>
      </c>
      <c r="E68" s="680"/>
      <c r="F68" s="369" t="str">
        <f t="shared" si="5"/>
        <v>Сокращенное название</v>
      </c>
      <c r="G68" s="364" t="s">
        <v>625</v>
      </c>
      <c r="H68" s="369" t="str">
        <f t="shared" si="9"/>
        <v>Фамилия_1 Имя Отчество</v>
      </c>
      <c r="I68" s="370">
        <f t="shared" si="6"/>
        <v>0</v>
      </c>
      <c r="J68" s="371">
        <f t="shared" si="7"/>
        <v>0</v>
      </c>
      <c r="K68" s="372"/>
      <c r="L68" s="375"/>
      <c r="M68" s="372"/>
      <c r="N68" s="385"/>
      <c r="O68" s="54"/>
      <c r="P68" s="18" t="e">
        <f>SUMIFS(#REF!,#REF!, $C68,#REF!, $E68,#REF!, $F68)</f>
        <v>#REF!</v>
      </c>
      <c r="Q68" s="55" t="e">
        <f>COUNTIFS(#REF!, $C68,#REF!, $E68,#REF!, $F68,#REF!, "&gt;=0")</f>
        <v>#REF!</v>
      </c>
      <c r="R68" s="18" t="e">
        <f>COUNTIFS(#REF!, $C68,#REF!, $E68,#REF!, $F68,#REF!, "лично")</f>
        <v>#REF!</v>
      </c>
      <c r="T68" s="16"/>
      <c r="U68" s="56"/>
    </row>
    <row r="69" spans="1:45" x14ac:dyDescent="0.25">
      <c r="A69" s="363">
        <f t="shared" si="8"/>
        <v>49</v>
      </c>
      <c r="B69" s="386" t="s">
        <v>100</v>
      </c>
      <c r="C69" s="365" t="s">
        <v>265</v>
      </c>
      <c r="D69" s="366" t="s">
        <v>454</v>
      </c>
      <c r="E69" s="680"/>
      <c r="F69" s="369" t="str">
        <f t="shared" si="5"/>
        <v>Сокращенное название</v>
      </c>
      <c r="G69" s="364" t="s">
        <v>625</v>
      </c>
      <c r="H69" s="369" t="str">
        <f t="shared" si="9"/>
        <v>Фамилия_1 Имя Отчество</v>
      </c>
      <c r="I69" s="370">
        <f t="shared" si="6"/>
        <v>0</v>
      </c>
      <c r="J69" s="371">
        <f t="shared" si="7"/>
        <v>0</v>
      </c>
      <c r="K69" s="372"/>
      <c r="L69" s="375"/>
      <c r="M69" s="372"/>
      <c r="N69" s="385"/>
      <c r="O69" s="54"/>
      <c r="P69" s="18" t="e">
        <f>SUMIFS(#REF!,#REF!, $C69,#REF!, $E69,#REF!, $F69)</f>
        <v>#REF!</v>
      </c>
      <c r="Q69" s="55" t="e">
        <f>COUNTIFS(#REF!, $C69,#REF!, $E69,#REF!, $F69,#REF!, "&gt;=0")</f>
        <v>#REF!</v>
      </c>
      <c r="R69" s="18" t="e">
        <f>COUNTIFS(#REF!, $C69,#REF!, $E69,#REF!, $F69,#REF!, "лично")</f>
        <v>#REF!</v>
      </c>
      <c r="T69" s="16"/>
      <c r="U69" s="56"/>
    </row>
    <row r="70" spans="1:45" x14ac:dyDescent="0.25">
      <c r="A70" s="435">
        <f t="shared" si="8"/>
        <v>50</v>
      </c>
      <c r="B70" s="436" t="s">
        <v>117</v>
      </c>
      <c r="C70" s="389" t="s">
        <v>265</v>
      </c>
      <c r="D70" s="390" t="s">
        <v>454</v>
      </c>
      <c r="E70" s="681"/>
      <c r="F70" s="393" t="str">
        <f t="shared" si="5"/>
        <v>Сокращенное название</v>
      </c>
      <c r="G70" s="388" t="s">
        <v>625</v>
      </c>
      <c r="H70" s="393" t="str">
        <f t="shared" si="9"/>
        <v>Фамилия_1 Имя Отчество</v>
      </c>
      <c r="I70" s="394">
        <f t="shared" si="6"/>
        <v>0</v>
      </c>
      <c r="J70" s="683">
        <f>COUNTA(K70:L70)</f>
        <v>0</v>
      </c>
      <c r="K70" s="396"/>
      <c r="L70" s="399"/>
      <c r="M70" s="396"/>
      <c r="N70" s="409"/>
      <c r="O70" s="54"/>
      <c r="P70" s="18" t="e">
        <f>SUMIFS(#REF!,#REF!, $C70,#REF!, $E70,#REF!, $F70)</f>
        <v>#REF!</v>
      </c>
      <c r="Q70" s="55" t="e">
        <f>COUNTIFS(#REF!, $C70,#REF!, $E70,#REF!, $F70,#REF!, "&gt;=0")</f>
        <v>#REF!</v>
      </c>
      <c r="R70" s="18" t="e">
        <f>COUNTIFS(#REF!, $C70,#REF!, $E70,#REF!, $F70,#REF!, "лично")</f>
        <v>#REF!</v>
      </c>
      <c r="T70" s="16"/>
    </row>
    <row r="71" spans="1:45" x14ac:dyDescent="0.25">
      <c r="A71" s="193"/>
      <c r="B71" s="86"/>
      <c r="C71" s="87"/>
      <c r="D71" s="249"/>
      <c r="E71" s="249"/>
      <c r="F71" s="249"/>
      <c r="G71" s="437" t="s">
        <v>626</v>
      </c>
      <c r="H71" s="437" t="s">
        <v>627</v>
      </c>
      <c r="I71" s="438">
        <f>SUMIF(G21:G70, "Ж", I21:I70)</f>
        <v>0</v>
      </c>
      <c r="J71" s="438">
        <f>SUM(J21:J45)</f>
        <v>0</v>
      </c>
      <c r="K71" s="112"/>
      <c r="L71" s="112"/>
      <c r="M71" s="112"/>
      <c r="N71" s="112"/>
      <c r="O71" s="194"/>
      <c r="P71" s="684" t="e">
        <f>SUM(P21:P70)</f>
        <v>#REF!</v>
      </c>
      <c r="Q71" s="684" t="e">
        <f>SUM(Q21:Q70)</f>
        <v>#REF!</v>
      </c>
      <c r="R71" s="684" t="e">
        <f>SUM(R21:R70)</f>
        <v>#REF!</v>
      </c>
      <c r="S71" s="195"/>
      <c r="T71" s="195"/>
      <c r="U71" s="112"/>
      <c r="V71" s="112"/>
      <c r="W71" s="112"/>
      <c r="X71" s="112"/>
      <c r="Y71" s="112"/>
      <c r="Z71" s="112"/>
      <c r="AA71" s="439"/>
      <c r="AB71" s="439"/>
      <c r="AC71" s="112"/>
      <c r="AD71" s="112"/>
      <c r="AE71" s="112"/>
      <c r="AF71" s="112"/>
      <c r="AG71" s="112"/>
      <c r="AH71" s="112"/>
      <c r="AI71" s="195"/>
      <c r="AJ71" s="202"/>
      <c r="AK71" s="195"/>
      <c r="AL71" s="202"/>
      <c r="AM71" s="195"/>
      <c r="AN71" s="96"/>
      <c r="AO71" s="96"/>
      <c r="AP71" s="96"/>
    </row>
    <row r="72" spans="1:45" x14ac:dyDescent="0.25">
      <c r="A72" s="193"/>
      <c r="B72" s="86"/>
      <c r="C72" s="87"/>
      <c r="D72" s="249"/>
      <c r="E72" s="249"/>
      <c r="F72" s="249"/>
      <c r="G72" s="437"/>
      <c r="H72" s="437" t="s">
        <v>628</v>
      </c>
      <c r="I72" s="440">
        <f>SUMIF(G21:G70, "М", I21:I70)</f>
        <v>0</v>
      </c>
      <c r="J72" s="440">
        <f>SUM(J46:J70)</f>
        <v>0</v>
      </c>
      <c r="K72" s="112"/>
      <c r="L72" s="112"/>
      <c r="M72" s="112"/>
      <c r="N72" s="112"/>
      <c r="O72" s="194"/>
      <c r="P72" s="194"/>
      <c r="Q72" s="194"/>
      <c r="R72" s="194"/>
      <c r="S72" s="195"/>
      <c r="T72" s="195"/>
      <c r="U72" s="195"/>
      <c r="V72" s="195"/>
      <c r="W72" s="112"/>
      <c r="X72" s="112"/>
      <c r="Y72" s="112"/>
      <c r="Z72" s="112"/>
      <c r="AA72" s="112"/>
      <c r="AB72" s="112"/>
      <c r="AC72" s="439"/>
      <c r="AD72" s="439"/>
      <c r="AE72" s="112"/>
      <c r="AF72" s="112"/>
      <c r="AG72" s="112"/>
      <c r="AH72" s="112"/>
      <c r="AI72" s="112"/>
      <c r="AJ72" s="112"/>
      <c r="AK72" s="195"/>
      <c r="AL72" s="202"/>
      <c r="AM72" s="195"/>
      <c r="AN72" s="202"/>
      <c r="AO72" s="195"/>
      <c r="AP72" s="96"/>
      <c r="AQ72" s="96"/>
      <c r="AR72" s="96"/>
    </row>
    <row r="73" spans="1:45" x14ac:dyDescent="0.25">
      <c r="A73" s="187"/>
      <c r="B73" s="92"/>
      <c r="C73" s="16"/>
      <c r="D73" s="204"/>
      <c r="E73" s="84"/>
      <c r="F73" s="74"/>
      <c r="G73" s="55"/>
      <c r="H73" s="437" t="s">
        <v>629</v>
      </c>
      <c r="I73" s="204">
        <f>COUNTIFS(I21:I70, "&gt;0", G21:G70, "Ж")</f>
        <v>0</v>
      </c>
      <c r="J73" s="18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2"/>
      <c r="AB73" s="52"/>
      <c r="AC73" s="52"/>
      <c r="AD73" s="52"/>
      <c r="AE73" s="51"/>
      <c r="AF73" s="51"/>
      <c r="AG73" s="51"/>
      <c r="AH73" s="51"/>
      <c r="AI73" s="52"/>
      <c r="AJ73" s="52"/>
      <c r="AK73" s="51"/>
      <c r="AL73" s="53"/>
      <c r="AM73" s="54"/>
      <c r="AN73" s="18"/>
      <c r="AO73" s="55"/>
      <c r="AP73" s="18"/>
      <c r="AR73" s="16"/>
    </row>
    <row r="74" spans="1:45" x14ac:dyDescent="0.25">
      <c r="A74" s="187"/>
      <c r="B74" s="92"/>
      <c r="C74" s="16"/>
      <c r="D74" s="204"/>
      <c r="E74" s="84"/>
      <c r="F74" s="74"/>
      <c r="G74" s="55"/>
      <c r="H74" s="437" t="s">
        <v>630</v>
      </c>
      <c r="I74" s="204">
        <f>COUNTIFS(I21:I70, "&gt;0", G21:G70, "М")</f>
        <v>0</v>
      </c>
      <c r="J74" s="18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2"/>
      <c r="AB74" s="52"/>
      <c r="AC74" s="52"/>
      <c r="AD74" s="52"/>
      <c r="AE74" s="51"/>
      <c r="AF74" s="51"/>
      <c r="AG74" s="51"/>
      <c r="AH74" s="51"/>
      <c r="AI74" s="52"/>
      <c r="AJ74" s="52"/>
      <c r="AK74" s="51"/>
      <c r="AL74" s="53"/>
      <c r="AM74" s="54"/>
      <c r="AN74" s="18"/>
      <c r="AO74" s="55"/>
      <c r="AP74" s="18"/>
      <c r="AR74" s="16"/>
    </row>
    <row r="75" spans="1:45" x14ac:dyDescent="0.25">
      <c r="A75" s="193"/>
      <c r="B75" s="86"/>
      <c r="C75" s="87"/>
      <c r="D75" s="249"/>
      <c r="E75" s="249"/>
      <c r="F75" s="249"/>
      <c r="G75" s="437"/>
      <c r="H75" s="437"/>
      <c r="I75" s="437"/>
      <c r="J75" s="339"/>
      <c r="K75" s="339"/>
      <c r="L75" s="112"/>
      <c r="M75" s="112"/>
      <c r="N75" s="112"/>
      <c r="O75" s="112"/>
      <c r="P75" s="194"/>
      <c r="Q75" s="194"/>
      <c r="R75" s="194"/>
      <c r="S75" s="194"/>
      <c r="T75" s="195"/>
      <c r="U75" s="195"/>
      <c r="V75" s="195"/>
      <c r="W75" s="195"/>
      <c r="X75" s="112"/>
      <c r="Y75" s="112"/>
      <c r="Z75" s="112"/>
      <c r="AA75" s="112"/>
      <c r="AB75" s="112"/>
      <c r="AC75" s="112"/>
      <c r="AD75" s="439"/>
      <c r="AE75" s="439"/>
      <c r="AF75" s="112"/>
      <c r="AG75" s="112"/>
      <c r="AH75" s="112"/>
      <c r="AI75" s="112"/>
      <c r="AJ75" s="112"/>
      <c r="AK75" s="202"/>
      <c r="AL75" s="195"/>
      <c r="AM75" s="202"/>
      <c r="AN75" s="195"/>
      <c r="AO75" s="202"/>
      <c r="AP75" s="195"/>
      <c r="AQ75" s="96"/>
      <c r="AR75" s="96"/>
      <c r="AS75" s="96"/>
    </row>
    <row r="76" spans="1:45" x14ac:dyDescent="0.25">
      <c r="A76" s="441" t="s">
        <v>631</v>
      </c>
      <c r="B76" s="87"/>
      <c r="C76" s="87"/>
      <c r="E76" s="441" t="s">
        <v>632</v>
      </c>
      <c r="G76" s="87"/>
      <c r="H76" s="87"/>
      <c r="I76" s="87"/>
      <c r="J76" s="87"/>
      <c r="K76" s="87"/>
      <c r="L76" s="339"/>
      <c r="M76" s="112"/>
      <c r="N76" s="112"/>
      <c r="O76" s="112"/>
      <c r="P76" s="194"/>
      <c r="Q76" s="194"/>
      <c r="R76" s="194"/>
      <c r="S76" s="194"/>
      <c r="T76" s="195"/>
      <c r="U76" s="195"/>
      <c r="V76" s="195"/>
      <c r="W76" s="195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202"/>
      <c r="AL76" s="195"/>
      <c r="AM76" s="202"/>
      <c r="AN76" s="195"/>
      <c r="AO76" s="202"/>
      <c r="AP76" s="195"/>
      <c r="AQ76" s="96"/>
      <c r="AR76" s="96"/>
      <c r="AS76" s="96"/>
    </row>
    <row r="77" spans="1:45" x14ac:dyDescent="0.25">
      <c r="A77" s="441" t="s">
        <v>631</v>
      </c>
      <c r="B77" s="87"/>
      <c r="C77" s="87"/>
      <c r="E77" s="441" t="s">
        <v>633</v>
      </c>
      <c r="G77" s="87"/>
      <c r="H77" s="87"/>
      <c r="I77" s="87"/>
      <c r="J77" s="87"/>
      <c r="K77" s="87"/>
      <c r="L77" s="112"/>
      <c r="M77" s="112"/>
      <c r="N77" s="112"/>
      <c r="O77" s="112"/>
      <c r="P77" s="194"/>
      <c r="Q77" s="194"/>
      <c r="R77" s="194"/>
      <c r="S77" s="194"/>
      <c r="T77" s="195"/>
      <c r="U77" s="195"/>
      <c r="V77" s="195"/>
      <c r="W77" s="195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202"/>
      <c r="AL77" s="195"/>
      <c r="AM77" s="202"/>
      <c r="AN77" s="195"/>
      <c r="AO77" s="202"/>
      <c r="AP77" s="195"/>
      <c r="AQ77" s="96"/>
      <c r="AR77" s="96"/>
      <c r="AS77" s="96"/>
    </row>
    <row r="78" spans="1:45" x14ac:dyDescent="0.25">
      <c r="A78" s="441" t="s">
        <v>631</v>
      </c>
      <c r="B78" s="87"/>
      <c r="C78" s="87"/>
      <c r="E78" s="441" t="s">
        <v>634</v>
      </c>
      <c r="G78" s="87"/>
      <c r="H78" s="87"/>
      <c r="I78" s="87"/>
      <c r="J78" s="87"/>
      <c r="K78" s="87"/>
      <c r="L78" s="112"/>
      <c r="M78" s="112"/>
      <c r="N78" s="112"/>
      <c r="O78" s="112"/>
      <c r="P78" s="194"/>
      <c r="Q78" s="194"/>
      <c r="R78" s="194"/>
      <c r="S78" s="194"/>
      <c r="T78" s="195"/>
      <c r="U78" s="195"/>
      <c r="V78" s="195"/>
      <c r="W78" s="195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202"/>
      <c r="AL78" s="195"/>
      <c r="AM78" s="202"/>
      <c r="AN78" s="195"/>
      <c r="AO78" s="202"/>
      <c r="AP78" s="195"/>
      <c r="AQ78" s="96"/>
      <c r="AR78" s="96"/>
      <c r="AS78" s="96"/>
    </row>
    <row r="79" spans="1:45" x14ac:dyDescent="0.25">
      <c r="A79" s="39"/>
      <c r="B79" s="87"/>
      <c r="C79" s="87"/>
      <c r="D79" s="39"/>
      <c r="E79" s="96"/>
      <c r="F79" s="96"/>
      <c r="G79" s="87"/>
      <c r="H79" s="87"/>
      <c r="I79" s="87"/>
      <c r="J79" s="87"/>
      <c r="K79" s="87"/>
      <c r="L79" s="112"/>
      <c r="M79" s="112"/>
      <c r="N79" s="112"/>
      <c r="O79" s="112"/>
      <c r="P79" s="194"/>
      <c r="Q79" s="194"/>
      <c r="R79" s="194"/>
      <c r="S79" s="194"/>
      <c r="T79" s="195"/>
      <c r="U79" s="195"/>
      <c r="V79" s="195"/>
      <c r="W79" s="195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202"/>
      <c r="AL79" s="195"/>
      <c r="AM79" s="202"/>
      <c r="AN79" s="195"/>
      <c r="AO79" s="202"/>
      <c r="AP79" s="195"/>
      <c r="AQ79" s="96"/>
      <c r="AR79" s="96"/>
      <c r="AS79" s="96"/>
    </row>
    <row r="80" spans="1:45" ht="12.75" customHeight="1" x14ac:dyDescent="0.25">
      <c r="A80" s="39"/>
      <c r="B80" s="87"/>
      <c r="C80" s="87"/>
      <c r="D80" s="39"/>
      <c r="E80" s="96"/>
      <c r="F80" s="96"/>
      <c r="G80" s="87"/>
      <c r="H80" s="87"/>
      <c r="I80" s="87"/>
      <c r="J80" s="87"/>
      <c r="K80" s="87"/>
      <c r="L80" s="112"/>
      <c r="M80" s="112"/>
      <c r="N80" s="112"/>
      <c r="O80" s="112"/>
      <c r="P80" s="194"/>
      <c r="Q80" s="194"/>
      <c r="R80" s="194"/>
      <c r="S80" s="194"/>
      <c r="T80" s="195"/>
      <c r="U80" s="195"/>
      <c r="V80" s="195"/>
      <c r="W80" s="195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202"/>
      <c r="AL80" s="195"/>
      <c r="AM80" s="202"/>
      <c r="AN80" s="195"/>
      <c r="AO80" s="202"/>
      <c r="AP80" s="195"/>
      <c r="AQ80" s="96"/>
      <c r="AR80" s="96"/>
      <c r="AS80" s="96"/>
    </row>
    <row r="81" spans="1:65" ht="15.75" customHeight="1" x14ac:dyDescent="0.25">
      <c r="A81" s="442"/>
      <c r="B81" s="443" t="s">
        <v>635</v>
      </c>
      <c r="C81" s="444"/>
      <c r="D81" s="442"/>
      <c r="E81" s="445"/>
      <c r="F81" s="445"/>
      <c r="G81" s="444"/>
      <c r="H81" s="444"/>
      <c r="I81" s="444"/>
      <c r="J81" s="444"/>
      <c r="K81" s="444"/>
      <c r="L81" s="446"/>
      <c r="M81" s="446"/>
      <c r="N81" s="446"/>
      <c r="O81" s="446"/>
      <c r="P81" s="447"/>
      <c r="Q81" s="447"/>
      <c r="R81" s="447"/>
      <c r="S81" s="447"/>
      <c r="T81" s="448"/>
      <c r="U81" s="448"/>
      <c r="V81" s="448"/>
      <c r="W81" s="448"/>
      <c r="X81" s="446"/>
      <c r="Y81" s="446"/>
      <c r="Z81" s="446"/>
      <c r="AA81" s="446"/>
      <c r="AB81" s="446"/>
      <c r="AC81" s="446"/>
      <c r="AD81" s="446"/>
      <c r="AE81" s="446"/>
      <c r="AF81" s="446"/>
      <c r="AG81" s="446"/>
      <c r="AH81" s="446"/>
      <c r="AI81" s="446"/>
      <c r="AJ81" s="446"/>
      <c r="AK81" s="202"/>
      <c r="AL81" s="448"/>
      <c r="AM81" s="202"/>
      <c r="AN81" s="448"/>
      <c r="AO81" s="202"/>
      <c r="AP81" s="445"/>
    </row>
    <row r="82" spans="1:65" ht="18.75" x14ac:dyDescent="0.25">
      <c r="A82" s="442"/>
      <c r="B82" s="449" t="s">
        <v>636</v>
      </c>
      <c r="C82" s="444"/>
      <c r="D82" s="442"/>
      <c r="E82" s="445"/>
      <c r="F82" s="445"/>
      <c r="G82" s="444"/>
      <c r="H82" s="444"/>
      <c r="I82" s="444"/>
      <c r="J82" s="444"/>
      <c r="K82" s="444"/>
      <c r="L82" s="446"/>
      <c r="M82" s="447"/>
      <c r="N82" s="447"/>
      <c r="O82" s="448"/>
      <c r="P82" s="448"/>
      <c r="Q82" s="446"/>
      <c r="R82" s="446"/>
      <c r="S82" s="446"/>
      <c r="T82" s="448"/>
      <c r="U82" s="202"/>
      <c r="V82" s="448"/>
      <c r="W82" s="445"/>
      <c r="X82" s="445"/>
      <c r="Y82" s="445"/>
    </row>
    <row r="83" spans="1:65" s="450" customFormat="1" ht="18.75" x14ac:dyDescent="0.25">
      <c r="A83" s="451"/>
      <c r="B83" s="278" t="s">
        <v>637</v>
      </c>
      <c r="C83" s="278"/>
      <c r="D83" s="451"/>
      <c r="E83" s="452"/>
      <c r="F83" s="452"/>
      <c r="G83" s="278"/>
      <c r="H83" s="278"/>
      <c r="I83" s="278"/>
      <c r="J83" s="278"/>
      <c r="K83" s="278"/>
      <c r="L83" s="453"/>
      <c r="M83" s="453"/>
      <c r="N83" s="453"/>
      <c r="O83" s="453"/>
      <c r="P83" s="454"/>
      <c r="Q83" s="454"/>
      <c r="R83" s="454"/>
      <c r="S83" s="454"/>
      <c r="T83" s="455"/>
      <c r="U83" s="455"/>
      <c r="V83" s="455"/>
      <c r="W83" s="455"/>
      <c r="X83" s="453"/>
      <c r="Y83" s="453"/>
      <c r="Z83" s="453"/>
      <c r="AA83" s="453"/>
      <c r="AB83" s="453"/>
      <c r="AC83" s="453"/>
      <c r="AD83" s="453"/>
      <c r="AE83" s="453"/>
      <c r="AF83" s="453"/>
      <c r="AG83" s="453"/>
      <c r="AH83" s="453"/>
      <c r="AI83" s="453"/>
      <c r="AJ83" s="453"/>
      <c r="AK83" s="455"/>
      <c r="AL83" s="456"/>
      <c r="AM83" s="455"/>
      <c r="AN83" s="456"/>
      <c r="AO83" s="455"/>
      <c r="AP83" s="452"/>
      <c r="AQ83" s="452"/>
      <c r="AR83" s="452"/>
    </row>
    <row r="84" spans="1:65" ht="19.5" x14ac:dyDescent="0.25">
      <c r="A84" s="39"/>
      <c r="B84" s="457" t="s">
        <v>638</v>
      </c>
      <c r="C84" s="87"/>
      <c r="D84" s="39"/>
      <c r="E84" s="96"/>
      <c r="F84" s="96"/>
      <c r="G84" s="87"/>
      <c r="H84" s="87"/>
      <c r="I84" s="87"/>
      <c r="J84" s="87"/>
      <c r="K84" s="87"/>
      <c r="L84" s="112"/>
      <c r="M84" s="194"/>
      <c r="N84" s="194"/>
      <c r="O84" s="195"/>
      <c r="P84" s="195"/>
      <c r="Q84" s="112"/>
      <c r="R84" s="112"/>
      <c r="S84" s="112"/>
      <c r="T84" s="195"/>
      <c r="U84" s="339"/>
      <c r="V84" s="195"/>
      <c r="W84" s="96"/>
      <c r="X84" s="96"/>
      <c r="Y84" s="96"/>
    </row>
    <row r="85" spans="1:65" ht="18.75" x14ac:dyDescent="0.25">
      <c r="A85" s="39"/>
      <c r="B85" s="458" t="s">
        <v>639</v>
      </c>
      <c r="C85" s="87"/>
      <c r="D85" s="39"/>
      <c r="E85" s="96"/>
      <c r="F85" s="96"/>
      <c r="G85" s="87"/>
      <c r="H85" s="87"/>
      <c r="I85" s="87"/>
      <c r="J85" s="87"/>
      <c r="K85" s="87"/>
      <c r="L85" s="112"/>
      <c r="M85" s="194"/>
      <c r="N85" s="194"/>
      <c r="O85" s="195"/>
      <c r="P85" s="195"/>
      <c r="Q85" s="112"/>
      <c r="R85" s="112"/>
      <c r="S85" s="112"/>
      <c r="T85" s="195"/>
      <c r="U85" s="339"/>
      <c r="V85" s="195"/>
      <c r="W85" s="96"/>
      <c r="X85" s="96"/>
      <c r="Y85" s="96"/>
    </row>
    <row r="86" spans="1:65" s="450" customFormat="1" ht="26.25" customHeight="1" x14ac:dyDescent="0.25">
      <c r="A86" s="259"/>
      <c r="B86" s="459" t="s">
        <v>640</v>
      </c>
      <c r="C86" s="259"/>
      <c r="D86" s="460"/>
      <c r="E86" s="460"/>
      <c r="F86" s="460"/>
      <c r="G86" s="259"/>
      <c r="H86" s="259"/>
      <c r="I86" s="259"/>
      <c r="J86" s="259"/>
      <c r="K86" s="259"/>
      <c r="L86" s="461"/>
      <c r="M86" s="462"/>
      <c r="N86" s="462"/>
      <c r="O86" s="463"/>
      <c r="P86" s="463"/>
      <c r="Q86" s="461"/>
      <c r="R86" s="461"/>
      <c r="S86" s="461"/>
      <c r="T86" s="463"/>
      <c r="U86" s="464"/>
      <c r="V86" s="463"/>
      <c r="W86" s="460"/>
      <c r="X86" s="460"/>
      <c r="Y86" s="460"/>
    </row>
    <row r="87" spans="1:65" s="450" customFormat="1" ht="64.5" customHeight="1" x14ac:dyDescent="0.25">
      <c r="A87" s="259"/>
      <c r="B87" s="2091" t="s">
        <v>641</v>
      </c>
      <c r="C87" s="2091"/>
      <c r="D87" s="2091"/>
      <c r="E87" s="2091"/>
      <c r="F87" s="2091"/>
      <c r="G87" s="2091"/>
      <c r="H87" s="2091"/>
      <c r="I87" s="2091"/>
      <c r="J87" s="2091"/>
      <c r="K87" s="2091"/>
      <c r="L87" s="2091"/>
      <c r="M87" s="2091"/>
      <c r="N87" s="2091"/>
      <c r="O87" s="2091"/>
      <c r="P87" s="2091"/>
      <c r="Q87" s="2091"/>
      <c r="R87" s="2091"/>
      <c r="S87" s="2091"/>
      <c r="T87" s="2091"/>
      <c r="U87" s="2091"/>
      <c r="V87" s="2091"/>
      <c r="W87" s="2091"/>
      <c r="X87" s="2091"/>
      <c r="Y87" s="2091"/>
      <c r="Z87" s="2091"/>
      <c r="AA87" s="2091"/>
      <c r="AB87" s="2091"/>
      <c r="AC87" s="2091"/>
      <c r="AD87" s="2091"/>
      <c r="AE87" s="2091"/>
      <c r="AF87" s="2091"/>
      <c r="AG87" s="2091"/>
      <c r="AH87" s="2091"/>
      <c r="AI87" s="2091"/>
      <c r="AJ87" s="2091"/>
      <c r="AK87" s="2091"/>
      <c r="AL87" s="2091"/>
    </row>
    <row r="88" spans="1:65" s="450" customFormat="1" ht="18.75" x14ac:dyDescent="0.25">
      <c r="A88" s="259"/>
      <c r="B88" s="2091" t="s">
        <v>642</v>
      </c>
      <c r="C88" s="2091"/>
      <c r="D88" s="2091"/>
      <c r="E88" s="2091"/>
      <c r="F88" s="2091"/>
      <c r="G88" s="2091"/>
      <c r="H88" s="2091"/>
      <c r="I88" s="2091"/>
      <c r="J88" s="2091"/>
      <c r="K88" s="2091"/>
      <c r="L88" s="2091"/>
      <c r="M88" s="2091"/>
      <c r="N88" s="2091"/>
      <c r="O88" s="2091"/>
      <c r="P88" s="2091"/>
      <c r="Q88" s="2091"/>
      <c r="R88" s="2091"/>
      <c r="S88" s="2091"/>
      <c r="T88" s="2091"/>
      <c r="U88" s="2091"/>
      <c r="V88" s="465"/>
      <c r="W88" s="460"/>
      <c r="X88" s="460"/>
      <c r="Y88" s="460"/>
    </row>
    <row r="89" spans="1:65" s="450" customFormat="1" ht="19.5" x14ac:dyDescent="0.25">
      <c r="A89" s="259"/>
      <c r="B89" s="459" t="s">
        <v>643</v>
      </c>
      <c r="C89" s="465"/>
      <c r="D89" s="465"/>
      <c r="E89" s="465"/>
      <c r="F89" s="465"/>
      <c r="G89" s="465"/>
      <c r="H89" s="465"/>
      <c r="I89" s="465"/>
      <c r="J89" s="465"/>
      <c r="K89" s="465"/>
      <c r="L89" s="466"/>
      <c r="M89" s="466"/>
      <c r="N89" s="466"/>
      <c r="O89" s="466"/>
      <c r="P89" s="466"/>
      <c r="Q89" s="466"/>
      <c r="R89" s="466"/>
      <c r="S89" s="466"/>
      <c r="T89" s="466"/>
      <c r="U89" s="299"/>
      <c r="V89" s="466"/>
      <c r="W89" s="467"/>
      <c r="X89" s="467"/>
      <c r="Y89" s="467"/>
    </row>
    <row r="90" spans="1:65" s="450" customFormat="1" ht="42" customHeight="1" x14ac:dyDescent="0.25">
      <c r="A90" s="299"/>
      <c r="B90" s="2091" t="s">
        <v>644</v>
      </c>
      <c r="C90" s="2091"/>
      <c r="D90" s="2091"/>
      <c r="E90" s="2091"/>
      <c r="F90" s="2091"/>
      <c r="G90" s="2091"/>
      <c r="H90" s="2091"/>
      <c r="I90" s="2091"/>
      <c r="J90" s="2091"/>
      <c r="K90" s="2091"/>
      <c r="L90" s="2091"/>
      <c r="M90" s="2091"/>
      <c r="N90" s="2091"/>
      <c r="O90" s="2091"/>
      <c r="P90" s="2091"/>
      <c r="Q90" s="2091"/>
      <c r="R90" s="2091"/>
      <c r="S90" s="2091"/>
      <c r="T90" s="2091"/>
      <c r="U90" s="2091"/>
      <c r="V90" s="2091"/>
      <c r="W90" s="2091"/>
      <c r="X90" s="2091"/>
      <c r="Y90" s="2091"/>
      <c r="Z90" s="2091"/>
      <c r="AA90" s="2091"/>
      <c r="AB90" s="2091"/>
      <c r="AC90" s="2091"/>
      <c r="AD90" s="2091"/>
      <c r="AE90" s="2091"/>
      <c r="AF90" s="2091"/>
      <c r="AG90" s="2091"/>
      <c r="AH90" s="2091"/>
      <c r="AI90" s="2091"/>
      <c r="AJ90" s="2091"/>
      <c r="AK90" s="2091"/>
      <c r="AL90" s="2091"/>
      <c r="AM90" s="2091"/>
      <c r="AR90" s="468"/>
      <c r="AS90" s="468"/>
      <c r="AT90" s="468"/>
      <c r="AU90" s="468"/>
      <c r="AV90" s="468"/>
      <c r="AW90" s="469"/>
      <c r="AX90" s="67"/>
      <c r="AY90" s="67"/>
      <c r="AZ90" s="470"/>
      <c r="BA90" s="119"/>
      <c r="BB90" s="471"/>
      <c r="BC90" s="471"/>
      <c r="BD90" s="471"/>
      <c r="BE90" s="119"/>
      <c r="BF90" s="46"/>
      <c r="BG90" s="46"/>
      <c r="BH90" s="46"/>
      <c r="BI90" s="46"/>
      <c r="BJ90" s="46"/>
      <c r="BK90" s="46"/>
      <c r="BL90" s="46"/>
      <c r="BM90" s="46"/>
    </row>
    <row r="91" spans="1:65" s="450" customFormat="1" ht="49.5" customHeight="1" x14ac:dyDescent="0.25">
      <c r="A91" s="299"/>
      <c r="B91" s="2091" t="s">
        <v>645</v>
      </c>
      <c r="C91" s="2091"/>
      <c r="D91" s="2091"/>
      <c r="E91" s="2091"/>
      <c r="F91" s="2091"/>
      <c r="G91" s="2091"/>
      <c r="H91" s="2091"/>
      <c r="I91" s="2091"/>
      <c r="J91" s="2091"/>
      <c r="K91" s="2091"/>
      <c r="L91" s="2091"/>
      <c r="M91" s="2091"/>
      <c r="N91" s="2091"/>
      <c r="O91" s="2091"/>
      <c r="P91" s="2091"/>
      <c r="Q91" s="2091"/>
      <c r="R91" s="2091"/>
      <c r="S91" s="2091"/>
      <c r="T91" s="2091"/>
      <c r="U91" s="2091"/>
      <c r="V91" s="2091"/>
      <c r="W91" s="2091"/>
      <c r="X91" s="2091"/>
      <c r="Y91" s="2091"/>
      <c r="Z91" s="2091"/>
      <c r="AA91" s="2091"/>
      <c r="AB91" s="2091"/>
      <c r="AC91" s="2091"/>
      <c r="AD91" s="2091"/>
      <c r="AE91" s="2091"/>
      <c r="AF91" s="2091"/>
      <c r="AG91" s="2091"/>
      <c r="AH91" s="2091"/>
      <c r="AI91" s="2091"/>
      <c r="AJ91" s="2091"/>
      <c r="AK91" s="2091"/>
      <c r="AL91" s="2091"/>
      <c r="AM91" s="472"/>
    </row>
    <row r="92" spans="1:65" s="450" customFormat="1" ht="42.75" customHeight="1" x14ac:dyDescent="0.25">
      <c r="A92" s="259"/>
      <c r="B92" s="2091" t="s">
        <v>646</v>
      </c>
      <c r="C92" s="2091"/>
      <c r="D92" s="2091"/>
      <c r="E92" s="2091"/>
      <c r="F92" s="2091"/>
      <c r="G92" s="2091"/>
      <c r="H92" s="2091"/>
      <c r="I92" s="2091"/>
      <c r="J92" s="2091"/>
      <c r="K92" s="2091"/>
      <c r="L92" s="2091"/>
      <c r="M92" s="2091"/>
      <c r="N92" s="2091"/>
      <c r="O92" s="2091"/>
      <c r="P92" s="2091"/>
      <c r="Q92" s="2091"/>
      <c r="R92" s="2091"/>
      <c r="S92" s="2091"/>
      <c r="T92" s="2091"/>
      <c r="U92" s="2091"/>
      <c r="V92" s="2091"/>
      <c r="W92" s="2091"/>
      <c r="X92" s="2091"/>
      <c r="Y92" s="2091"/>
      <c r="Z92" s="2091"/>
      <c r="AA92" s="2091"/>
      <c r="AB92" s="2091"/>
      <c r="AC92" s="2091"/>
      <c r="AD92" s="2091"/>
      <c r="AE92" s="2091"/>
      <c r="AF92" s="2091"/>
      <c r="AG92" s="2091"/>
      <c r="AH92" s="2091"/>
      <c r="AI92" s="2091"/>
      <c r="AJ92" s="2091"/>
      <c r="AK92" s="2091"/>
      <c r="AL92" s="2091"/>
    </row>
    <row r="93" spans="1:65" s="450" customFormat="1" ht="39" customHeight="1" x14ac:dyDescent="0.25">
      <c r="A93" s="259"/>
      <c r="B93" s="2091" t="s">
        <v>647</v>
      </c>
      <c r="C93" s="2091"/>
      <c r="D93" s="2091"/>
      <c r="E93" s="2091"/>
      <c r="F93" s="2091"/>
      <c r="G93" s="2091"/>
      <c r="H93" s="2091"/>
      <c r="I93" s="2091"/>
      <c r="J93" s="2091"/>
      <c r="K93" s="2091"/>
      <c r="L93" s="2091"/>
      <c r="M93" s="2091"/>
      <c r="N93" s="2091"/>
      <c r="O93" s="2091"/>
      <c r="P93" s="2091"/>
      <c r="Q93" s="2091"/>
      <c r="R93" s="2091"/>
      <c r="S93" s="2091"/>
      <c r="T93" s="2091"/>
      <c r="U93" s="2091"/>
      <c r="V93" s="2091"/>
      <c r="W93" s="2091"/>
      <c r="X93" s="2091"/>
      <c r="Y93" s="2091"/>
      <c r="Z93" s="2091"/>
      <c r="AA93" s="2091"/>
      <c r="AB93" s="2091"/>
      <c r="AC93" s="2091"/>
      <c r="AD93" s="2091"/>
      <c r="AE93" s="2091"/>
      <c r="AF93" s="2091"/>
      <c r="AG93" s="2091"/>
      <c r="AH93" s="2091"/>
      <c r="AI93" s="2091"/>
      <c r="AJ93" s="2091"/>
      <c r="AK93" s="2091"/>
      <c r="AL93" s="2091"/>
    </row>
    <row r="94" spans="1:65" ht="18.75" customHeight="1" x14ac:dyDescent="0.25">
      <c r="A94" s="85"/>
      <c r="B94" s="451" t="s">
        <v>715</v>
      </c>
      <c r="C94" s="103"/>
      <c r="D94" s="85"/>
      <c r="E94" s="471"/>
      <c r="F94" s="471"/>
      <c r="G94" s="103"/>
      <c r="H94" s="103"/>
      <c r="I94" s="103"/>
      <c r="J94" s="103"/>
      <c r="K94" s="103"/>
      <c r="L94" s="469"/>
      <c r="M94" s="473"/>
      <c r="N94" s="473"/>
      <c r="O94" s="474"/>
      <c r="P94" s="474"/>
      <c r="Q94" s="469"/>
      <c r="R94" s="469"/>
      <c r="S94" s="469"/>
      <c r="T94" s="474"/>
      <c r="U94" s="339"/>
      <c r="V94" s="474"/>
      <c r="W94" s="471"/>
      <c r="X94" s="471"/>
      <c r="Y94" s="471"/>
    </row>
    <row r="95" spans="1:65" ht="18.75" customHeight="1" x14ac:dyDescent="0.25">
      <c r="A95" s="85"/>
      <c r="B95" s="278" t="s">
        <v>716</v>
      </c>
      <c r="C95" s="103"/>
      <c r="D95" s="85"/>
      <c r="E95" s="471"/>
      <c r="F95" s="471"/>
      <c r="G95" s="103"/>
      <c r="H95" s="103"/>
      <c r="I95" s="103"/>
      <c r="J95" s="103"/>
      <c r="K95" s="103"/>
      <c r="L95" s="469"/>
      <c r="M95" s="473"/>
      <c r="N95" s="473"/>
      <c r="O95" s="474"/>
      <c r="P95" s="474"/>
      <c r="Q95" s="469"/>
      <c r="R95" s="469"/>
      <c r="S95" s="469"/>
      <c r="T95" s="474"/>
      <c r="U95" s="444"/>
      <c r="V95" s="474"/>
      <c r="W95" s="471"/>
      <c r="X95" s="471"/>
      <c r="Y95" s="471"/>
    </row>
    <row r="96" spans="1:65" ht="18.75" x14ac:dyDescent="0.25">
      <c r="A96" s="85"/>
      <c r="B96" s="451" t="s">
        <v>650</v>
      </c>
      <c r="C96" s="103"/>
      <c r="D96" s="85"/>
      <c r="E96" s="471"/>
      <c r="F96" s="471"/>
      <c r="G96" s="103"/>
      <c r="H96" s="103"/>
      <c r="I96" s="103"/>
      <c r="J96" s="103"/>
      <c r="K96" s="103"/>
      <c r="L96" s="469"/>
      <c r="M96" s="473"/>
      <c r="N96" s="473"/>
      <c r="O96" s="474"/>
      <c r="P96" s="474"/>
      <c r="Q96" s="469"/>
      <c r="R96" s="469"/>
      <c r="S96" s="469"/>
      <c r="T96" s="474"/>
      <c r="U96" s="87"/>
      <c r="V96" s="474"/>
      <c r="W96" s="471"/>
      <c r="X96" s="471"/>
      <c r="Y96" s="471"/>
    </row>
    <row r="97" spans="1:41" ht="18.75" x14ac:dyDescent="0.25">
      <c r="A97" s="475">
        <v>4</v>
      </c>
      <c r="B97" s="451" t="s">
        <v>651</v>
      </c>
      <c r="C97" s="476"/>
      <c r="D97" s="475"/>
      <c r="E97" s="475"/>
      <c r="F97" s="475"/>
      <c r="G97" s="476"/>
      <c r="H97" s="476"/>
      <c r="I97" s="476"/>
      <c r="J97" s="476"/>
      <c r="K97" s="476"/>
      <c r="L97" s="477"/>
      <c r="M97" s="478"/>
      <c r="N97" s="478"/>
      <c r="O97" s="479"/>
      <c r="P97" s="479"/>
      <c r="Q97" s="477"/>
      <c r="R97" s="477"/>
      <c r="S97" s="477"/>
      <c r="T97" s="479"/>
      <c r="U97" s="444"/>
      <c r="V97" s="479"/>
      <c r="W97" s="475"/>
      <c r="X97" s="475"/>
      <c r="Y97" s="475"/>
    </row>
    <row r="98" spans="1:41" ht="18.75" x14ac:dyDescent="0.25">
      <c r="A98" s="39"/>
      <c r="B98" s="459" t="s">
        <v>652</v>
      </c>
      <c r="C98" s="103"/>
      <c r="D98" s="85"/>
      <c r="E98" s="471"/>
      <c r="F98" s="471"/>
      <c r="G98" s="103"/>
      <c r="H98" s="103"/>
      <c r="I98" s="103"/>
      <c r="J98" s="103"/>
      <c r="K98" s="103"/>
      <c r="L98" s="469"/>
      <c r="M98" s="468"/>
      <c r="N98" s="468"/>
      <c r="O98" s="468"/>
      <c r="P98" s="468"/>
      <c r="Q98" s="468"/>
      <c r="R98" s="469"/>
      <c r="S98" s="67"/>
      <c r="T98" s="67"/>
      <c r="U98" s="470"/>
      <c r="V98" s="119"/>
      <c r="W98" s="471"/>
      <c r="X98" s="471"/>
      <c r="Y98" s="471"/>
      <c r="Z98" s="119"/>
    </row>
    <row r="99" spans="1:41" x14ac:dyDescent="0.25">
      <c r="A99" s="87"/>
      <c r="B99" s="480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81"/>
      <c r="N99" s="481"/>
      <c r="O99" s="481"/>
      <c r="P99" s="481"/>
      <c r="Q99" s="481"/>
      <c r="R99" s="481"/>
      <c r="S99" s="481"/>
      <c r="T99" s="481"/>
      <c r="U99" s="482"/>
      <c r="V99" s="481"/>
      <c r="W99" s="471"/>
      <c r="X99" s="471"/>
      <c r="Y99" s="471"/>
    </row>
    <row r="100" spans="1:41" ht="18.75" x14ac:dyDescent="0.25">
      <c r="A100" s="87"/>
      <c r="B100" s="2091" t="s">
        <v>653</v>
      </c>
      <c r="C100" s="2091"/>
      <c r="D100" s="2091"/>
      <c r="E100" s="2091"/>
      <c r="F100" s="2091"/>
      <c r="G100" s="2091"/>
      <c r="H100" s="2091"/>
      <c r="I100" s="2091"/>
      <c r="J100" s="2091"/>
      <c r="K100" s="2091"/>
      <c r="L100" s="2091"/>
      <c r="M100" s="2091"/>
      <c r="N100" s="2091"/>
      <c r="O100" s="2091"/>
      <c r="P100" s="2091"/>
      <c r="Q100" s="2091"/>
      <c r="R100" s="2091"/>
      <c r="S100" s="2091"/>
      <c r="T100" s="2091"/>
      <c r="U100" s="2091"/>
      <c r="V100" s="2091"/>
      <c r="W100" s="2091"/>
      <c r="X100" s="2091"/>
      <c r="Y100" s="2091"/>
      <c r="Z100" s="2091"/>
      <c r="AA100" s="2091"/>
      <c r="AB100" s="2091"/>
      <c r="AC100" s="2091"/>
      <c r="AD100" s="2091"/>
      <c r="AE100" s="2091"/>
      <c r="AF100" s="2091"/>
      <c r="AG100" s="483"/>
      <c r="AH100" s="483"/>
      <c r="AI100" s="483"/>
      <c r="AJ100" s="483"/>
      <c r="AK100" s="476"/>
      <c r="AL100" s="483"/>
      <c r="AM100" s="476"/>
      <c r="AN100" s="483"/>
      <c r="AO100" s="96"/>
    </row>
    <row r="101" spans="1:41" x14ac:dyDescent="0.25">
      <c r="AK101" s="87"/>
      <c r="AM101" s="87"/>
      <c r="AO101" s="87"/>
    </row>
    <row r="102" spans="1:41" x14ac:dyDescent="0.25">
      <c r="AK102" s="87"/>
      <c r="AM102" s="87"/>
      <c r="AO102" s="87"/>
    </row>
    <row r="103" spans="1:41" x14ac:dyDescent="0.25">
      <c r="AK103" s="87"/>
      <c r="AM103" s="87"/>
      <c r="AO103" s="87"/>
    </row>
    <row r="104" spans="1:41" x14ac:dyDescent="0.25">
      <c r="AK104" s="87"/>
      <c r="AM104" s="87"/>
      <c r="AO104" s="87"/>
    </row>
    <row r="105" spans="1:41" x14ac:dyDescent="0.25">
      <c r="AK105" s="87"/>
      <c r="AM105" s="87"/>
      <c r="AO105" s="87"/>
    </row>
    <row r="106" spans="1:41" x14ac:dyDescent="0.25">
      <c r="AK106" s="339"/>
      <c r="AM106" s="339"/>
      <c r="AO106" s="339"/>
    </row>
    <row r="107" spans="1:41" x14ac:dyDescent="0.25">
      <c r="AK107" s="339"/>
      <c r="AM107" s="339"/>
      <c r="AO107" s="339"/>
    </row>
  </sheetData>
  <mergeCells count="36">
    <mergeCell ref="B100:AF100"/>
    <mergeCell ref="B87:AL87"/>
    <mergeCell ref="B88:U88"/>
    <mergeCell ref="B90:AM90"/>
    <mergeCell ref="B92:AL92"/>
    <mergeCell ref="B91:AL91"/>
    <mergeCell ref="G19:G20"/>
    <mergeCell ref="I19:I20"/>
    <mergeCell ref="B93:AL93"/>
    <mergeCell ref="I12:K12"/>
    <mergeCell ref="L12:M12"/>
    <mergeCell ref="N12:O12"/>
    <mergeCell ref="P12:T13"/>
    <mergeCell ref="U12:AC13"/>
    <mergeCell ref="B4:AC5"/>
    <mergeCell ref="B7:AC8"/>
    <mergeCell ref="H10:O10"/>
    <mergeCell ref="U10:AC11"/>
    <mergeCell ref="L11:M11"/>
    <mergeCell ref="N11:O11"/>
    <mergeCell ref="I11:K11"/>
    <mergeCell ref="P10:T11"/>
    <mergeCell ref="A14:AN14"/>
    <mergeCell ref="N13:O13"/>
    <mergeCell ref="L13:M13"/>
    <mergeCell ref="I13:K13"/>
    <mergeCell ref="A19:A20"/>
    <mergeCell ref="K19:L19"/>
    <mergeCell ref="J19:J20"/>
    <mergeCell ref="F19:F20"/>
    <mergeCell ref="C19:D20"/>
    <mergeCell ref="E19:E20"/>
    <mergeCell ref="B19:B20"/>
    <mergeCell ref="M19:N19"/>
    <mergeCell ref="H19:H20"/>
    <mergeCell ref="AD10:AN13"/>
  </mergeCells>
  <conditionalFormatting sqref="B21:B70">
    <cfRule type="expression" dxfId="114" priority="15">
      <formula>IF(#REF!&lt;&gt;$H$11, IF(#REF!&lt;&gt;$H$12, IF(#REF!&lt;&gt;$H$13, IF(#REF!&lt;&gt;$I$11, IF(B21&lt;&gt;$I$12, IF(#REF!&lt;&gt;$I$13, IF(#REF!&lt;&gt;$L$11, IF(#REF!&lt;&gt;$L$12, IF(#REF!&lt;&gt;$L$13, IF(#REF!&lt;&gt;$N$11, IF(#REF!&lt;&gt;$N$12, TRUE)))))))))))</formula>
    </cfRule>
  </conditionalFormatting>
  <conditionalFormatting sqref="T21:T30">
    <cfRule type="expression" dxfId="113" priority="14">
      <formula>IF(#REF!&lt;&gt;$H$11, IF(#REF!&lt;&gt;$H$12, IF(#REF!&lt;&gt;$H$13, IF(#REF!&lt;&gt;$I$11, IF(#REF!&lt;&gt;$I$12, IF(#REF!&lt;&gt;$I$13, IF(#REF!&lt;&gt;$L$11, IF(#REF!&lt;&gt;$L$12, IF(#REF!&lt;&gt;$L$13, IF(#REF!&lt;&gt;$N$78, IF(#REF!&lt;&gt;$N$79, TRUE)))))))))))</formula>
    </cfRule>
  </conditionalFormatting>
  <conditionalFormatting sqref="K21:K70 M21:M70">
    <cfRule type="expression" dxfId="112" priority="13">
      <formula>IF(NOT(ISBLANK(K21)), IF(ISNUMBER(K21), IF(INT(K21/10000)&gt;23, TRUE, IF(INT(MOD(K21, 10000)/100)&gt;59.99, TRUE, IF(MOD(K21, 100)&gt;59.99, TRUE, FALSE))), TRUE))</formula>
    </cfRule>
  </conditionalFormatting>
  <conditionalFormatting sqref="L21:L70 L73:L74 N73:N74 P73:P74 R73:R74 T73:T74 V73:V74 X73:X74 Z73:Z74 AB73:AB74 AD73:AD74 AF73:AF74 AH73:AH74 AJ73:AJ74">
    <cfRule type="expression" dxfId="111" priority="12">
      <formula>IF(L21="л", TRUE, )</formula>
    </cfRule>
  </conditionalFormatting>
  <conditionalFormatting sqref="L21:L70 L73:L74 N73:N74 P73:P74 R73:R74 T73:T74 V73:V74 X73:X74 Z73:Z74 AB73:AB74 AD73:AD74 AF73:AF74 AH73:AH74 AJ73:AJ74">
    <cfRule type="expression" dxfId="110" priority="11">
      <formula>IF(L21="в", TRUE, )</formula>
    </cfRule>
  </conditionalFormatting>
  <conditionalFormatting sqref="L21:L70 L73:L74 N73:N74 P73:P74 R73:R74 T73:T74 V73:V74 X73:X74 Z73:Z74 AB73:AB74 AD73:AD74 AF73:AF74 AH73:AH74 AJ73:AJ74">
    <cfRule type="expression" dxfId="109" priority="10">
      <formula>IF(L21="л", "ЛОЖЬ", IF(L21="в", "ЛОЖЬ", IF(ISBLANK(L21), "ЛОЖЬ", TRUE)))</formula>
    </cfRule>
  </conditionalFormatting>
  <conditionalFormatting sqref="M21:M70">
    <cfRule type="expression" dxfId="108" priority="9">
      <formula>IF(ISBLANK(M21), FALSE, IF($I21=0, TRUE))</formula>
    </cfRule>
  </conditionalFormatting>
  <conditionalFormatting sqref="I21:I70">
    <cfRule type="expression" dxfId="107" priority="8">
      <formula>IF(I21&gt;$G$11, TRUE)</formula>
    </cfRule>
  </conditionalFormatting>
  <conditionalFormatting sqref="J21:J70">
    <cfRule type="expression" dxfId="106" priority="7">
      <formula>IF(J21&gt;$G$11+$G$12-I21, IF(J21+I21&gt;$G$11+$G$12, TRUE, ))</formula>
    </cfRule>
  </conditionalFormatting>
  <conditionalFormatting sqref="I74">
    <cfRule type="expression" dxfId="105" priority="6">
      <formula>IF($I$74&gt;$E$12, TRUE)</formula>
    </cfRule>
  </conditionalFormatting>
  <conditionalFormatting sqref="I73">
    <cfRule type="expression" dxfId="104" priority="5">
      <formula>IF($I$73&gt;$E$11, TRUE)</formula>
    </cfRule>
  </conditionalFormatting>
  <conditionalFormatting sqref="E21:E70">
    <cfRule type="expression" dxfId="103" priority="4">
      <formula>IF(ISBLANK(E21), FALSE, IF(IF(ISNUMBER($E$13), IF(YEAR(TODAY())-$E$13&lt;=E21, FALSE, TRUE), FALSE), TRUE, IF(ISNUMBER($G$13), IF(YEAR(TODAY())-$G$13&lt;E21, TRUE, FALSE), FALSE)))</formula>
    </cfRule>
  </conditionalFormatting>
  <conditionalFormatting sqref="G21:G70">
    <cfRule type="expression" dxfId="102" priority="3">
      <formula>IF(G21="м", FALSE, IF(G21="ж", FALSE, TRUE))</formula>
    </cfRule>
  </conditionalFormatting>
  <conditionalFormatting sqref="N21:N70">
    <cfRule type="expression" dxfId="101" priority="2">
      <formula>IF(ISBLANK(M21), IF(ISBLANK(N21), FALSE, TRUE), IF(ISNUMBER(N21), FALSE, TRUE))</formula>
    </cfRule>
  </conditionalFormatting>
  <conditionalFormatting sqref="K21:K70">
    <cfRule type="expression" dxfId="100" priority="1">
      <formula>IF(ISNUMBER(K21), IF(YEAR(TODAY())-14&gt;=E21, FALSE, TRUE))</formula>
    </cfRule>
  </conditionalFormatting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workbookViewId="0"/>
  </sheetViews>
  <sheetFormatPr defaultColWidth="9.140625" defaultRowHeight="15" x14ac:dyDescent="0.25"/>
  <cols>
    <col min="1" max="1" width="3.85546875" customWidth="1"/>
    <col min="2" max="3" width="12.42578125" customWidth="1"/>
    <col min="4" max="4" width="15.42578125" customWidth="1"/>
    <col min="5" max="5" width="14.140625" customWidth="1"/>
    <col min="6" max="6" width="17" customWidth="1"/>
    <col min="7" max="7" width="10" customWidth="1"/>
    <col min="8" max="8" width="11" customWidth="1"/>
    <col min="9" max="9" width="9.5703125" customWidth="1"/>
    <col min="10" max="10" width="10" customWidth="1"/>
    <col min="11" max="11" width="24" customWidth="1"/>
    <col min="12" max="36" width="1.42578125" customWidth="1"/>
  </cols>
  <sheetData>
    <row r="1" spans="1:11" x14ac:dyDescent="0.25">
      <c r="H1" s="2234" t="s">
        <v>654</v>
      </c>
      <c r="I1" s="2234"/>
      <c r="J1" s="2234"/>
      <c r="K1" s="2234"/>
    </row>
    <row r="2" spans="1:11" ht="21.75" customHeight="1" x14ac:dyDescent="0.25">
      <c r="H2" s="2234"/>
      <c r="I2" s="2234"/>
      <c r="J2" s="2234"/>
      <c r="K2" s="2234"/>
    </row>
    <row r="3" spans="1:11" ht="33" x14ac:dyDescent="0.25">
      <c r="A3" s="2208" t="s">
        <v>655</v>
      </c>
      <c r="B3" s="2208"/>
      <c r="C3" s="2208"/>
      <c r="D3" s="2208"/>
      <c r="E3" s="2208"/>
      <c r="F3" s="2208"/>
      <c r="G3" s="2208"/>
      <c r="H3" s="2208"/>
      <c r="I3" s="2208"/>
      <c r="J3" s="2208"/>
      <c r="K3" s="2208"/>
    </row>
    <row r="4" spans="1:11" ht="22.5" customHeight="1" x14ac:dyDescent="0.25">
      <c r="B4" s="484"/>
      <c r="C4" s="130" t="s">
        <v>656</v>
      </c>
      <c r="D4" s="2209" t="str">
        <f>Техническая_марафон!E15</f>
        <v>Полное Название команды, город (край, область и пр.)</v>
      </c>
      <c r="E4" s="2919"/>
      <c r="F4" s="2920"/>
      <c r="G4" s="2921"/>
      <c r="H4" s="2922"/>
      <c r="I4" s="2923"/>
      <c r="J4" s="2924"/>
      <c r="K4" s="2925"/>
    </row>
    <row r="5" spans="1:11" ht="36.75" customHeight="1" x14ac:dyDescent="0.25">
      <c r="C5" s="485" t="s">
        <v>595</v>
      </c>
      <c r="D5" s="2217" t="str">
        <f>Техническая_марафон!G17</f>
        <v>Название Соревнований по подводному спорту (1460008511Я) (плавание в ластах)</v>
      </c>
      <c r="E5" s="2926"/>
      <c r="F5" s="2927"/>
      <c r="G5" s="2928"/>
      <c r="H5" s="2929"/>
      <c r="I5" s="2930"/>
      <c r="J5" s="2931"/>
      <c r="K5" s="2932"/>
    </row>
    <row r="6" spans="1:11" ht="26.25" customHeight="1" x14ac:dyDescent="0.25">
      <c r="C6" s="485" t="s">
        <v>657</v>
      </c>
      <c r="D6" s="2228" t="str">
        <f>Техническая_марафон!U10</f>
        <v>г. Город, бассейн "ААА", 50 м</v>
      </c>
      <c r="E6" s="2935"/>
      <c r="F6" s="2936"/>
      <c r="G6" s="2937"/>
      <c r="H6" s="2938"/>
      <c r="I6" s="2939"/>
      <c r="J6" s="486" t="s">
        <v>658</v>
      </c>
      <c r="K6" s="685" t="str">
        <f>Техническая_марафон!U12</f>
        <v>02-06 февраля 2015 г.</v>
      </c>
    </row>
    <row r="7" spans="1:11" ht="12.75" customHeight="1" x14ac:dyDescent="0.25">
      <c r="A7" s="488"/>
      <c r="B7" s="488"/>
      <c r="C7" s="488"/>
      <c r="D7" s="489"/>
      <c r="E7" s="490"/>
      <c r="F7" s="490"/>
      <c r="G7" s="490"/>
      <c r="H7" s="490"/>
      <c r="I7" s="490"/>
      <c r="J7" s="490"/>
      <c r="K7" s="490"/>
    </row>
    <row r="8" spans="1:11" ht="53.25" customHeight="1" x14ac:dyDescent="0.25">
      <c r="A8" s="491" t="s">
        <v>6</v>
      </c>
      <c r="B8" s="2225" t="s">
        <v>659</v>
      </c>
      <c r="C8" s="2933"/>
      <c r="D8" s="2934"/>
      <c r="E8" s="493" t="s">
        <v>660</v>
      </c>
      <c r="F8" s="492" t="s">
        <v>661</v>
      </c>
      <c r="G8" s="493" t="s">
        <v>662</v>
      </c>
      <c r="H8" s="494" t="s">
        <v>663</v>
      </c>
      <c r="I8" s="2225" t="s">
        <v>601</v>
      </c>
      <c r="J8" s="2940"/>
      <c r="K8" s="495" t="s">
        <v>664</v>
      </c>
    </row>
    <row r="9" spans="1:11" s="496" customFormat="1" ht="27" customHeight="1" x14ac:dyDescent="0.25">
      <c r="A9" s="492">
        <v>1</v>
      </c>
      <c r="B9" s="497" t="str">
        <f>Техническая_марафон!C21</f>
        <v>Девушки</v>
      </c>
      <c r="C9" s="497"/>
      <c r="D9" s="499" t="str">
        <f>Техническая_марафон!D21</f>
        <v xml:space="preserve"> </v>
      </c>
      <c r="E9" s="500">
        <f>Техническая_марафон!E21</f>
        <v>36335</v>
      </c>
      <c r="F9" s="495" t="str">
        <f>IF(Техническая_марафон!G21="Ж", "спортсменка", IF(Техническая_марафон!G21="М", "спортсмен", "не понятно кто"))</f>
        <v>спортсменка</v>
      </c>
      <c r="G9" s="495"/>
      <c r="H9" s="495" t="str">
        <f>Техническая_марафон!B21</f>
        <v>I</v>
      </c>
      <c r="I9" s="2147" t="str">
        <f>Техническая_марафон!H21</f>
        <v>Фамилия_1 Имя Отчество</v>
      </c>
      <c r="J9" s="2947"/>
      <c r="K9" s="501"/>
    </row>
    <row r="10" spans="1:11" s="496" customFormat="1" ht="27" customHeight="1" x14ac:dyDescent="0.25">
      <c r="A10" s="492">
        <v>2</v>
      </c>
      <c r="B10" s="497" t="str">
        <f>Техническая_марафон!C22</f>
        <v>Девушки</v>
      </c>
      <c r="C10" s="497"/>
      <c r="D10" s="499" t="str">
        <f>Техническая_марафон!D22</f>
        <v xml:space="preserve"> </v>
      </c>
      <c r="E10" s="500">
        <f>Техническая_марафон!E22</f>
        <v>0</v>
      </c>
      <c r="F10" s="495" t="str">
        <f>IF(Техническая_марафон!G22="Ж", "спортсменка", IF(Техническая_марафон!G22="М", "спортсмен", "не понятно кто"))</f>
        <v>спортсменка</v>
      </c>
      <c r="G10" s="495"/>
      <c r="H10" s="495" t="str">
        <f>Техническая_марафон!B22</f>
        <v>I</v>
      </c>
      <c r="I10" s="2147" t="str">
        <f>Техническая_марафон!H22</f>
        <v>Фамилия_1 Имя Отчество</v>
      </c>
      <c r="J10" s="2948"/>
      <c r="K10" s="501"/>
    </row>
    <row r="11" spans="1:11" s="496" customFormat="1" ht="27" customHeight="1" x14ac:dyDescent="0.25">
      <c r="A11" s="492">
        <v>3</v>
      </c>
      <c r="B11" s="497" t="str">
        <f>Техническая_марафон!C23</f>
        <v>Девушки</v>
      </c>
      <c r="C11" s="497"/>
      <c r="D11" s="499" t="str">
        <f>Техническая_марафон!D23</f>
        <v xml:space="preserve"> </v>
      </c>
      <c r="E11" s="500">
        <f>Техническая_марафон!E23</f>
        <v>0</v>
      </c>
      <c r="F11" s="495" t="str">
        <f>IF(Техническая_марафон!G23="Ж", "спортсменка", IF(Техническая_марафон!G23="М", "спортсмен", "не понятно кто"))</f>
        <v>спортсменка</v>
      </c>
      <c r="G11" s="495"/>
      <c r="H11" s="495" t="str">
        <f>Техническая_марафон!B23</f>
        <v>ЗМС</v>
      </c>
      <c r="I11" s="2147" t="str">
        <f>Техническая_марафон!H23</f>
        <v>Фамилия_1 Имя Отчество</v>
      </c>
      <c r="J11" s="2949"/>
      <c r="K11" s="501"/>
    </row>
    <row r="12" spans="1:11" s="496" customFormat="1" ht="27" customHeight="1" x14ac:dyDescent="0.25">
      <c r="A12" s="492">
        <v>4</v>
      </c>
      <c r="B12" s="497" t="str">
        <f>Техническая_марафон!C24</f>
        <v>Девушки</v>
      </c>
      <c r="C12" s="497"/>
      <c r="D12" s="499" t="str">
        <f>Техническая_марафон!D24</f>
        <v xml:space="preserve"> </v>
      </c>
      <c r="E12" s="500">
        <f>Техническая_марафон!E24</f>
        <v>0</v>
      </c>
      <c r="F12" s="495" t="str">
        <f>IF(Техническая_марафон!G24="Ж", "спортсменка", IF(Техническая_марафон!G24="М", "спортсмен", "не понятно кто"))</f>
        <v>спортсменка</v>
      </c>
      <c r="G12" s="495"/>
      <c r="H12" s="495" t="str">
        <f>Техническая_марафон!B24</f>
        <v>МСМК</v>
      </c>
      <c r="I12" s="2147" t="str">
        <f>Техническая_марафон!H24</f>
        <v>Фамилия_1 Имя Отчество</v>
      </c>
      <c r="J12" s="2950"/>
      <c r="K12" s="501"/>
    </row>
    <row r="13" spans="1:11" s="496" customFormat="1" ht="27" customHeight="1" x14ac:dyDescent="0.25">
      <c r="A13" s="492">
        <v>5</v>
      </c>
      <c r="B13" s="497" t="str">
        <f>Техническая_марафон!C25</f>
        <v>Девушки</v>
      </c>
      <c r="C13" s="497"/>
      <c r="D13" s="499" t="str">
        <f>Техническая_марафон!D25</f>
        <v xml:space="preserve"> </v>
      </c>
      <c r="E13" s="500">
        <f>Техническая_марафон!E25</f>
        <v>0</v>
      </c>
      <c r="F13" s="495" t="str">
        <f>IF(Техническая_марафон!G25="Ж", "спортсменка", IF(Техническая_марафон!G25="М", "спортсмен", "не понятно кто"))</f>
        <v>спортсменка</v>
      </c>
      <c r="G13" s="495"/>
      <c r="H13" s="495" t="str">
        <f>Техническая_марафон!B25</f>
        <v>МС</v>
      </c>
      <c r="I13" s="2147" t="str">
        <f>Техническая_марафон!H25</f>
        <v>Фамилия_1 Имя Отчество</v>
      </c>
      <c r="J13" s="2951"/>
      <c r="K13" s="501"/>
    </row>
    <row r="14" spans="1:11" s="496" customFormat="1" ht="27" customHeight="1" x14ac:dyDescent="0.25">
      <c r="A14" s="492">
        <v>6</v>
      </c>
      <c r="B14" s="497" t="str">
        <f>Техническая_марафон!C26</f>
        <v>Девушки</v>
      </c>
      <c r="C14" s="497"/>
      <c r="D14" s="499" t="str">
        <f>Техническая_марафон!D26</f>
        <v xml:space="preserve"> </v>
      </c>
      <c r="E14" s="500">
        <f>Техническая_марафон!E26</f>
        <v>0</v>
      </c>
      <c r="F14" s="495" t="str">
        <f>IF(Техническая_марафон!G26="Ж", "спортсменка", IF(Техническая_марафон!G26="М", "спортсмен", "не понятно кто"))</f>
        <v>спортсменка</v>
      </c>
      <c r="G14" s="495"/>
      <c r="H14" s="495" t="str">
        <f>Техническая_марафон!B26</f>
        <v>КМС</v>
      </c>
      <c r="I14" s="2147" t="str">
        <f>Техническая_марафон!H26</f>
        <v>Фамилия_1 Имя Отчество</v>
      </c>
      <c r="J14" s="2952"/>
      <c r="K14" s="501"/>
    </row>
    <row r="15" spans="1:11" s="496" customFormat="1" ht="27" customHeight="1" x14ac:dyDescent="0.25">
      <c r="A15" s="492">
        <v>7</v>
      </c>
      <c r="B15" s="497" t="str">
        <f>Техническая_марафон!C27</f>
        <v>Девушки</v>
      </c>
      <c r="C15" s="497"/>
      <c r="D15" s="499" t="str">
        <f>Техническая_марафон!D27</f>
        <v xml:space="preserve"> </v>
      </c>
      <c r="E15" s="500">
        <f>Техническая_марафон!E27</f>
        <v>0</v>
      </c>
      <c r="F15" s="495" t="str">
        <f>IF(Техническая_марафон!G27="Ж", "спортсменка", IF(Техническая_марафон!G27="М", "спортсмен", "не понятно кто"))</f>
        <v>спортсменка</v>
      </c>
      <c r="G15" s="495"/>
      <c r="H15" s="495" t="str">
        <f>Техническая_марафон!B27</f>
        <v>I</v>
      </c>
      <c r="I15" s="2147" t="str">
        <f>Техническая_марафон!H27</f>
        <v>Фамилия_1 Имя Отчество</v>
      </c>
      <c r="J15" s="2953"/>
      <c r="K15" s="501"/>
    </row>
    <row r="16" spans="1:11" s="496" customFormat="1" ht="27" customHeight="1" x14ac:dyDescent="0.25">
      <c r="A16" s="492">
        <v>8</v>
      </c>
      <c r="B16" s="497" t="str">
        <f>Техническая_марафон!C28</f>
        <v>Девушки</v>
      </c>
      <c r="C16" s="497"/>
      <c r="D16" s="499" t="str">
        <f>Техническая_марафон!D28</f>
        <v xml:space="preserve"> </v>
      </c>
      <c r="E16" s="500">
        <f>Техническая_марафон!E28</f>
        <v>0</v>
      </c>
      <c r="F16" s="495" t="str">
        <f>IF(Техническая_марафон!G28="Ж", "спортсменка", IF(Техническая_марафон!G28="М", "спортсмен", "не понятно кто"))</f>
        <v>спортсменка</v>
      </c>
      <c r="G16" s="495"/>
      <c r="H16" s="495" t="str">
        <f>Техническая_марафон!B28</f>
        <v>I</v>
      </c>
      <c r="I16" s="2147" t="str">
        <f>Техническая_марафон!H28</f>
        <v>Фамилия_1 Имя Отчество</v>
      </c>
      <c r="J16" s="2954"/>
      <c r="K16" s="501"/>
    </row>
    <row r="17" spans="1:11" s="496" customFormat="1" ht="27" customHeight="1" x14ac:dyDescent="0.25">
      <c r="A17" s="492">
        <v>9</v>
      </c>
      <c r="B17" s="497" t="str">
        <f>Техническая_марафон!C29</f>
        <v>Девушки</v>
      </c>
      <c r="C17" s="497"/>
      <c r="D17" s="499" t="str">
        <f>Техническая_марафон!D29</f>
        <v xml:space="preserve"> </v>
      </c>
      <c r="E17" s="500">
        <f>Техническая_марафон!E29</f>
        <v>0</v>
      </c>
      <c r="F17" s="495" t="str">
        <f>IF(Техническая_марафон!G29="Ж", "спортсменка", IF(Техническая_марафон!G29="М", "спортсмен", "не понятно кто"))</f>
        <v>спортсменка</v>
      </c>
      <c r="G17" s="495"/>
      <c r="H17" s="495" t="str">
        <f>Техническая_марафон!B29</f>
        <v>III</v>
      </c>
      <c r="I17" s="2147" t="str">
        <f>Техническая_марафон!H29</f>
        <v>Фамилия_1 Имя Отчество</v>
      </c>
      <c r="J17" s="2955"/>
      <c r="K17" s="501"/>
    </row>
    <row r="18" spans="1:11" s="496" customFormat="1" ht="27" customHeight="1" x14ac:dyDescent="0.25">
      <c r="A18" s="492">
        <v>10</v>
      </c>
      <c r="B18" s="497" t="str">
        <f>Техническая_марафон!C30</f>
        <v>Девушки</v>
      </c>
      <c r="C18" s="497"/>
      <c r="D18" s="499" t="str">
        <f>Техническая_марафон!D30</f>
        <v xml:space="preserve"> </v>
      </c>
      <c r="E18" s="500">
        <f>Техническая_марафон!E30</f>
        <v>0</v>
      </c>
      <c r="F18" s="495" t="str">
        <f>IF(Техническая_марафон!G30="Ж", "спортсменка", IF(Техническая_марафон!G30="М", "спортсмен", "не понятно кто"))</f>
        <v>спортсменка</v>
      </c>
      <c r="G18" s="495"/>
      <c r="H18" s="495" t="str">
        <f>Техническая_марафон!B30</f>
        <v>I</v>
      </c>
      <c r="I18" s="2147" t="str">
        <f>Техническая_марафон!H30</f>
        <v>Фамилия_1 Имя Отчество</v>
      </c>
      <c r="J18" s="2956"/>
      <c r="K18" s="501"/>
    </row>
    <row r="19" spans="1:11" s="496" customFormat="1" ht="27" customHeight="1" x14ac:dyDescent="0.25">
      <c r="A19" s="492">
        <v>11</v>
      </c>
      <c r="B19" s="497" t="str">
        <f>Техническая_марафон!C31</f>
        <v>Девушки</v>
      </c>
      <c r="C19" s="497"/>
      <c r="D19" s="499" t="str">
        <f>Техническая_марафон!D31</f>
        <v xml:space="preserve"> </v>
      </c>
      <c r="E19" s="500">
        <f>Техническая_марафон!E31</f>
        <v>0</v>
      </c>
      <c r="F19" s="495" t="str">
        <f>IF(Техническая_марафон!G31="Ж", "спортсменка", IF(Техническая_марафон!G31="М", "спортсмен", "не понятно кто"))</f>
        <v>спортсменка</v>
      </c>
      <c r="G19" s="495"/>
      <c r="H19" s="495" t="str">
        <f>Техническая_марафон!B31</f>
        <v>I юн</v>
      </c>
      <c r="I19" s="2147" t="str">
        <f>Техническая_марафон!H31</f>
        <v>Фамилия_1 Имя Отчество</v>
      </c>
      <c r="J19" s="2957"/>
      <c r="K19" s="501"/>
    </row>
    <row r="20" spans="1:11" s="496" customFormat="1" ht="27" customHeight="1" x14ac:dyDescent="0.25">
      <c r="A20" s="492">
        <v>12</v>
      </c>
      <c r="B20" s="497" t="str">
        <f>Техническая_марафон!C32</f>
        <v>Девушки</v>
      </c>
      <c r="C20" s="497"/>
      <c r="D20" s="499" t="str">
        <f>Техническая_марафон!D32</f>
        <v xml:space="preserve"> </v>
      </c>
      <c r="E20" s="500">
        <f>Техническая_марафон!E32</f>
        <v>0</v>
      </c>
      <c r="F20" s="495" t="str">
        <f>IF(Техническая_марафон!G32="Ж", "спортсменка", IF(Техническая_марафон!G32="М", "спортсмен", "не понятно кто"))</f>
        <v>спортсменка</v>
      </c>
      <c r="G20" s="495"/>
      <c r="H20" s="495" t="str">
        <f>Техническая_марафон!B32</f>
        <v>КМС</v>
      </c>
      <c r="I20" s="2147" t="str">
        <f>Техническая_марафон!H32</f>
        <v>Фамилия_1 Имя Отчество</v>
      </c>
      <c r="J20" s="2958"/>
      <c r="K20" s="501"/>
    </row>
    <row r="21" spans="1:11" s="496" customFormat="1" ht="27" customHeight="1" x14ac:dyDescent="0.25">
      <c r="A21" s="492">
        <v>13</v>
      </c>
      <c r="B21" s="497" t="str">
        <f>Техническая_марафон!C33</f>
        <v>Девушки</v>
      </c>
      <c r="C21" s="497"/>
      <c r="D21" s="499" t="str">
        <f>Техническая_марафон!D33</f>
        <v xml:space="preserve"> </v>
      </c>
      <c r="E21" s="500">
        <f>Техническая_марафон!E33</f>
        <v>0</v>
      </c>
      <c r="F21" s="495" t="str">
        <f>IF(Техническая_марафон!G33="Ж", "спортсменка", IF(Техническая_марафон!G33="М", "спортсмен", "не понятно кто"))</f>
        <v>спортсменка</v>
      </c>
      <c r="G21" s="495"/>
      <c r="H21" s="495" t="str">
        <f>Техническая_марафон!B33</f>
        <v>I</v>
      </c>
      <c r="I21" s="2147" t="str">
        <f>Техническая_марафон!H33</f>
        <v>Фамилия_1 Имя Отчество</v>
      </c>
      <c r="J21" s="2941"/>
      <c r="K21" s="501"/>
    </row>
    <row r="22" spans="1:11" s="496" customFormat="1" ht="27" customHeight="1" x14ac:dyDescent="0.25">
      <c r="A22" s="492">
        <v>14</v>
      </c>
      <c r="B22" s="497" t="str">
        <f>Техническая_марафон!C34</f>
        <v>Девушки</v>
      </c>
      <c r="C22" s="497"/>
      <c r="D22" s="499" t="str">
        <f>Техническая_марафон!D34</f>
        <v xml:space="preserve"> </v>
      </c>
      <c r="E22" s="500">
        <f>Техническая_марафон!E34</f>
        <v>0</v>
      </c>
      <c r="F22" s="495" t="str">
        <f>IF(Техническая_марафон!G34="Ж", "спортсменка", IF(Техническая_марафон!G34="М", "спортсмен", "не понятно кто"))</f>
        <v>спортсменка</v>
      </c>
      <c r="G22" s="495"/>
      <c r="H22" s="495" t="str">
        <f>Техническая_марафон!B34</f>
        <v>I</v>
      </c>
      <c r="I22" s="2147" t="str">
        <f>Техническая_марафон!H34</f>
        <v>Фамилия_1 Имя Отчество</v>
      </c>
      <c r="J22" s="2942"/>
      <c r="K22" s="501"/>
    </row>
    <row r="23" spans="1:11" s="496" customFormat="1" ht="27" customHeight="1" x14ac:dyDescent="0.25">
      <c r="A23" s="492">
        <v>15</v>
      </c>
      <c r="B23" s="497" t="str">
        <f>Техническая_марафон!C35</f>
        <v>Девушки</v>
      </c>
      <c r="C23" s="497"/>
      <c r="D23" s="499" t="str">
        <f>Техническая_марафон!D35</f>
        <v xml:space="preserve"> </v>
      </c>
      <c r="E23" s="500">
        <f>Техническая_марафон!E35</f>
        <v>0</v>
      </c>
      <c r="F23" s="495" t="str">
        <f>IF(Техническая_марафон!G35="Ж", "спортсменка", IF(Техническая_марафон!G35="М", "спортсмен", "не понятно кто"))</f>
        <v>спортсменка</v>
      </c>
      <c r="G23" s="495"/>
      <c r="H23" s="495" t="str">
        <f>Техническая_марафон!B35</f>
        <v>I</v>
      </c>
      <c r="I23" s="2147" t="str">
        <f>Техническая_марафон!H35</f>
        <v>Фамилия_1 Имя Отчество</v>
      </c>
      <c r="J23" s="2943"/>
      <c r="K23" s="501"/>
    </row>
    <row r="24" spans="1:11" s="496" customFormat="1" ht="27" customHeight="1" x14ac:dyDescent="0.25">
      <c r="A24" s="492">
        <v>16</v>
      </c>
      <c r="B24" s="497" t="str">
        <f>Техническая_марафон!C36</f>
        <v>Девушки</v>
      </c>
      <c r="C24" s="497"/>
      <c r="D24" s="499" t="str">
        <f>Техническая_марафон!D36</f>
        <v xml:space="preserve"> </v>
      </c>
      <c r="E24" s="500">
        <f>Техническая_марафон!E36</f>
        <v>0</v>
      </c>
      <c r="F24" s="495" t="str">
        <f>IF(Техническая_марафон!G36="Ж", "спортсменка", IF(Техническая_марафон!G36="М", "спортсмен", "не понятно кто"))</f>
        <v>спортсменка</v>
      </c>
      <c r="G24" s="495"/>
      <c r="H24" s="495" t="str">
        <f>Техническая_марафон!B36</f>
        <v>I</v>
      </c>
      <c r="I24" s="2147" t="str">
        <f>Техническая_марафон!H36</f>
        <v>Фамилия_1 Имя Отчество</v>
      </c>
      <c r="J24" s="2944"/>
      <c r="K24" s="501"/>
    </row>
    <row r="25" spans="1:11" s="496" customFormat="1" ht="27" customHeight="1" x14ac:dyDescent="0.25">
      <c r="A25" s="492">
        <v>17</v>
      </c>
      <c r="B25" s="497" t="str">
        <f>Техническая_марафон!C37</f>
        <v>Девушки</v>
      </c>
      <c r="C25" s="497"/>
      <c r="D25" s="499" t="str">
        <f>Техническая_марафон!D37</f>
        <v xml:space="preserve"> </v>
      </c>
      <c r="E25" s="500">
        <f>Техническая_марафон!E37</f>
        <v>0</v>
      </c>
      <c r="F25" s="495" t="str">
        <f>IF(Техническая_марафон!G37="Ж", "спортсменка", IF(Техническая_марафон!G37="М", "спортсмен", "не понятно кто"))</f>
        <v>спортсменка</v>
      </c>
      <c r="G25" s="495"/>
      <c r="H25" s="495" t="str">
        <f>Техническая_марафон!B37</f>
        <v>I юн</v>
      </c>
      <c r="I25" s="2147" t="str">
        <f>Техническая_марафон!H37</f>
        <v>Фамилия_1 Имя Отчество</v>
      </c>
      <c r="J25" s="2945"/>
      <c r="K25" s="501"/>
    </row>
    <row r="26" spans="1:11" s="496" customFormat="1" ht="27" customHeight="1" x14ac:dyDescent="0.25">
      <c r="A26" s="492">
        <v>18</v>
      </c>
      <c r="B26" s="497" t="str">
        <f>Техническая_марафон!C38</f>
        <v>Девушки</v>
      </c>
      <c r="C26" s="497"/>
      <c r="D26" s="499" t="str">
        <f>Техническая_марафон!D38</f>
        <v xml:space="preserve"> </v>
      </c>
      <c r="E26" s="500">
        <f>Техническая_марафон!E38</f>
        <v>0</v>
      </c>
      <c r="F26" s="495" t="str">
        <f>IF(Техническая_марафон!G38="Ж", "спортсменка", IF(Техническая_марафон!G38="М", "спортсмен", "не понятно кто"))</f>
        <v>спортсменка</v>
      </c>
      <c r="G26" s="495"/>
      <c r="H26" s="495" t="str">
        <f>Техническая_марафон!B38</f>
        <v>II юн</v>
      </c>
      <c r="I26" s="2147" t="str">
        <f>Техническая_марафон!H38</f>
        <v>Фамилия_1 Имя Отчество</v>
      </c>
      <c r="J26" s="2946"/>
      <c r="K26" s="501"/>
    </row>
    <row r="27" spans="1:11" s="496" customFormat="1" ht="27" customHeight="1" x14ac:dyDescent="0.25">
      <c r="A27" s="492">
        <v>19</v>
      </c>
      <c r="B27" s="497" t="str">
        <f>Техническая_марафон!C39</f>
        <v>Девушки</v>
      </c>
      <c r="C27" s="497"/>
      <c r="D27" s="499" t="str">
        <f>Техническая_марафон!D39</f>
        <v xml:space="preserve"> </v>
      </c>
      <c r="E27" s="500">
        <f>Техническая_марафон!E39</f>
        <v>0</v>
      </c>
      <c r="F27" s="495" t="str">
        <f>IF(Техническая_марафон!G39="Ж", "спортсменка", IF(Техническая_марафон!G39="М", "спортсмен", "не понятно кто"))</f>
        <v>спортсменка</v>
      </c>
      <c r="G27" s="495"/>
      <c r="H27" s="495" t="str">
        <f>Техническая_марафон!B39</f>
        <v>III юн</v>
      </c>
      <c r="I27" s="2147" t="str">
        <f>Техническая_марафон!H39</f>
        <v>Фамилия_1 Имя Отчество</v>
      </c>
      <c r="J27" s="2959"/>
      <c r="K27" s="501"/>
    </row>
    <row r="28" spans="1:11" s="496" customFormat="1" ht="27" customHeight="1" x14ac:dyDescent="0.25">
      <c r="A28" s="492">
        <v>20</v>
      </c>
      <c r="B28" s="497" t="str">
        <f>Техническая_марафон!C40</f>
        <v>Девушки</v>
      </c>
      <c r="C28" s="497"/>
      <c r="D28" s="499" t="str">
        <f>Техническая_марафон!D40</f>
        <v xml:space="preserve"> </v>
      </c>
      <c r="E28" s="500">
        <f>Техническая_марафон!E40</f>
        <v>0</v>
      </c>
      <c r="F28" s="495" t="str">
        <f>IF(Техническая_марафон!G40="Ж", "спортсменка", IF(Техническая_марафон!G40="М", "спортсмен", "не понятно кто"))</f>
        <v>спортсменка</v>
      </c>
      <c r="G28" s="495"/>
      <c r="H28" s="495" t="str">
        <f>Техническая_марафон!B40</f>
        <v>МСМК</v>
      </c>
      <c r="I28" s="2147" t="str">
        <f>Техническая_марафон!H40</f>
        <v>Фамилия_1 Имя Отчество</v>
      </c>
      <c r="J28" s="2960"/>
      <c r="K28" s="501"/>
    </row>
    <row r="29" spans="1:11" s="496" customFormat="1" ht="27" customHeight="1" x14ac:dyDescent="0.25">
      <c r="A29" s="492">
        <v>21</v>
      </c>
      <c r="B29" s="497" t="str">
        <f>Техническая_марафон!C41</f>
        <v>Девушки</v>
      </c>
      <c r="C29" s="497"/>
      <c r="D29" s="499" t="str">
        <f>Техническая_марафон!D41</f>
        <v xml:space="preserve"> </v>
      </c>
      <c r="E29" s="500">
        <f>Техническая_марафон!E41</f>
        <v>0</v>
      </c>
      <c r="F29" s="495" t="str">
        <f>IF(Техническая_марафон!G41="Ж", "спортсменка", IF(Техническая_марафон!G41="М", "спортсмен", "не понятно кто"))</f>
        <v>спортсменка</v>
      </c>
      <c r="G29" s="495"/>
      <c r="H29" s="495" t="str">
        <f>Техническая_марафон!B41</f>
        <v>МС</v>
      </c>
      <c r="I29" s="2147" t="str">
        <f>Техническая_марафон!H41</f>
        <v>Фамилия_1 Имя Отчество</v>
      </c>
      <c r="J29" s="2961"/>
      <c r="K29" s="501"/>
    </row>
    <row r="30" spans="1:11" s="496" customFormat="1" ht="27" customHeight="1" x14ac:dyDescent="0.25">
      <c r="A30" s="492">
        <v>22</v>
      </c>
      <c r="B30" s="497" t="str">
        <f>Техническая_марафон!C42</f>
        <v>Девушки</v>
      </c>
      <c r="C30" s="497"/>
      <c r="D30" s="499" t="str">
        <f>Техническая_марафон!D42</f>
        <v xml:space="preserve"> </v>
      </c>
      <c r="E30" s="500">
        <f>Техническая_марафон!E42</f>
        <v>0</v>
      </c>
      <c r="F30" s="495" t="str">
        <f>IF(Техническая_марафон!G42="Ж", "спортсменка", IF(Техническая_марафон!G42="М", "спортсмен", "не понятно кто"))</f>
        <v>спортсменка</v>
      </c>
      <c r="G30" s="495"/>
      <c r="H30" s="495" t="str">
        <f>Техническая_марафон!B42</f>
        <v>I</v>
      </c>
      <c r="I30" s="2147" t="str">
        <f>Техническая_марафон!H42</f>
        <v>Фамилия_1 Имя Отчество</v>
      </c>
      <c r="J30" s="2962"/>
      <c r="K30" s="501"/>
    </row>
    <row r="31" spans="1:11" s="496" customFormat="1" ht="27" customHeight="1" x14ac:dyDescent="0.25">
      <c r="A31" s="492">
        <v>23</v>
      </c>
      <c r="B31" s="497" t="str">
        <f>Техническая_марафон!C43</f>
        <v>Девушки</v>
      </c>
      <c r="C31" s="497"/>
      <c r="D31" s="499" t="str">
        <f>Техническая_марафон!D43</f>
        <v xml:space="preserve"> </v>
      </c>
      <c r="E31" s="500">
        <f>Техническая_марафон!E43</f>
        <v>0</v>
      </c>
      <c r="F31" s="495" t="str">
        <f>IF(Техническая_марафон!G43="Ж", "спортсменка", IF(Техническая_марафон!G43="М", "спортсмен", "не понятно кто"))</f>
        <v>спортсменка</v>
      </c>
      <c r="G31" s="495"/>
      <c r="H31" s="495" t="str">
        <f>Техническая_марафон!B43</f>
        <v>МС</v>
      </c>
      <c r="I31" s="2147" t="str">
        <f>Техническая_марафон!H43</f>
        <v>Фамилия_1 Имя Отчество</v>
      </c>
      <c r="J31" s="2963"/>
      <c r="K31" s="501"/>
    </row>
    <row r="32" spans="1:11" s="496" customFormat="1" ht="27" customHeight="1" x14ac:dyDescent="0.25">
      <c r="A32" s="492">
        <v>24</v>
      </c>
      <c r="B32" s="497" t="str">
        <f>Техническая_марафон!C44</f>
        <v>Девушки</v>
      </c>
      <c r="C32" s="497"/>
      <c r="D32" s="499" t="str">
        <f>Техническая_марафон!D44</f>
        <v xml:space="preserve"> </v>
      </c>
      <c r="E32" s="500">
        <f>Техническая_марафон!E44</f>
        <v>0</v>
      </c>
      <c r="F32" s="495" t="str">
        <f>IF(Техническая_марафон!G44="Ж", "спортсменка", IF(Техническая_марафон!G44="М", "спортсмен", "не понятно кто"))</f>
        <v>спортсменка</v>
      </c>
      <c r="G32" s="495"/>
      <c r="H32" s="495" t="str">
        <f>Техническая_марафон!B44</f>
        <v>I</v>
      </c>
      <c r="I32" s="2147" t="str">
        <f>Техническая_марафон!H44</f>
        <v>Фамилия_1 Имя Отчество</v>
      </c>
      <c r="J32" s="2964"/>
      <c r="K32" s="501"/>
    </row>
    <row r="33" spans="1:11" s="496" customFormat="1" ht="27" customHeight="1" x14ac:dyDescent="0.25">
      <c r="A33" s="492">
        <v>25</v>
      </c>
      <c r="B33" s="497" t="str">
        <f>Техническая_марафон!C45</f>
        <v>Девушки</v>
      </c>
      <c r="C33" s="497"/>
      <c r="D33" s="499" t="str">
        <f>Техническая_марафон!D45</f>
        <v xml:space="preserve"> </v>
      </c>
      <c r="E33" s="500">
        <f>Техническая_марафон!E45</f>
        <v>0</v>
      </c>
      <c r="F33" s="495" t="str">
        <f>IF(Техническая_марафон!G45="Ж", "спортсменка", IF(Техническая_марафон!G45="М", "спортсмен", "не понятно кто"))</f>
        <v>спортсменка</v>
      </c>
      <c r="G33" s="495"/>
      <c r="H33" s="495" t="str">
        <f>Техническая_марафон!B45</f>
        <v>II</v>
      </c>
      <c r="I33" s="2147" t="str">
        <f>Техническая_марафон!H45</f>
        <v>Фамилия_1 Имя Отчество</v>
      </c>
      <c r="J33" s="2965"/>
      <c r="K33" s="501"/>
    </row>
    <row r="34" spans="1:11" s="496" customFormat="1" ht="27" customHeight="1" x14ac:dyDescent="0.25">
      <c r="A34" s="492">
        <v>26</v>
      </c>
      <c r="B34" s="497" t="str">
        <f>Техническая_марафон!C46</f>
        <v>Юноши</v>
      </c>
      <c r="C34" s="497"/>
      <c r="D34" s="499" t="str">
        <f>Техническая_марафон!D46</f>
        <v xml:space="preserve"> </v>
      </c>
      <c r="E34" s="500">
        <f>Техническая_марафон!E46</f>
        <v>0</v>
      </c>
      <c r="F34" s="495" t="str">
        <f>IF(Техническая_марафон!G46="Ж", "спортсменка", IF(Техническая_марафон!G46="М", "спортсмен", "не понятно кто"))</f>
        <v>спортсмен</v>
      </c>
      <c r="G34" s="495"/>
      <c r="H34" s="495" t="str">
        <f>Техническая_марафон!B46</f>
        <v>III юн</v>
      </c>
      <c r="I34" s="2147" t="str">
        <f>Техническая_марафон!H46</f>
        <v>Фамилия_1 Имя Отчество</v>
      </c>
      <c r="J34" s="2966"/>
      <c r="K34" s="501"/>
    </row>
    <row r="35" spans="1:11" s="496" customFormat="1" ht="27" customHeight="1" x14ac:dyDescent="0.25">
      <c r="A35" s="492">
        <v>27</v>
      </c>
      <c r="B35" s="497" t="str">
        <f>Техническая_марафон!C47</f>
        <v>Юноши</v>
      </c>
      <c r="C35" s="497"/>
      <c r="D35" s="499" t="str">
        <f>Техническая_марафон!D47</f>
        <v xml:space="preserve"> </v>
      </c>
      <c r="E35" s="500">
        <f>Техническая_марафон!E47</f>
        <v>0</v>
      </c>
      <c r="F35" s="495" t="str">
        <f>IF(Техническая_марафон!G47="Ж", "спортсменка", IF(Техническая_марафон!G47="М", "спортсмен", "не понятно кто"))</f>
        <v>спортсмен</v>
      </c>
      <c r="G35" s="495"/>
      <c r="H35" s="495" t="str">
        <f>Техническая_марафон!B47</f>
        <v>II</v>
      </c>
      <c r="I35" s="2147" t="str">
        <f>Техническая_марафон!H47</f>
        <v>Фамилия_1 Имя Отчество</v>
      </c>
      <c r="J35" s="2967"/>
      <c r="K35" s="501"/>
    </row>
    <row r="36" spans="1:11" s="496" customFormat="1" ht="27" customHeight="1" x14ac:dyDescent="0.25">
      <c r="A36" s="492">
        <v>28</v>
      </c>
      <c r="B36" s="497" t="str">
        <f>Техническая_марафон!C48</f>
        <v>Юноши</v>
      </c>
      <c r="C36" s="497"/>
      <c r="D36" s="499" t="str">
        <f>Техническая_марафон!D48</f>
        <v xml:space="preserve"> </v>
      </c>
      <c r="E36" s="500">
        <f>Техническая_марафон!E48</f>
        <v>0</v>
      </c>
      <c r="F36" s="495" t="str">
        <f>IF(Техническая_марафон!G48="Ж", "спортсменка", IF(Техническая_марафон!G48="М", "спортсмен", "не понятно кто"))</f>
        <v>спортсмен</v>
      </c>
      <c r="G36" s="495"/>
      <c r="H36" s="495" t="str">
        <f>Техническая_марафон!B48</f>
        <v>ЗМС</v>
      </c>
      <c r="I36" s="2147" t="str">
        <f>Техническая_марафон!H48</f>
        <v>Фамилия_1 Имя Отчество</v>
      </c>
      <c r="J36" s="2968"/>
      <c r="K36" s="501"/>
    </row>
    <row r="37" spans="1:11" s="496" customFormat="1" ht="27" customHeight="1" x14ac:dyDescent="0.25">
      <c r="A37" s="492">
        <v>29</v>
      </c>
      <c r="B37" s="497" t="str">
        <f>Техническая_марафон!C49</f>
        <v>Юноши</v>
      </c>
      <c r="C37" s="497"/>
      <c r="D37" s="499" t="str">
        <f>Техническая_марафон!D49</f>
        <v xml:space="preserve"> </v>
      </c>
      <c r="E37" s="500">
        <f>Техническая_марафон!E49</f>
        <v>0</v>
      </c>
      <c r="F37" s="495" t="str">
        <f>IF(Техническая_марафон!G49="Ж", "спортсменка", IF(Техническая_марафон!G49="М", "спортсмен", "не понятно кто"))</f>
        <v>спортсмен</v>
      </c>
      <c r="G37" s="495"/>
      <c r="H37" s="495" t="str">
        <f>Техническая_марафон!B49</f>
        <v>МСМК</v>
      </c>
      <c r="I37" s="2147" t="str">
        <f>Техническая_марафон!H49</f>
        <v>Фамилия_1 Имя Отчество</v>
      </c>
      <c r="J37" s="2969"/>
      <c r="K37" s="501"/>
    </row>
    <row r="38" spans="1:11" s="496" customFormat="1" ht="27" customHeight="1" x14ac:dyDescent="0.25">
      <c r="A38" s="492">
        <v>30</v>
      </c>
      <c r="B38" s="497" t="str">
        <f>Техническая_марафон!C50</f>
        <v>Юноши</v>
      </c>
      <c r="C38" s="497"/>
      <c r="D38" s="499" t="str">
        <f>Техническая_марафон!D50</f>
        <v xml:space="preserve"> </v>
      </c>
      <c r="E38" s="500">
        <f>Техническая_марафон!E50</f>
        <v>0</v>
      </c>
      <c r="F38" s="495" t="str">
        <f>IF(Техническая_марафон!G50="Ж", "спортсменка", IF(Техническая_марафон!G50="М", "спортсмен", "не понятно кто"))</f>
        <v>спортсмен</v>
      </c>
      <c r="G38" s="495"/>
      <c r="H38" s="495" t="str">
        <f>Техническая_марафон!B50</f>
        <v>МС</v>
      </c>
      <c r="I38" s="2147" t="str">
        <f>Техническая_марафон!H50</f>
        <v>Фамилия_1 Имя Отчество</v>
      </c>
      <c r="J38" s="2970"/>
      <c r="K38" s="501"/>
    </row>
    <row r="39" spans="1:11" s="496" customFormat="1" ht="27" customHeight="1" x14ac:dyDescent="0.25">
      <c r="A39" s="492">
        <v>31</v>
      </c>
      <c r="B39" s="497" t="str">
        <f>Техническая_марафон!C51</f>
        <v>Юноши</v>
      </c>
      <c r="C39" s="497"/>
      <c r="D39" s="499" t="str">
        <f>Техническая_марафон!D51</f>
        <v xml:space="preserve"> </v>
      </c>
      <c r="E39" s="500">
        <f>Техническая_марафон!E51</f>
        <v>0</v>
      </c>
      <c r="F39" s="495" t="str">
        <f>IF(Техническая_марафон!G51="Ж", "спортсменка", IF(Техническая_марафон!G51="М", "спортсмен", "не понятно кто"))</f>
        <v>спортсмен</v>
      </c>
      <c r="G39" s="495"/>
      <c r="H39" s="495" t="str">
        <f>Техническая_марафон!B51</f>
        <v>КМС</v>
      </c>
      <c r="I39" s="2147" t="str">
        <f>Техническая_марафон!H51</f>
        <v>Фамилия_1 Имя Отчество</v>
      </c>
      <c r="J39" s="2971"/>
      <c r="K39" s="501"/>
    </row>
    <row r="40" spans="1:11" s="496" customFormat="1" ht="27" customHeight="1" x14ac:dyDescent="0.25">
      <c r="A40" s="492">
        <v>32</v>
      </c>
      <c r="B40" s="497" t="str">
        <f>Техническая_марафон!C52</f>
        <v>Юноши</v>
      </c>
      <c r="C40" s="497"/>
      <c r="D40" s="499" t="str">
        <f>Техническая_марафон!D52</f>
        <v xml:space="preserve"> </v>
      </c>
      <c r="E40" s="500">
        <f>Техническая_марафон!E52</f>
        <v>0</v>
      </c>
      <c r="F40" s="495" t="str">
        <f>IF(Техническая_марафон!G52="Ж", "спортсменка", IF(Техническая_марафон!G52="М", "спортсмен", "не понятно кто"))</f>
        <v>спортсмен</v>
      </c>
      <c r="G40" s="495"/>
      <c r="H40" s="495" t="str">
        <f>Техническая_марафон!B52</f>
        <v>КМС</v>
      </c>
      <c r="I40" s="2147" t="str">
        <f>Техническая_марафон!H52</f>
        <v>Фамилия_1 Имя Отчество</v>
      </c>
      <c r="J40" s="2972"/>
      <c r="K40" s="501"/>
    </row>
    <row r="41" spans="1:11" s="496" customFormat="1" ht="27" customHeight="1" x14ac:dyDescent="0.25">
      <c r="A41" s="492">
        <v>33</v>
      </c>
      <c r="B41" s="497" t="str">
        <f>Техническая_марафон!C53</f>
        <v>Юноши</v>
      </c>
      <c r="C41" s="497"/>
      <c r="D41" s="499" t="str">
        <f>Техническая_марафон!D53</f>
        <v xml:space="preserve"> </v>
      </c>
      <c r="E41" s="500">
        <f>Техническая_марафон!E53</f>
        <v>0</v>
      </c>
      <c r="F41" s="495" t="str">
        <f>IF(Техническая_марафон!G53="Ж", "спортсменка", IF(Техническая_марафон!G53="М", "спортсмен", "не понятно кто"))</f>
        <v>спортсмен</v>
      </c>
      <c r="G41" s="495"/>
      <c r="H41" s="495" t="str">
        <f>Техническая_марафон!B53</f>
        <v>КМС</v>
      </c>
      <c r="I41" s="2147" t="str">
        <f>Техническая_марафон!H53</f>
        <v>Фамилия_1 Имя Отчество</v>
      </c>
      <c r="J41" s="2973"/>
      <c r="K41" s="501"/>
    </row>
    <row r="42" spans="1:11" s="496" customFormat="1" ht="27" customHeight="1" x14ac:dyDescent="0.25">
      <c r="A42" s="492">
        <v>34</v>
      </c>
      <c r="B42" s="497" t="str">
        <f>Техническая_марафон!C54</f>
        <v>Юноши</v>
      </c>
      <c r="C42" s="497"/>
      <c r="D42" s="499" t="str">
        <f>Техническая_марафон!D54</f>
        <v xml:space="preserve"> </v>
      </c>
      <c r="E42" s="500">
        <f>Техническая_марафон!E54</f>
        <v>0</v>
      </c>
      <c r="F42" s="495" t="str">
        <f>IF(Техническая_марафон!G54="Ж", "спортсменка", IF(Техническая_марафон!G54="М", "спортсмен", "не понятно кто"))</f>
        <v>спортсмен</v>
      </c>
      <c r="G42" s="495"/>
      <c r="H42" s="495" t="str">
        <f>Техническая_марафон!B54</f>
        <v>ЗМС</v>
      </c>
      <c r="I42" s="2147" t="str">
        <f>Техническая_марафон!H54</f>
        <v>Фамилия_1 Имя Отчество</v>
      </c>
      <c r="J42" s="2974"/>
      <c r="K42" s="501"/>
    </row>
    <row r="43" spans="1:11" s="496" customFormat="1" ht="27" customHeight="1" x14ac:dyDescent="0.25">
      <c r="A43" s="492">
        <v>35</v>
      </c>
      <c r="B43" s="497" t="str">
        <f>Техническая_марафон!C55</f>
        <v>Юноши</v>
      </c>
      <c r="C43" s="497"/>
      <c r="D43" s="499" t="str">
        <f>Техническая_марафон!D55</f>
        <v xml:space="preserve"> </v>
      </c>
      <c r="E43" s="500">
        <f>Техническая_марафон!E55</f>
        <v>0</v>
      </c>
      <c r="F43" s="495" t="str">
        <f>IF(Техническая_марафон!G55="Ж", "спортсменка", IF(Техническая_марафон!G55="М", "спортсмен", "не понятно кто"))</f>
        <v>спортсмен</v>
      </c>
      <c r="G43" s="495"/>
      <c r="H43" s="495" t="str">
        <f>Техническая_марафон!B55</f>
        <v>МСМК</v>
      </c>
      <c r="I43" s="2147" t="str">
        <f>Техническая_марафон!H55</f>
        <v>Фамилия_1 Имя Отчество</v>
      </c>
      <c r="J43" s="2975"/>
      <c r="K43" s="501"/>
    </row>
    <row r="44" spans="1:11" s="496" customFormat="1" ht="27" customHeight="1" x14ac:dyDescent="0.25">
      <c r="A44" s="492">
        <v>36</v>
      </c>
      <c r="B44" s="497" t="str">
        <f>Техническая_марафон!C56</f>
        <v>Юноши</v>
      </c>
      <c r="C44" s="497"/>
      <c r="D44" s="499" t="str">
        <f>Техническая_марафон!D56</f>
        <v xml:space="preserve"> </v>
      </c>
      <c r="E44" s="500">
        <f>Техническая_марафон!E56</f>
        <v>0</v>
      </c>
      <c r="F44" s="495" t="str">
        <f>IF(Техническая_марафон!G56="Ж", "спортсменка", IF(Техническая_марафон!G56="М", "спортсмен", "не понятно кто"))</f>
        <v>спортсмен</v>
      </c>
      <c r="G44" s="495"/>
      <c r="H44" s="495" t="str">
        <f>Техническая_марафон!B56</f>
        <v>МС</v>
      </c>
      <c r="I44" s="2147" t="str">
        <f>Техническая_марафон!H56</f>
        <v>Фамилия_1 Имя Отчество</v>
      </c>
      <c r="J44" s="2976"/>
      <c r="K44" s="501"/>
    </row>
    <row r="45" spans="1:11" s="496" customFormat="1" ht="27" customHeight="1" x14ac:dyDescent="0.25">
      <c r="A45" s="492">
        <v>37</v>
      </c>
      <c r="B45" s="497" t="str">
        <f>Техническая_марафон!C57</f>
        <v>Юноши</v>
      </c>
      <c r="C45" s="497"/>
      <c r="D45" s="499" t="str">
        <f>Техническая_марафон!D57</f>
        <v xml:space="preserve"> </v>
      </c>
      <c r="E45" s="500">
        <f>Техническая_марафон!E57</f>
        <v>0</v>
      </c>
      <c r="F45" s="495" t="str">
        <f>IF(Техническая_марафон!G57="Ж", "спортсменка", IF(Техническая_марафон!G57="М", "спортсмен", "не понятно кто"))</f>
        <v>спортсмен</v>
      </c>
      <c r="G45" s="495"/>
      <c r="H45" s="495" t="str">
        <f>Техническая_марафон!B57</f>
        <v>КМС</v>
      </c>
      <c r="I45" s="2147" t="str">
        <f>Техническая_марафон!H57</f>
        <v>Фамилия_1 Имя Отчество</v>
      </c>
      <c r="J45" s="2977"/>
      <c r="K45" s="501"/>
    </row>
    <row r="46" spans="1:11" s="496" customFormat="1" ht="27" customHeight="1" x14ac:dyDescent="0.25">
      <c r="A46" s="492">
        <v>38</v>
      </c>
      <c r="B46" s="497" t="str">
        <f>Техническая_марафон!C58</f>
        <v>Юноши</v>
      </c>
      <c r="C46" s="497"/>
      <c r="D46" s="499" t="str">
        <f>Техническая_марафон!D58</f>
        <v xml:space="preserve"> </v>
      </c>
      <c r="E46" s="500">
        <f>Техническая_марафон!E58</f>
        <v>0</v>
      </c>
      <c r="F46" s="495" t="str">
        <f>IF(Техническая_марафон!G58="Ж", "спортсменка", IF(Техническая_марафон!G58="М", "спортсмен", "не понятно кто"))</f>
        <v>спортсмен</v>
      </c>
      <c r="G46" s="495"/>
      <c r="H46" s="495" t="str">
        <f>Техническая_марафон!B58</f>
        <v>КМС</v>
      </c>
      <c r="I46" s="2147" t="str">
        <f>Техническая_марафон!H58</f>
        <v>Фамилия_1 Имя Отчество</v>
      </c>
      <c r="J46" s="2978"/>
      <c r="K46" s="501"/>
    </row>
    <row r="47" spans="1:11" s="496" customFormat="1" ht="27" customHeight="1" x14ac:dyDescent="0.25">
      <c r="A47" s="492">
        <v>39</v>
      </c>
      <c r="B47" s="497" t="str">
        <f>Техническая_марафон!C59</f>
        <v>Юноши</v>
      </c>
      <c r="C47" s="497"/>
      <c r="D47" s="499" t="str">
        <f>Техническая_марафон!D59</f>
        <v xml:space="preserve"> </v>
      </c>
      <c r="E47" s="500">
        <f>Техническая_марафон!E59</f>
        <v>0</v>
      </c>
      <c r="F47" s="495" t="str">
        <f>IF(Техническая_марафон!G59="Ж", "спортсменка", IF(Техническая_марафон!G59="М", "спортсмен", "не понятно кто"))</f>
        <v>спортсмен</v>
      </c>
      <c r="G47" s="495"/>
      <c r="H47" s="495" t="str">
        <f>Техническая_марафон!B59</f>
        <v>КМС</v>
      </c>
      <c r="I47" s="2147" t="str">
        <f>Техническая_марафон!H59</f>
        <v>Фамилия_1 Имя Отчество</v>
      </c>
      <c r="J47" s="2979"/>
      <c r="K47" s="501"/>
    </row>
    <row r="48" spans="1:11" s="496" customFormat="1" ht="27" customHeight="1" x14ac:dyDescent="0.25">
      <c r="A48" s="492">
        <v>40</v>
      </c>
      <c r="B48" s="497" t="str">
        <f>Техническая_марафон!C60</f>
        <v>Юноши</v>
      </c>
      <c r="C48" s="497"/>
      <c r="D48" s="499" t="str">
        <f>Техническая_марафон!D60</f>
        <v xml:space="preserve"> </v>
      </c>
      <c r="E48" s="500">
        <f>Техническая_марафон!E60</f>
        <v>0</v>
      </c>
      <c r="F48" s="495" t="str">
        <f>IF(Техническая_марафон!G60="Ж", "спортсменка", IF(Техническая_марафон!G60="М", "спортсмен", "не понятно кто"))</f>
        <v>спортсмен</v>
      </c>
      <c r="G48" s="495"/>
      <c r="H48" s="495" t="str">
        <f>Техническая_марафон!B60</f>
        <v>КМС</v>
      </c>
      <c r="I48" s="2147" t="str">
        <f>Техническая_марафон!H60</f>
        <v>Фамилия_1 Имя Отчество</v>
      </c>
      <c r="J48" s="2980"/>
      <c r="K48" s="501"/>
    </row>
    <row r="49" spans="1:11" s="496" customFormat="1" ht="27" customHeight="1" x14ac:dyDescent="0.25">
      <c r="A49" s="492">
        <v>41</v>
      </c>
      <c r="B49" s="497" t="str">
        <f>Техническая_марафон!C61</f>
        <v>Юноши</v>
      </c>
      <c r="C49" s="497"/>
      <c r="D49" s="499" t="str">
        <f>Техническая_марафон!D61</f>
        <v xml:space="preserve"> </v>
      </c>
      <c r="E49" s="500">
        <f>Техническая_марафон!E61</f>
        <v>0</v>
      </c>
      <c r="F49" s="495" t="str">
        <f>IF(Техническая_марафон!G61="Ж", "спортсменка", IF(Техническая_марафон!G61="М", "спортсмен", "не понятно кто"))</f>
        <v>спортсмен</v>
      </c>
      <c r="G49" s="495"/>
      <c r="H49" s="495" t="str">
        <f>Техническая_марафон!B61</f>
        <v>КМС</v>
      </c>
      <c r="I49" s="2147" t="str">
        <f>Техническая_марафон!H61</f>
        <v>Фамилия_1 Имя Отчество</v>
      </c>
      <c r="J49" s="2981"/>
      <c r="K49" s="501"/>
    </row>
    <row r="50" spans="1:11" s="496" customFormat="1" ht="27" customHeight="1" x14ac:dyDescent="0.25">
      <c r="A50" s="492">
        <v>42</v>
      </c>
      <c r="B50" s="497" t="str">
        <f>Техническая_марафон!C62</f>
        <v>Юноши</v>
      </c>
      <c r="C50" s="497"/>
      <c r="D50" s="499" t="str">
        <f>Техническая_марафон!D62</f>
        <v xml:space="preserve"> </v>
      </c>
      <c r="E50" s="500">
        <f>Техническая_марафон!E62</f>
        <v>0</v>
      </c>
      <c r="F50" s="495" t="str">
        <f>IF(Техническая_марафон!G62="Ж", "спортсменка", IF(Техническая_марафон!G62="М", "спортсмен", "не понятно кто"))</f>
        <v>спортсмен</v>
      </c>
      <c r="G50" s="495"/>
      <c r="H50" s="495" t="str">
        <f>Техническая_марафон!B62</f>
        <v>КМС</v>
      </c>
      <c r="I50" s="2147" t="str">
        <f>Техническая_марафон!H62</f>
        <v>Фамилия_1 Имя Отчество</v>
      </c>
      <c r="J50" s="2982"/>
      <c r="K50" s="501"/>
    </row>
    <row r="51" spans="1:11" s="496" customFormat="1" ht="27" customHeight="1" x14ac:dyDescent="0.25">
      <c r="A51" s="492">
        <v>43</v>
      </c>
      <c r="B51" s="497" t="str">
        <f>Техническая_марафон!C63</f>
        <v>Юноши</v>
      </c>
      <c r="C51" s="497"/>
      <c r="D51" s="499" t="str">
        <f>Техническая_марафон!D63</f>
        <v xml:space="preserve"> </v>
      </c>
      <c r="E51" s="500">
        <f>Техническая_марафон!E63</f>
        <v>0</v>
      </c>
      <c r="F51" s="495" t="str">
        <f>IF(Техническая_марафон!G63="Ж", "спортсменка", IF(Техническая_марафон!G63="М", "спортсмен", "не понятно кто"))</f>
        <v>спортсмен</v>
      </c>
      <c r="G51" s="495"/>
      <c r="H51" s="495" t="str">
        <f>Техническая_марафон!B63</f>
        <v>КМС</v>
      </c>
      <c r="I51" s="2147" t="str">
        <f>Техническая_марафон!H63</f>
        <v>Фамилия_1 Имя Отчество</v>
      </c>
      <c r="J51" s="2983"/>
      <c r="K51" s="501"/>
    </row>
    <row r="52" spans="1:11" s="496" customFormat="1" ht="27" customHeight="1" x14ac:dyDescent="0.25">
      <c r="A52" s="492">
        <v>44</v>
      </c>
      <c r="B52" s="497" t="str">
        <f>Техническая_марафон!C64</f>
        <v>Юноши</v>
      </c>
      <c r="C52" s="497"/>
      <c r="D52" s="499" t="str">
        <f>Техническая_марафон!D64</f>
        <v xml:space="preserve"> </v>
      </c>
      <c r="E52" s="500">
        <f>Техническая_марафон!E64</f>
        <v>0</v>
      </c>
      <c r="F52" s="495" t="str">
        <f>IF(Техническая_марафон!G64="Ж", "спортсменка", IF(Техническая_марафон!G64="М", "спортсмен", "не понятно кто"))</f>
        <v>спортсмен</v>
      </c>
      <c r="G52" s="495"/>
      <c r="H52" s="495" t="str">
        <f>Техническая_марафон!B64</f>
        <v>КМС</v>
      </c>
      <c r="I52" s="2147" t="str">
        <f>Техническая_марафон!H64</f>
        <v>Фамилия_1 Имя Отчество</v>
      </c>
      <c r="J52" s="2984"/>
      <c r="K52" s="501"/>
    </row>
    <row r="53" spans="1:11" s="496" customFormat="1" ht="27" customHeight="1" x14ac:dyDescent="0.25">
      <c r="A53" s="492">
        <v>45</v>
      </c>
      <c r="B53" s="497" t="str">
        <f>Техническая_марафон!C65</f>
        <v>Юноши</v>
      </c>
      <c r="C53" s="497"/>
      <c r="D53" s="499" t="str">
        <f>Техническая_марафон!D65</f>
        <v xml:space="preserve"> </v>
      </c>
      <c r="E53" s="500">
        <f>Техническая_марафон!E65</f>
        <v>0</v>
      </c>
      <c r="F53" s="495" t="str">
        <f>IF(Техническая_марафон!G65="Ж", "спортсменка", IF(Техническая_марафон!G65="М", "спортсмен", "не понятно кто"))</f>
        <v>спортсмен</v>
      </c>
      <c r="G53" s="495"/>
      <c r="H53" s="495" t="str">
        <f>Техническая_марафон!B65</f>
        <v>II юн</v>
      </c>
      <c r="I53" s="2147" t="str">
        <f>Техническая_марафон!H65</f>
        <v>Фамилия_1 Имя Отчество</v>
      </c>
      <c r="J53" s="2985"/>
      <c r="K53" s="501"/>
    </row>
    <row r="54" spans="1:11" s="496" customFormat="1" ht="27" customHeight="1" x14ac:dyDescent="0.25">
      <c r="A54" s="492">
        <v>46</v>
      </c>
      <c r="B54" s="497" t="str">
        <f>Техническая_марафон!C66</f>
        <v>Юноши</v>
      </c>
      <c r="C54" s="497"/>
      <c r="D54" s="499" t="str">
        <f>Техническая_марафон!D66</f>
        <v xml:space="preserve"> </v>
      </c>
      <c r="E54" s="500">
        <f>Техническая_марафон!E66</f>
        <v>0</v>
      </c>
      <c r="F54" s="495" t="str">
        <f>IF(Техническая_марафон!G66="Ж", "спортсменка", IF(Техническая_марафон!G66="М", "спортсмен", "не понятно кто"))</f>
        <v>спортсмен</v>
      </c>
      <c r="G54" s="495"/>
      <c r="H54" s="495" t="str">
        <f>Техническая_марафон!B66</f>
        <v>III юн</v>
      </c>
      <c r="I54" s="2147" t="str">
        <f>Техническая_марафон!H66</f>
        <v>Фамилия_1 Имя Отчество</v>
      </c>
      <c r="J54" s="2986"/>
      <c r="K54" s="501"/>
    </row>
    <row r="55" spans="1:11" s="496" customFormat="1" ht="27" customHeight="1" x14ac:dyDescent="0.25">
      <c r="A55" s="492">
        <v>47</v>
      </c>
      <c r="B55" s="497" t="str">
        <f>Техническая_марафон!C67</f>
        <v>Юноши</v>
      </c>
      <c r="C55" s="497"/>
      <c r="D55" s="499" t="str">
        <f>Техническая_марафон!D67</f>
        <v xml:space="preserve"> </v>
      </c>
      <c r="E55" s="500">
        <f>Техническая_марафон!E67</f>
        <v>0</v>
      </c>
      <c r="F55" s="495" t="str">
        <f>IF(Техническая_марафон!G67="Ж", "спортсменка", IF(Техническая_марафон!G67="М", "спортсмен", "не понятно кто"))</f>
        <v>спортсмен</v>
      </c>
      <c r="G55" s="495"/>
      <c r="H55" s="495" t="str">
        <f>Техническая_марафон!B67</f>
        <v>I юн</v>
      </c>
      <c r="I55" s="2147" t="str">
        <f>Техническая_марафон!H67</f>
        <v>Фамилия_1 Имя Отчество</v>
      </c>
      <c r="J55" s="2987"/>
      <c r="K55" s="501"/>
    </row>
    <row r="56" spans="1:11" s="496" customFormat="1" ht="27" customHeight="1" x14ac:dyDescent="0.25">
      <c r="A56" s="492">
        <v>48</v>
      </c>
      <c r="B56" s="497" t="str">
        <f>Техническая_марафон!C68</f>
        <v>Юноши</v>
      </c>
      <c r="C56" s="497"/>
      <c r="D56" s="499" t="str">
        <f>Техническая_марафон!D68</f>
        <v xml:space="preserve"> </v>
      </c>
      <c r="E56" s="500">
        <f>Техническая_марафон!E68</f>
        <v>0</v>
      </c>
      <c r="F56" s="495" t="str">
        <f>IF(Техническая_марафон!G68="Ж", "спортсменка", IF(Техническая_марафон!G68="М", "спортсмен", "не понятно кто"))</f>
        <v>спортсмен</v>
      </c>
      <c r="G56" s="495"/>
      <c r="H56" s="495" t="str">
        <f>Техническая_марафон!B68</f>
        <v>III</v>
      </c>
      <c r="I56" s="2147" t="str">
        <f>Техническая_марафон!H68</f>
        <v>Фамилия_1 Имя Отчество</v>
      </c>
      <c r="J56" s="2988"/>
      <c r="K56" s="501"/>
    </row>
    <row r="57" spans="1:11" s="496" customFormat="1" ht="27" customHeight="1" x14ac:dyDescent="0.25">
      <c r="A57" s="492">
        <v>49</v>
      </c>
      <c r="B57" s="497" t="str">
        <f>Техническая_марафон!C69</f>
        <v>Юноши</v>
      </c>
      <c r="C57" s="497"/>
      <c r="D57" s="499" t="str">
        <f>Техническая_марафон!D69</f>
        <v xml:space="preserve"> </v>
      </c>
      <c r="E57" s="500">
        <f>Техническая_марафон!E69</f>
        <v>0</v>
      </c>
      <c r="F57" s="495" t="str">
        <f>IF(Техническая_марафон!G69="Ж", "спортсменка", IF(Техническая_марафон!G69="М", "спортсмен", "не понятно кто"))</f>
        <v>спортсмен</v>
      </c>
      <c r="G57" s="495"/>
      <c r="H57" s="495" t="str">
        <f>Техническая_марафон!B69</f>
        <v>I юн</v>
      </c>
      <c r="I57" s="2147" t="str">
        <f>Техническая_марафон!H69</f>
        <v>Фамилия_1 Имя Отчество</v>
      </c>
      <c r="J57" s="2989"/>
      <c r="K57" s="501"/>
    </row>
    <row r="58" spans="1:11" s="496" customFormat="1" ht="27" customHeight="1" x14ac:dyDescent="0.25">
      <c r="A58" s="492">
        <v>50</v>
      </c>
      <c r="B58" s="497" t="str">
        <f>Техническая_марафон!C70</f>
        <v>Юноши</v>
      </c>
      <c r="C58" s="497"/>
      <c r="D58" s="499" t="str">
        <f>Техническая_марафон!D70</f>
        <v xml:space="preserve"> </v>
      </c>
      <c r="E58" s="500">
        <f>Техническая_марафон!E70</f>
        <v>0</v>
      </c>
      <c r="F58" s="495" t="str">
        <f>IF(Техническая_марафон!G70="Ж", "спортсменка", IF(Техническая_марафон!G70="М", "спортсмен", "не понятно кто"))</f>
        <v>спортсмен</v>
      </c>
      <c r="G58" s="495"/>
      <c r="H58" s="495" t="str">
        <f>Техническая_марафон!B70</f>
        <v>II юн</v>
      </c>
      <c r="I58" s="2147" t="str">
        <f>Техническая_марафон!H70</f>
        <v>Фамилия_1 Имя Отчество</v>
      </c>
      <c r="J58" s="2990"/>
      <c r="K58" s="501"/>
    </row>
    <row r="59" spans="1:11" ht="15" customHeight="1" x14ac:dyDescent="0.25">
      <c r="A59" s="490"/>
      <c r="B59" s="502"/>
      <c r="C59" s="502"/>
      <c r="D59" s="489"/>
      <c r="E59" s="490"/>
      <c r="F59" s="490"/>
      <c r="G59" s="490"/>
      <c r="H59" s="503"/>
      <c r="I59" s="503"/>
      <c r="J59" s="490"/>
      <c r="K59" s="489"/>
    </row>
    <row r="60" spans="1:11" s="496" customFormat="1" ht="24.75" customHeight="1" x14ac:dyDescent="0.3">
      <c r="A60" s="504"/>
      <c r="C60" s="485" t="s">
        <v>665</v>
      </c>
      <c r="D60" s="505" t="str">
        <f>Техническая_марафон!E76</f>
        <v>Фамилия_1 Имя Отчество</v>
      </c>
      <c r="E60" s="506"/>
      <c r="F60" s="506"/>
      <c r="G60" s="485" t="s">
        <v>666</v>
      </c>
      <c r="H60" s="2203"/>
      <c r="I60" s="2991"/>
      <c r="J60" s="2992"/>
      <c r="K60" s="2993"/>
    </row>
    <row r="61" spans="1:11" s="496" customFormat="1" ht="24.75" customHeight="1" x14ac:dyDescent="0.3">
      <c r="A61" s="490"/>
      <c r="B61" s="147"/>
      <c r="C61" s="147"/>
      <c r="D61" s="498" t="str">
        <f>Техническая_марафон!E77</f>
        <v>Фамилия_2 Имя Отчество</v>
      </c>
      <c r="E61" s="507"/>
      <c r="F61" s="507"/>
      <c r="G61" s="243"/>
      <c r="H61" s="2196"/>
      <c r="I61" s="2994"/>
      <c r="J61" s="2995"/>
      <c r="K61" s="2996"/>
    </row>
    <row r="62" spans="1:11" s="496" customFormat="1" ht="24.75" customHeight="1" x14ac:dyDescent="0.3">
      <c r="A62" s="490"/>
      <c r="B62" s="147"/>
      <c r="C62" s="147"/>
      <c r="D62" s="498" t="str">
        <f>Техническая_марафон!E78</f>
        <v>Фамилия_3 Имя Отчество</v>
      </c>
      <c r="E62" s="507"/>
      <c r="F62" s="507"/>
      <c r="G62" s="243"/>
      <c r="H62" s="2196"/>
      <c r="I62" s="2997"/>
      <c r="J62" s="2998"/>
      <c r="K62" s="2999"/>
    </row>
    <row r="63" spans="1:11" s="496" customFormat="1" ht="21" customHeight="1" x14ac:dyDescent="0.3">
      <c r="A63" s="243"/>
      <c r="B63" s="147"/>
      <c r="C63" s="147"/>
      <c r="D63" s="147"/>
      <c r="E63" s="243"/>
      <c r="F63" s="243"/>
      <c r="G63" s="243"/>
      <c r="H63" s="243"/>
      <c r="I63" s="243"/>
      <c r="J63" s="243"/>
      <c r="K63" s="508"/>
    </row>
    <row r="64" spans="1:11" s="496" customFormat="1" ht="17.25" customHeight="1" x14ac:dyDescent="0.3">
      <c r="D64" s="509" t="s">
        <v>667</v>
      </c>
      <c r="E64" s="506"/>
      <c r="F64" s="506"/>
      <c r="G64" s="506"/>
      <c r="H64" s="2192" t="str">
        <f>Техническая_марафон!E76</f>
        <v>Фамилия_1 Имя Отчество</v>
      </c>
      <c r="I64" s="3000"/>
      <c r="J64" s="3001"/>
      <c r="K64" s="3002"/>
    </row>
    <row r="65" spans="1:11" s="510" customFormat="1" ht="12.75" customHeight="1" x14ac:dyDescent="0.25">
      <c r="A65" s="511"/>
      <c r="B65" s="511"/>
      <c r="C65" s="511"/>
      <c r="F65" s="512" t="s">
        <v>668</v>
      </c>
      <c r="G65" s="513"/>
      <c r="H65" s="512"/>
      <c r="I65" s="512"/>
      <c r="J65" s="512" t="s">
        <v>669</v>
      </c>
      <c r="K65" s="514"/>
    </row>
    <row r="66" spans="1:11" s="47" customFormat="1" ht="21" customHeight="1" x14ac:dyDescent="0.2">
      <c r="A66" s="4"/>
      <c r="B66" s="4"/>
      <c r="C66" s="4"/>
      <c r="F66" s="515"/>
      <c r="G66" s="516"/>
      <c r="H66" s="515"/>
      <c r="I66" s="515"/>
      <c r="J66" s="515"/>
      <c r="K66" s="517"/>
    </row>
    <row r="67" spans="1:11" s="496" customFormat="1" ht="19.5" x14ac:dyDescent="0.35">
      <c r="A67" s="518" t="s">
        <v>670</v>
      </c>
      <c r="B67" s="518"/>
      <c r="C67" s="518"/>
      <c r="D67" s="519"/>
      <c r="E67" s="520"/>
      <c r="F67" s="518" t="s">
        <v>671</v>
      </c>
      <c r="G67" s="509" t="s">
        <v>672</v>
      </c>
      <c r="H67" s="521"/>
      <c r="I67" s="521"/>
      <c r="J67" s="2187"/>
      <c r="K67" s="3005"/>
    </row>
    <row r="68" spans="1:11" s="513" customFormat="1" ht="12" x14ac:dyDescent="0.25">
      <c r="A68" s="522"/>
      <c r="B68" s="522"/>
      <c r="C68" s="522"/>
      <c r="E68" s="522"/>
      <c r="F68" s="512"/>
      <c r="I68" s="512" t="s">
        <v>668</v>
      </c>
      <c r="J68" s="512"/>
      <c r="K68" s="512" t="s">
        <v>669</v>
      </c>
    </row>
    <row r="70" spans="1:11" s="496" customFormat="1" ht="33.75" customHeight="1" x14ac:dyDescent="0.35">
      <c r="A70" s="2186" t="s">
        <v>673</v>
      </c>
      <c r="B70" s="2186"/>
      <c r="C70" s="2186"/>
      <c r="D70" s="2186"/>
      <c r="E70" s="523"/>
      <c r="F70" s="523"/>
      <c r="G70" s="523"/>
      <c r="H70" s="523"/>
      <c r="I70" s="2187"/>
      <c r="J70" s="3003"/>
      <c r="K70" s="3004"/>
    </row>
    <row r="71" spans="1:11" s="510" customFormat="1" ht="12.75" customHeight="1" x14ac:dyDescent="0.25">
      <c r="A71" s="511"/>
      <c r="B71" s="511"/>
      <c r="C71" s="511"/>
      <c r="F71" s="512" t="s">
        <v>668</v>
      </c>
      <c r="G71" s="513"/>
      <c r="H71" s="512"/>
      <c r="I71" s="512"/>
      <c r="J71" s="512" t="s">
        <v>669</v>
      </c>
      <c r="K71" s="514"/>
    </row>
    <row r="72" spans="1:11" s="496" customFormat="1" ht="12" customHeight="1" x14ac:dyDescent="0.25">
      <c r="A72" s="488"/>
      <c r="B72" s="490"/>
      <c r="C72" s="490"/>
      <c r="D72" s="490"/>
      <c r="E72" s="490"/>
      <c r="F72" s="490"/>
      <c r="G72" s="490"/>
      <c r="H72" s="490"/>
      <c r="I72" s="490"/>
      <c r="J72" s="490"/>
      <c r="K72" s="490"/>
    </row>
    <row r="73" spans="1:11" s="496" customFormat="1" ht="33.75" customHeight="1" x14ac:dyDescent="0.35">
      <c r="A73" s="2186" t="s">
        <v>674</v>
      </c>
      <c r="B73" s="2186"/>
      <c r="C73" s="2186"/>
      <c r="D73" s="2186"/>
      <c r="E73" s="523"/>
      <c r="F73" s="523"/>
      <c r="G73" s="523"/>
      <c r="H73" s="523"/>
      <c r="I73" s="2187"/>
      <c r="J73" s="3006"/>
      <c r="K73" s="3007"/>
    </row>
    <row r="74" spans="1:11" s="510" customFormat="1" ht="12.75" customHeight="1" x14ac:dyDescent="0.25">
      <c r="A74" s="511"/>
      <c r="B74" s="511"/>
      <c r="C74" s="511"/>
      <c r="F74" s="512" t="s">
        <v>668</v>
      </c>
      <c r="G74" s="513"/>
      <c r="H74" s="512"/>
      <c r="I74" s="512"/>
      <c r="J74" s="512" t="s">
        <v>669</v>
      </c>
      <c r="K74" s="514"/>
    </row>
    <row r="75" spans="1:11" s="496" customFormat="1" ht="12" customHeight="1" x14ac:dyDescent="0.25">
      <c r="A75" s="488"/>
      <c r="B75" s="488"/>
      <c r="C75" s="488"/>
      <c r="D75" s="490"/>
      <c r="E75" s="490"/>
      <c r="F75" s="490"/>
      <c r="G75" s="490"/>
      <c r="H75" s="490"/>
      <c r="I75" s="490"/>
      <c r="J75" s="490"/>
      <c r="K75" s="490"/>
    </row>
    <row r="76" spans="1:11" s="496" customFormat="1" ht="18.75" x14ac:dyDescent="0.3">
      <c r="A76" s="147"/>
      <c r="B76" s="147"/>
      <c r="C76" s="147"/>
      <c r="D76" s="147"/>
      <c r="E76" s="147"/>
      <c r="F76" s="147"/>
      <c r="G76" s="147"/>
      <c r="H76" s="147"/>
      <c r="I76" s="147"/>
      <c r="J76" s="147"/>
      <c r="K76" s="147"/>
    </row>
  </sheetData>
  <mergeCells count="66">
    <mergeCell ref="H64:K64"/>
    <mergeCell ref="A73:D73"/>
    <mergeCell ref="A70:D70"/>
    <mergeCell ref="I70:K70"/>
    <mergeCell ref="J67:K67"/>
    <mergeCell ref="I73:K73"/>
    <mergeCell ref="I57:J57"/>
    <mergeCell ref="I58:J58"/>
    <mergeCell ref="H60:K60"/>
    <mergeCell ref="H61:K61"/>
    <mergeCell ref="H62:K62"/>
    <mergeCell ref="I52:J52"/>
    <mergeCell ref="I53:J53"/>
    <mergeCell ref="I54:J54"/>
    <mergeCell ref="I55:J55"/>
    <mergeCell ref="I56:J56"/>
    <mergeCell ref="I47:J47"/>
    <mergeCell ref="I48:J48"/>
    <mergeCell ref="I49:J49"/>
    <mergeCell ref="I50:J50"/>
    <mergeCell ref="I51:J51"/>
    <mergeCell ref="I42:J42"/>
    <mergeCell ref="I43:J43"/>
    <mergeCell ref="I44:J44"/>
    <mergeCell ref="I45:J45"/>
    <mergeCell ref="I46:J46"/>
    <mergeCell ref="I37:J37"/>
    <mergeCell ref="I38:J38"/>
    <mergeCell ref="I39:J39"/>
    <mergeCell ref="I40:J40"/>
    <mergeCell ref="I41:J41"/>
    <mergeCell ref="I32:J32"/>
    <mergeCell ref="I33:J33"/>
    <mergeCell ref="I34:J34"/>
    <mergeCell ref="I35:J35"/>
    <mergeCell ref="I36:J36"/>
    <mergeCell ref="I27:J27"/>
    <mergeCell ref="I28:J28"/>
    <mergeCell ref="I29:J29"/>
    <mergeCell ref="I30:J30"/>
    <mergeCell ref="I31:J31"/>
    <mergeCell ref="I24:J24"/>
    <mergeCell ref="I25:J25"/>
    <mergeCell ref="I26:J26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H1:K2"/>
    <mergeCell ref="I8:J8"/>
    <mergeCell ref="I21:J21"/>
    <mergeCell ref="I22:J22"/>
    <mergeCell ref="I23:J23"/>
    <mergeCell ref="A3:K3"/>
    <mergeCell ref="D4:K4"/>
    <mergeCell ref="D5:K5"/>
    <mergeCell ref="B8:D8"/>
    <mergeCell ref="D6:I6"/>
  </mergeCells>
  <pageMargins left="0.31496062874794006" right="0.31496062874794006" top="0.55118107795715332" bottom="0.31496062874794006" header="0" footer="0.11811023205518723"/>
  <pageSetup paperSize="9" fitToWidth="0" fitToHeight="0" orientation="landscape"/>
  <headerFooter>
    <oddFooter>&amp;R&amp;8&amp;"Times New Roman,Regular"Стр. &amp;P из &amp;N&amp;12&amp;"-,Regular"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U119"/>
  <sheetViews>
    <sheetView workbookViewId="0"/>
  </sheetViews>
  <sheetFormatPr defaultColWidth="9.140625" defaultRowHeight="15" x14ac:dyDescent="0.25"/>
  <cols>
    <col min="1" max="1" width="2.7109375" style="46" customWidth="1"/>
    <col min="2" max="2" width="6.5703125" style="46" customWidth="1"/>
    <col min="3" max="3" width="4.5703125" style="46" customWidth="1"/>
    <col min="4" max="4" width="5.28515625" style="46" customWidth="1"/>
    <col min="5" max="5" width="6.28515625" style="46" customWidth="1"/>
    <col min="6" max="6" width="8.5703125" style="46" customWidth="1"/>
    <col min="7" max="7" width="4.42578125" style="46" customWidth="1"/>
    <col min="8" max="8" width="11" style="46" customWidth="1"/>
    <col min="9" max="16" width="2.7109375" style="46" customWidth="1"/>
    <col min="17" max="17" width="4.85546875" style="46" customWidth="1"/>
    <col min="18" max="19" width="2.28515625" style="46" customWidth="1"/>
    <col min="20" max="20" width="2" style="46" bestFit="1" customWidth="1"/>
    <col min="21" max="21" width="3" style="46" bestFit="1" customWidth="1"/>
    <col min="22" max="22" width="5" style="46" customWidth="1"/>
    <col min="23" max="24" width="2.28515625" style="46" customWidth="1"/>
    <col min="25" max="26" width="3" style="46" bestFit="1" customWidth="1"/>
    <col min="27" max="27" width="5.140625" style="46" customWidth="1"/>
    <col min="28" max="29" width="2.28515625" style="46" customWidth="1"/>
    <col min="30" max="30" width="2.140625" style="46" customWidth="1"/>
    <col min="31" max="31" width="3" style="46" bestFit="1" customWidth="1"/>
    <col min="32" max="32" width="5.42578125" style="46" customWidth="1"/>
    <col min="33" max="35" width="2.28515625" style="46" customWidth="1"/>
    <col min="36" max="36" width="3" style="46" bestFit="1" customWidth="1"/>
    <col min="37" max="37" width="5.7109375" style="46" customWidth="1"/>
    <col min="38" max="39" width="2.28515625" style="46" customWidth="1"/>
    <col min="40" max="40" width="2" style="46" customWidth="1"/>
    <col min="41" max="41" width="3" style="46" bestFit="1" customWidth="1"/>
    <col min="42" max="42" width="4.7109375" style="46" customWidth="1"/>
    <col min="43" max="44" width="2.28515625" style="46" customWidth="1"/>
    <col min="45" max="45" width="2" style="46" bestFit="1" customWidth="1"/>
    <col min="46" max="46" width="3" style="46" bestFit="1" customWidth="1"/>
    <col min="47" max="47" width="6.140625" style="46" customWidth="1"/>
    <col min="48" max="49" width="2.28515625" style="46" customWidth="1"/>
    <col min="50" max="50" width="2.42578125" style="46" customWidth="1"/>
    <col min="51" max="51" width="3" style="46" bestFit="1" customWidth="1"/>
    <col min="52" max="52" width="5.42578125" style="46" customWidth="1"/>
    <col min="53" max="55" width="2.28515625" style="46" customWidth="1"/>
    <col min="56" max="56" width="3" style="46" bestFit="1" customWidth="1"/>
    <col min="57" max="57" width="5.140625" style="46" customWidth="1"/>
    <col min="58" max="59" width="2.28515625" style="46" customWidth="1"/>
    <col min="60" max="60" width="2.42578125" style="46" customWidth="1"/>
    <col min="61" max="61" width="3" style="46" bestFit="1" customWidth="1"/>
    <col min="62" max="62" width="5.5703125" style="46" customWidth="1"/>
    <col min="63" max="64" width="2.28515625" style="46" customWidth="1"/>
    <col min="65" max="65" width="2.42578125" style="46" customWidth="1"/>
    <col min="66" max="66" width="3" style="46" bestFit="1" customWidth="1"/>
    <col min="67" max="67" width="4.42578125" style="46" customWidth="1"/>
    <col min="68" max="69" width="2.28515625" style="46" customWidth="1"/>
    <col min="70" max="70" width="2" style="46" bestFit="1" customWidth="1"/>
    <col min="71" max="71" width="3" style="46" bestFit="1" customWidth="1"/>
    <col min="72" max="72" width="5.7109375" style="46" customWidth="1"/>
    <col min="73" max="74" width="2.28515625" style="46" customWidth="1"/>
    <col min="75" max="75" width="2.140625" style="46" customWidth="1"/>
    <col min="76" max="76" width="3" style="46" bestFit="1" customWidth="1"/>
    <col min="77" max="77" width="6" style="46" customWidth="1"/>
    <col min="78" max="79" width="2.28515625" style="46" customWidth="1"/>
    <col min="80" max="80" width="2" style="46" bestFit="1" customWidth="1"/>
    <col min="81" max="81" width="3" style="46" bestFit="1" customWidth="1"/>
    <col min="82" max="82" width="5.42578125" style="46" customWidth="1"/>
    <col min="83" max="84" width="2.28515625" style="46" customWidth="1"/>
    <col min="85" max="86" width="2" style="46" bestFit="1" customWidth="1"/>
    <col min="87" max="87" width="5.85546875" style="46" customWidth="1"/>
    <col min="88" max="90" width="2.28515625" style="46" customWidth="1"/>
    <col min="91" max="92" width="2" style="46" bestFit="1" customWidth="1"/>
    <col min="93" max="93" width="6.28515625" style="46" customWidth="1"/>
    <col min="94" max="96" width="2.28515625" style="46" customWidth="1"/>
    <col min="97" max="97" width="2" style="46" bestFit="1" customWidth="1"/>
    <col min="98" max="98" width="2.5703125" style="46" customWidth="1"/>
    <col min="99" max="99" width="7.140625" style="46" customWidth="1"/>
    <col min="100" max="102" width="2.28515625" style="46" customWidth="1"/>
    <col min="103" max="103" width="2" style="46" bestFit="1" customWidth="1"/>
    <col min="104" max="104" width="2.7109375" style="46" customWidth="1"/>
    <col min="105" max="105" width="6.140625" style="46" customWidth="1"/>
    <col min="106" max="109" width="3" style="46" bestFit="1" customWidth="1"/>
    <col min="110" max="110" width="3" style="46" customWidth="1"/>
    <col min="111" max="111" width="9.140625" style="46" bestFit="1" customWidth="1"/>
    <col min="112" max="16384" width="9.140625" style="46"/>
  </cols>
  <sheetData>
    <row r="1" spans="1:105" ht="19.5" x14ac:dyDescent="0.25">
      <c r="A1" s="39"/>
      <c r="B1" s="299" t="s">
        <v>572</v>
      </c>
      <c r="C1" s="87"/>
      <c r="D1" s="39"/>
      <c r="E1" s="96"/>
      <c r="F1" s="96"/>
      <c r="G1" s="87"/>
      <c r="H1" s="87"/>
      <c r="I1" s="87"/>
      <c r="J1" s="87"/>
      <c r="K1" s="87"/>
      <c r="L1" s="87"/>
      <c r="M1" s="87"/>
      <c r="N1" s="87"/>
      <c r="O1" s="112"/>
      <c r="P1" s="112"/>
      <c r="Q1" s="87"/>
      <c r="R1" s="87"/>
      <c r="S1" s="87"/>
      <c r="T1" s="112"/>
      <c r="U1" s="112"/>
      <c r="V1" s="87"/>
      <c r="W1" s="87"/>
      <c r="X1" s="87"/>
      <c r="Y1" s="194"/>
      <c r="Z1" s="194"/>
      <c r="AA1" s="87"/>
      <c r="AB1" s="87"/>
      <c r="AC1" s="87"/>
      <c r="AD1" s="194"/>
      <c r="AE1" s="194"/>
      <c r="AF1" s="87"/>
      <c r="AG1" s="87"/>
      <c r="AH1" s="87"/>
      <c r="AI1" s="195"/>
      <c r="AJ1" s="195"/>
      <c r="AK1" s="87"/>
      <c r="AL1" s="87"/>
      <c r="AM1" s="87"/>
      <c r="AN1" s="195"/>
      <c r="AO1" s="195"/>
      <c r="AP1" s="87"/>
      <c r="AQ1" s="87"/>
      <c r="AR1" s="87"/>
      <c r="AS1" s="112"/>
      <c r="AT1" s="112"/>
      <c r="AU1" s="87"/>
      <c r="AV1" s="87"/>
      <c r="AW1" s="87"/>
      <c r="AX1" s="112"/>
      <c r="AY1" s="112"/>
      <c r="AZ1" s="87"/>
      <c r="BA1" s="87"/>
      <c r="BB1" s="87"/>
      <c r="BC1" s="112"/>
      <c r="BD1" s="112"/>
      <c r="BE1" s="87"/>
      <c r="BF1" s="87"/>
      <c r="BG1" s="87"/>
      <c r="BH1" s="112"/>
      <c r="BI1" s="112"/>
      <c r="BJ1" s="87"/>
      <c r="BK1" s="87"/>
      <c r="BL1" s="87"/>
      <c r="BM1" s="112"/>
      <c r="BN1" s="112"/>
      <c r="BO1" s="87"/>
      <c r="BP1" s="87"/>
      <c r="BQ1" s="87"/>
      <c r="BR1" s="112"/>
      <c r="BS1" s="112"/>
      <c r="BT1" s="87"/>
      <c r="BU1" s="87"/>
      <c r="BV1" s="87"/>
      <c r="BW1" s="112"/>
      <c r="BX1" s="195"/>
      <c r="BY1" s="87"/>
      <c r="BZ1" s="87"/>
      <c r="CA1" s="87"/>
      <c r="CB1" s="202"/>
      <c r="CC1" s="195"/>
      <c r="CD1" s="87"/>
      <c r="CE1" s="87"/>
      <c r="CF1" s="87"/>
      <c r="CG1" s="202"/>
      <c r="CH1" s="202"/>
      <c r="CI1" s="195"/>
      <c r="CJ1" s="87"/>
      <c r="CK1" s="87"/>
      <c r="CL1" s="87"/>
      <c r="CM1" s="202"/>
      <c r="CN1" s="96"/>
      <c r="CO1" s="96"/>
      <c r="CP1" s="87"/>
      <c r="CQ1" s="87"/>
      <c r="CR1" s="87"/>
      <c r="CS1" s="202"/>
      <c r="CT1" s="96"/>
      <c r="CV1" s="87"/>
      <c r="CW1" s="87"/>
      <c r="CX1" s="87"/>
      <c r="CY1" s="202"/>
    </row>
    <row r="2" spans="1:105" s="300" customFormat="1" x14ac:dyDescent="0.25">
      <c r="A2" s="301"/>
      <c r="B2" s="302" t="s">
        <v>573</v>
      </c>
      <c r="C2" s="302"/>
      <c r="D2" s="301"/>
      <c r="E2" s="303"/>
      <c r="F2" s="303"/>
      <c r="G2" s="302"/>
      <c r="H2" s="302"/>
      <c r="I2" s="302"/>
      <c r="J2" s="302"/>
      <c r="K2" s="302"/>
      <c r="L2" s="302"/>
      <c r="M2" s="302"/>
      <c r="N2" s="302"/>
      <c r="O2" s="304"/>
      <c r="P2" s="304"/>
      <c r="Q2" s="302"/>
      <c r="R2" s="302"/>
      <c r="S2" s="302"/>
      <c r="T2" s="304"/>
      <c r="U2" s="304"/>
      <c r="V2" s="302"/>
      <c r="W2" s="302"/>
      <c r="X2" s="302"/>
      <c r="Y2" s="305"/>
      <c r="Z2" s="305"/>
      <c r="AA2" s="302"/>
      <c r="AB2" s="302"/>
      <c r="AC2" s="302"/>
      <c r="AD2" s="305"/>
      <c r="AE2" s="305"/>
      <c r="AF2" s="302"/>
      <c r="AG2" s="302"/>
      <c r="AH2" s="302"/>
      <c r="AI2" s="306"/>
      <c r="AJ2" s="306"/>
      <c r="AK2" s="302"/>
      <c r="AL2" s="302"/>
      <c r="AM2" s="302"/>
      <c r="AN2" s="306"/>
      <c r="AO2" s="306"/>
      <c r="AP2" s="302"/>
      <c r="AQ2" s="302"/>
      <c r="AR2" s="302"/>
      <c r="AS2" s="304"/>
      <c r="AT2" s="304"/>
      <c r="AU2" s="302"/>
      <c r="AV2" s="302"/>
      <c r="AW2" s="302"/>
      <c r="AX2" s="304"/>
      <c r="AY2" s="304"/>
      <c r="AZ2" s="302"/>
      <c r="BA2" s="302"/>
      <c r="BB2" s="302"/>
      <c r="BC2" s="304"/>
      <c r="BD2" s="304"/>
      <c r="BE2" s="302"/>
      <c r="BF2" s="302"/>
      <c r="BG2" s="302"/>
      <c r="BH2" s="304"/>
      <c r="BI2" s="304"/>
      <c r="BJ2" s="302"/>
      <c r="BK2" s="302"/>
      <c r="BL2" s="302"/>
      <c r="BM2" s="307"/>
      <c r="BN2" s="307"/>
      <c r="BO2" s="302"/>
      <c r="BP2" s="302"/>
      <c r="BQ2" s="302"/>
      <c r="BR2" s="307"/>
      <c r="BS2" s="307"/>
      <c r="BT2" s="302"/>
      <c r="BU2" s="302"/>
      <c r="BV2" s="302"/>
      <c r="BW2" s="307"/>
      <c r="BX2" s="308"/>
      <c r="BY2" s="302"/>
      <c r="BZ2" s="302"/>
      <c r="CA2" s="302"/>
      <c r="CB2" s="309"/>
      <c r="CC2" s="308"/>
      <c r="CD2" s="302"/>
      <c r="CE2" s="302"/>
      <c r="CF2" s="302"/>
      <c r="CG2" s="309"/>
      <c r="CH2" s="309"/>
      <c r="CI2" s="308"/>
      <c r="CJ2" s="302"/>
      <c r="CK2" s="302"/>
      <c r="CL2" s="302"/>
      <c r="CM2" s="309"/>
      <c r="CN2" s="310"/>
      <c r="CO2" s="311"/>
      <c r="CP2" s="302"/>
      <c r="CQ2" s="302"/>
      <c r="CR2" s="302"/>
      <c r="CS2" s="309"/>
      <c r="CT2" s="311"/>
      <c r="CV2" s="302"/>
      <c r="CW2" s="302"/>
      <c r="CX2" s="302"/>
      <c r="CY2" s="309"/>
    </row>
    <row r="3" spans="1:105" s="300" customFormat="1" x14ac:dyDescent="0.25">
      <c r="A3" s="301"/>
      <c r="B3" s="302" t="s">
        <v>574</v>
      </c>
      <c r="C3" s="302"/>
      <c r="D3" s="301"/>
      <c r="E3" s="303"/>
      <c r="F3" s="303"/>
      <c r="G3" s="302"/>
      <c r="H3" s="302"/>
      <c r="I3" s="302"/>
      <c r="J3" s="302"/>
      <c r="K3" s="302"/>
      <c r="L3" s="302"/>
      <c r="M3" s="302"/>
      <c r="N3" s="302"/>
      <c r="O3" s="304"/>
      <c r="P3" s="304"/>
      <c r="Q3" s="302"/>
      <c r="R3" s="302"/>
      <c r="S3" s="302"/>
      <c r="T3" s="304"/>
      <c r="U3" s="304"/>
      <c r="V3" s="302"/>
      <c r="W3" s="302"/>
      <c r="X3" s="302"/>
      <c r="Y3" s="305"/>
      <c r="Z3" s="305"/>
      <c r="AA3" s="302"/>
      <c r="AB3" s="302"/>
      <c r="AC3" s="302"/>
      <c r="AD3" s="305"/>
      <c r="AE3" s="305"/>
      <c r="AF3" s="302"/>
      <c r="AG3" s="302"/>
      <c r="AH3" s="302"/>
      <c r="AI3" s="306"/>
      <c r="AJ3" s="306"/>
      <c r="AK3" s="302"/>
      <c r="AL3" s="302"/>
      <c r="AM3" s="302"/>
      <c r="AN3" s="306"/>
      <c r="AO3" s="306"/>
      <c r="AP3" s="302"/>
      <c r="AQ3" s="302"/>
      <c r="AR3" s="302"/>
      <c r="AS3" s="304"/>
      <c r="AT3" s="304"/>
      <c r="AU3" s="302"/>
      <c r="AV3" s="302"/>
      <c r="AW3" s="302"/>
      <c r="AX3" s="304"/>
      <c r="AY3" s="304"/>
      <c r="AZ3" s="302"/>
      <c r="BA3" s="302"/>
      <c r="BB3" s="302"/>
      <c r="BC3" s="304"/>
      <c r="BD3" s="304"/>
      <c r="BE3" s="302"/>
      <c r="BF3" s="302"/>
      <c r="BG3" s="302"/>
      <c r="BH3" s="304"/>
      <c r="BI3" s="304"/>
      <c r="BJ3" s="302"/>
      <c r="BK3" s="302"/>
      <c r="BL3" s="302"/>
      <c r="BM3" s="307"/>
      <c r="BN3" s="307"/>
      <c r="BO3" s="302"/>
      <c r="BP3" s="302"/>
      <c r="BQ3" s="302"/>
      <c r="BR3" s="307"/>
      <c r="BS3" s="307"/>
      <c r="BT3" s="302"/>
      <c r="BU3" s="302"/>
      <c r="BV3" s="302"/>
      <c r="BW3" s="307"/>
      <c r="BX3" s="308"/>
      <c r="BY3" s="302"/>
      <c r="BZ3" s="302"/>
      <c r="CA3" s="302"/>
      <c r="CB3" s="309"/>
      <c r="CC3" s="308"/>
      <c r="CD3" s="302"/>
      <c r="CE3" s="302"/>
      <c r="CF3" s="302"/>
      <c r="CG3" s="309"/>
      <c r="CH3" s="309"/>
      <c r="CI3" s="308"/>
      <c r="CJ3" s="302"/>
      <c r="CK3" s="302"/>
      <c r="CL3" s="302"/>
      <c r="CM3" s="309"/>
      <c r="CN3" s="310"/>
      <c r="CO3" s="311"/>
      <c r="CP3" s="302"/>
      <c r="CQ3" s="302"/>
      <c r="CR3" s="302"/>
      <c r="CS3" s="309"/>
      <c r="CT3" s="311"/>
      <c r="CV3" s="302"/>
      <c r="CW3" s="302"/>
      <c r="CX3" s="302"/>
      <c r="CY3" s="309"/>
    </row>
    <row r="4" spans="1:105" s="300" customFormat="1" x14ac:dyDescent="0.25">
      <c r="A4" s="301"/>
      <c r="B4" s="2071" t="s">
        <v>575</v>
      </c>
      <c r="C4" s="2071"/>
      <c r="D4" s="2071"/>
      <c r="E4" s="2071"/>
      <c r="F4" s="2071"/>
      <c r="G4" s="2071"/>
      <c r="H4" s="2071"/>
      <c r="I4" s="2071"/>
      <c r="J4" s="2071"/>
      <c r="K4" s="2071"/>
      <c r="L4" s="2071"/>
      <c r="M4" s="2071"/>
      <c r="N4" s="2071"/>
      <c r="O4" s="2071"/>
      <c r="P4" s="2071"/>
      <c r="Q4" s="2071"/>
      <c r="R4" s="2071"/>
      <c r="S4" s="2071"/>
      <c r="T4" s="2071"/>
      <c r="U4" s="2071"/>
      <c r="V4" s="2071"/>
      <c r="W4" s="2071"/>
      <c r="X4" s="2071"/>
      <c r="Y4" s="2071"/>
      <c r="Z4" s="2071"/>
      <c r="AA4" s="2071"/>
      <c r="AB4" s="2071"/>
      <c r="AC4" s="2071"/>
      <c r="AD4" s="2071"/>
      <c r="AE4" s="2071"/>
      <c r="AF4" s="2071"/>
      <c r="AG4" s="2071"/>
      <c r="AH4" s="2071"/>
      <c r="AI4" s="2071"/>
      <c r="AJ4" s="2071"/>
      <c r="AK4" s="2071"/>
      <c r="AL4" s="2071"/>
      <c r="AM4" s="2071"/>
      <c r="AN4" s="2071"/>
      <c r="AO4" s="2071"/>
      <c r="AP4" s="2071"/>
      <c r="AQ4" s="2071"/>
      <c r="AR4" s="2071"/>
      <c r="AS4" s="2071"/>
      <c r="AT4" s="2071"/>
      <c r="AU4" s="2071"/>
      <c r="AV4" s="2071"/>
      <c r="AW4" s="2071"/>
      <c r="AX4" s="2071"/>
      <c r="AY4" s="2071"/>
      <c r="AZ4" s="2071"/>
      <c r="BA4" s="2071"/>
      <c r="BB4" s="2071"/>
      <c r="BC4" s="2071"/>
      <c r="BD4" s="2071"/>
      <c r="BE4" s="312"/>
      <c r="BF4" s="312"/>
      <c r="BG4" s="312"/>
      <c r="BH4" s="304"/>
      <c r="BI4" s="304"/>
      <c r="BJ4" s="304"/>
      <c r="BK4" s="304"/>
      <c r="BL4" s="304"/>
      <c r="BM4" s="307"/>
      <c r="BN4" s="307"/>
      <c r="BO4" s="304"/>
      <c r="BP4" s="304"/>
      <c r="BQ4" s="304"/>
      <c r="BR4" s="307"/>
      <c r="BS4" s="307"/>
      <c r="BT4" s="304"/>
      <c r="BU4" s="304"/>
      <c r="BV4" s="304"/>
      <c r="BW4" s="307"/>
      <c r="BX4" s="308"/>
      <c r="BY4" s="304"/>
      <c r="BZ4" s="304"/>
      <c r="CA4" s="304"/>
      <c r="CB4" s="309"/>
      <c r="CC4" s="308"/>
      <c r="CD4" s="304"/>
      <c r="CE4" s="304"/>
      <c r="CF4" s="304"/>
      <c r="CG4" s="309"/>
      <c r="CH4" s="309"/>
      <c r="CI4" s="308"/>
      <c r="CJ4" s="304"/>
      <c r="CK4" s="304"/>
      <c r="CL4" s="304"/>
      <c r="CM4" s="309"/>
      <c r="CN4" s="310"/>
      <c r="CO4" s="311"/>
      <c r="CP4" s="304"/>
      <c r="CQ4" s="304"/>
      <c r="CR4" s="304"/>
      <c r="CS4" s="309"/>
      <c r="CT4" s="311"/>
      <c r="CV4" s="304"/>
      <c r="CW4" s="304"/>
      <c r="CX4" s="304"/>
      <c r="CY4" s="309"/>
    </row>
    <row r="5" spans="1:105" s="300" customFormat="1" ht="27" customHeight="1" x14ac:dyDescent="0.25">
      <c r="A5" s="301"/>
      <c r="B5" s="2071"/>
      <c r="C5" s="2071"/>
      <c r="D5" s="2071"/>
      <c r="E5" s="2071"/>
      <c r="F5" s="2071"/>
      <c r="G5" s="2071"/>
      <c r="H5" s="2071"/>
      <c r="I5" s="2071"/>
      <c r="J5" s="2071"/>
      <c r="K5" s="2071"/>
      <c r="L5" s="2071"/>
      <c r="M5" s="2071"/>
      <c r="N5" s="2071"/>
      <c r="O5" s="2071"/>
      <c r="P5" s="2071"/>
      <c r="Q5" s="2071"/>
      <c r="R5" s="2071"/>
      <c r="S5" s="2071"/>
      <c r="T5" s="2071"/>
      <c r="U5" s="2071"/>
      <c r="V5" s="2071"/>
      <c r="W5" s="2071"/>
      <c r="X5" s="2071"/>
      <c r="Y5" s="2071"/>
      <c r="Z5" s="2071"/>
      <c r="AA5" s="2071"/>
      <c r="AB5" s="2071"/>
      <c r="AC5" s="2071"/>
      <c r="AD5" s="2071"/>
      <c r="AE5" s="2071"/>
      <c r="AF5" s="2071"/>
      <c r="AG5" s="2071"/>
      <c r="AH5" s="2071"/>
      <c r="AI5" s="2071"/>
      <c r="AJ5" s="2071"/>
      <c r="AK5" s="2071"/>
      <c r="AL5" s="2071"/>
      <c r="AM5" s="2071"/>
      <c r="AN5" s="2071"/>
      <c r="AO5" s="2071"/>
      <c r="AP5" s="2071"/>
      <c r="AQ5" s="2071"/>
      <c r="AR5" s="2071"/>
      <c r="AS5" s="2071"/>
      <c r="AT5" s="2071"/>
      <c r="AU5" s="2071"/>
      <c r="AV5" s="2071"/>
      <c r="AW5" s="2071"/>
      <c r="AX5" s="2071"/>
      <c r="AY5" s="2071"/>
      <c r="AZ5" s="2071"/>
      <c r="BA5" s="2071"/>
      <c r="BB5" s="2071"/>
      <c r="BC5" s="2071"/>
      <c r="BD5" s="2071"/>
      <c r="BE5" s="312"/>
      <c r="BF5" s="312"/>
      <c r="BG5" s="312"/>
      <c r="BH5" s="304"/>
      <c r="BI5" s="304"/>
      <c r="BJ5" s="304"/>
      <c r="BK5" s="304"/>
      <c r="BL5" s="304"/>
      <c r="BM5" s="307"/>
      <c r="BN5" s="307"/>
      <c r="BO5" s="304"/>
      <c r="BP5" s="304"/>
      <c r="BQ5" s="304"/>
      <c r="BR5" s="307"/>
      <c r="BS5" s="307"/>
      <c r="BT5" s="304"/>
      <c r="BU5" s="304"/>
      <c r="BV5" s="304"/>
      <c r="BW5" s="307"/>
      <c r="BX5" s="308"/>
      <c r="BY5" s="304"/>
      <c r="BZ5" s="304"/>
      <c r="CA5" s="304"/>
      <c r="CB5" s="309"/>
      <c r="CC5" s="308"/>
      <c r="CD5" s="304"/>
      <c r="CE5" s="304"/>
      <c r="CF5" s="304"/>
      <c r="CG5" s="309"/>
      <c r="CH5" s="309"/>
      <c r="CI5" s="308"/>
      <c r="CJ5" s="304"/>
      <c r="CK5" s="304"/>
      <c r="CL5" s="304"/>
      <c r="CM5" s="309"/>
      <c r="CN5" s="310"/>
      <c r="CO5" s="311"/>
      <c r="CP5" s="304"/>
      <c r="CQ5" s="304"/>
      <c r="CR5" s="304"/>
      <c r="CS5" s="309"/>
      <c r="CT5" s="311"/>
      <c r="CV5" s="304"/>
      <c r="CW5" s="304"/>
      <c r="CX5" s="304"/>
      <c r="CY5" s="309"/>
    </row>
    <row r="6" spans="1:105" s="300" customFormat="1" x14ac:dyDescent="0.25">
      <c r="A6" s="301"/>
      <c r="B6" s="302" t="s">
        <v>576</v>
      </c>
      <c r="C6" s="302"/>
      <c r="D6" s="301"/>
      <c r="E6" s="303"/>
      <c r="F6" s="303"/>
      <c r="G6" s="302"/>
      <c r="H6" s="302"/>
      <c r="I6" s="302"/>
      <c r="J6" s="302"/>
      <c r="K6" s="302"/>
      <c r="L6" s="302"/>
      <c r="M6" s="302"/>
      <c r="N6" s="302"/>
      <c r="O6" s="304"/>
      <c r="P6" s="304"/>
      <c r="Q6" s="302"/>
      <c r="R6" s="302"/>
      <c r="S6" s="302"/>
      <c r="T6" s="304"/>
      <c r="U6" s="304"/>
      <c r="V6" s="302"/>
      <c r="W6" s="302"/>
      <c r="X6" s="302"/>
      <c r="Y6" s="305"/>
      <c r="Z6" s="305"/>
      <c r="AA6" s="302"/>
      <c r="AB6" s="302"/>
      <c r="AC6" s="302"/>
      <c r="AD6" s="305"/>
      <c r="AE6" s="305"/>
      <c r="AF6" s="302"/>
      <c r="AG6" s="302"/>
      <c r="AH6" s="302"/>
      <c r="AI6" s="306"/>
      <c r="AJ6" s="306"/>
      <c r="AK6" s="302"/>
      <c r="AL6" s="302"/>
      <c r="AM6" s="302"/>
      <c r="AN6" s="306"/>
      <c r="AO6" s="306"/>
      <c r="AP6" s="302"/>
      <c r="AQ6" s="302"/>
      <c r="AR6" s="302"/>
      <c r="AS6" s="304"/>
      <c r="AT6" s="304"/>
      <c r="AU6" s="302"/>
      <c r="AV6" s="302"/>
      <c r="AW6" s="302"/>
      <c r="AX6" s="304"/>
      <c r="AY6" s="304"/>
      <c r="AZ6" s="302"/>
      <c r="BA6" s="302"/>
      <c r="BB6" s="302"/>
      <c r="BC6" s="304"/>
      <c r="BD6" s="304"/>
      <c r="BE6" s="302"/>
      <c r="BF6" s="302"/>
      <c r="BG6" s="302"/>
      <c r="BH6" s="304"/>
      <c r="BI6" s="304"/>
      <c r="BJ6" s="302"/>
      <c r="BK6" s="302"/>
      <c r="BL6" s="302"/>
      <c r="BM6" s="307"/>
      <c r="BN6" s="307"/>
      <c r="BO6" s="302"/>
      <c r="BP6" s="302"/>
      <c r="BQ6" s="302"/>
      <c r="BR6" s="307"/>
      <c r="BS6" s="307"/>
      <c r="BT6" s="302"/>
      <c r="BU6" s="302"/>
      <c r="BV6" s="302"/>
      <c r="BW6" s="307"/>
      <c r="BX6" s="308"/>
      <c r="BY6" s="302"/>
      <c r="BZ6" s="302"/>
      <c r="CA6" s="302"/>
      <c r="CB6" s="309"/>
      <c r="CC6" s="308"/>
      <c r="CD6" s="302"/>
      <c r="CE6" s="302"/>
      <c r="CF6" s="302"/>
      <c r="CG6" s="309"/>
      <c r="CH6" s="309"/>
      <c r="CI6" s="308"/>
      <c r="CJ6" s="302"/>
      <c r="CK6" s="302"/>
      <c r="CL6" s="302"/>
      <c r="CM6" s="309"/>
      <c r="CN6" s="310"/>
      <c r="CO6" s="311"/>
      <c r="CP6" s="302"/>
      <c r="CQ6" s="302"/>
      <c r="CR6" s="302"/>
      <c r="CS6" s="309"/>
      <c r="CT6" s="311"/>
      <c r="CV6" s="302"/>
      <c r="CW6" s="302"/>
      <c r="CX6" s="302"/>
      <c r="CY6" s="309"/>
    </row>
    <row r="7" spans="1:105" s="300" customFormat="1" x14ac:dyDescent="0.25">
      <c r="A7" s="301"/>
      <c r="B7" s="2071" t="s">
        <v>577</v>
      </c>
      <c r="C7" s="2071"/>
      <c r="D7" s="2071"/>
      <c r="E7" s="2071"/>
      <c r="F7" s="2071"/>
      <c r="G7" s="2071"/>
      <c r="H7" s="2071"/>
      <c r="I7" s="2071"/>
      <c r="J7" s="2071"/>
      <c r="K7" s="2071"/>
      <c r="L7" s="2071"/>
      <c r="M7" s="2071"/>
      <c r="N7" s="2071"/>
      <c r="O7" s="2071"/>
      <c r="P7" s="2071"/>
      <c r="Q7" s="2071"/>
      <c r="R7" s="2071"/>
      <c r="S7" s="2071"/>
      <c r="T7" s="2071"/>
      <c r="U7" s="2071"/>
      <c r="V7" s="2071"/>
      <c r="W7" s="2071"/>
      <c r="X7" s="2071"/>
      <c r="Y7" s="2071"/>
      <c r="Z7" s="2071"/>
      <c r="AA7" s="2071"/>
      <c r="AB7" s="2071"/>
      <c r="AC7" s="2071"/>
      <c r="AD7" s="2071"/>
      <c r="AE7" s="2071"/>
      <c r="AF7" s="2071"/>
      <c r="AG7" s="2071"/>
      <c r="AH7" s="2071"/>
      <c r="AI7" s="2071"/>
      <c r="AJ7" s="2071"/>
      <c r="AK7" s="2071"/>
      <c r="AL7" s="2071"/>
      <c r="AM7" s="2071"/>
      <c r="AN7" s="2071"/>
      <c r="AO7" s="2071"/>
      <c r="AP7" s="2071"/>
      <c r="AQ7" s="2071"/>
      <c r="AR7" s="2071"/>
      <c r="AS7" s="2071"/>
      <c r="AT7" s="2071"/>
      <c r="AU7" s="2071"/>
      <c r="AV7" s="2071"/>
      <c r="AW7" s="2071"/>
      <c r="AX7" s="2071"/>
      <c r="AY7" s="2071"/>
      <c r="AZ7" s="2071"/>
      <c r="BA7" s="2071"/>
      <c r="BB7" s="2071"/>
      <c r="BC7" s="2071"/>
      <c r="BD7" s="2071"/>
      <c r="BE7" s="312"/>
      <c r="BF7" s="312"/>
      <c r="BG7" s="312"/>
      <c r="BH7" s="304"/>
      <c r="BI7" s="304"/>
      <c r="BJ7" s="304"/>
      <c r="BK7" s="304"/>
      <c r="BL7" s="304"/>
      <c r="BM7" s="307"/>
      <c r="BN7" s="307"/>
      <c r="BO7" s="304"/>
      <c r="BP7" s="304"/>
      <c r="BQ7" s="304"/>
      <c r="BR7" s="307"/>
      <c r="BS7" s="307"/>
      <c r="BT7" s="304"/>
      <c r="BU7" s="304"/>
      <c r="BV7" s="304"/>
      <c r="BW7" s="307"/>
      <c r="BX7" s="308"/>
      <c r="BY7" s="304"/>
      <c r="BZ7" s="304"/>
      <c r="CA7" s="304"/>
      <c r="CB7" s="309"/>
      <c r="CC7" s="308"/>
      <c r="CD7" s="304"/>
      <c r="CE7" s="304"/>
      <c r="CF7" s="304"/>
      <c r="CG7" s="309"/>
      <c r="CH7" s="309"/>
      <c r="CI7" s="308"/>
      <c r="CJ7" s="304"/>
      <c r="CK7" s="304"/>
      <c r="CL7" s="304"/>
      <c r="CM7" s="309"/>
      <c r="CN7" s="310"/>
      <c r="CO7" s="311"/>
      <c r="CP7" s="304"/>
      <c r="CQ7" s="304"/>
      <c r="CR7" s="304"/>
      <c r="CS7" s="309"/>
      <c r="CT7" s="311"/>
      <c r="CV7" s="304"/>
      <c r="CW7" s="304"/>
      <c r="CX7" s="304"/>
      <c r="CY7" s="309"/>
    </row>
    <row r="8" spans="1:105" s="300" customFormat="1" ht="35.25" customHeight="1" x14ac:dyDescent="0.25">
      <c r="A8" s="301"/>
      <c r="B8" s="2071"/>
      <c r="C8" s="2071"/>
      <c r="D8" s="2071"/>
      <c r="E8" s="2071"/>
      <c r="F8" s="2071"/>
      <c r="G8" s="2071"/>
      <c r="H8" s="2071"/>
      <c r="I8" s="2071"/>
      <c r="J8" s="2071"/>
      <c r="K8" s="2071"/>
      <c r="L8" s="2071"/>
      <c r="M8" s="2071"/>
      <c r="N8" s="2071"/>
      <c r="O8" s="2071"/>
      <c r="P8" s="2071"/>
      <c r="Q8" s="2071"/>
      <c r="R8" s="2071"/>
      <c r="S8" s="2071"/>
      <c r="T8" s="2071"/>
      <c r="U8" s="2071"/>
      <c r="V8" s="2071"/>
      <c r="W8" s="2071"/>
      <c r="X8" s="2071"/>
      <c r="Y8" s="2071"/>
      <c r="Z8" s="2071"/>
      <c r="AA8" s="2071"/>
      <c r="AB8" s="2071"/>
      <c r="AC8" s="2071"/>
      <c r="AD8" s="2071"/>
      <c r="AE8" s="2071"/>
      <c r="AF8" s="2071"/>
      <c r="AG8" s="2071"/>
      <c r="AH8" s="2071"/>
      <c r="AI8" s="2071"/>
      <c r="AJ8" s="2071"/>
      <c r="AK8" s="2071"/>
      <c r="AL8" s="2071"/>
      <c r="AM8" s="2071"/>
      <c r="AN8" s="2071"/>
      <c r="AO8" s="2071"/>
      <c r="AP8" s="2071"/>
      <c r="AQ8" s="2071"/>
      <c r="AR8" s="2071"/>
      <c r="AS8" s="2071"/>
      <c r="AT8" s="2071"/>
      <c r="AU8" s="2071"/>
      <c r="AV8" s="2071"/>
      <c r="AW8" s="2071"/>
      <c r="AX8" s="2071"/>
      <c r="AY8" s="2071"/>
      <c r="AZ8" s="2071"/>
      <c r="BA8" s="2071"/>
      <c r="BB8" s="2071"/>
      <c r="BC8" s="2071"/>
      <c r="BD8" s="2071"/>
      <c r="BE8" s="312"/>
      <c r="BF8" s="312"/>
      <c r="BG8" s="312"/>
      <c r="BH8" s="304"/>
      <c r="BI8" s="304"/>
      <c r="BJ8" s="304"/>
      <c r="BK8" s="304"/>
      <c r="BL8" s="304"/>
      <c r="BM8" s="307"/>
      <c r="BN8" s="307"/>
      <c r="BO8" s="304"/>
      <c r="BP8" s="304"/>
      <c r="BQ8" s="304"/>
      <c r="BR8" s="307"/>
      <c r="BS8" s="307"/>
      <c r="BT8" s="304"/>
      <c r="BU8" s="304"/>
      <c r="BV8" s="304"/>
      <c r="BW8" s="307"/>
      <c r="BX8" s="308"/>
      <c r="BY8" s="304"/>
      <c r="BZ8" s="304"/>
      <c r="CA8" s="304"/>
      <c r="CB8" s="309"/>
      <c r="CC8" s="308"/>
      <c r="CD8" s="304"/>
      <c r="CE8" s="304"/>
      <c r="CF8" s="304"/>
      <c r="CG8" s="309"/>
      <c r="CH8" s="309"/>
      <c r="CI8" s="308"/>
      <c r="CJ8" s="304"/>
      <c r="CK8" s="304"/>
      <c r="CL8" s="304"/>
      <c r="CM8" s="309"/>
      <c r="CN8" s="310"/>
      <c r="CO8" s="311"/>
      <c r="CP8" s="304"/>
      <c r="CQ8" s="304"/>
      <c r="CR8" s="304"/>
      <c r="CS8" s="309"/>
      <c r="CT8" s="311"/>
      <c r="CV8" s="304"/>
      <c r="CW8" s="304"/>
      <c r="CX8" s="304"/>
      <c r="CY8" s="309"/>
    </row>
    <row r="9" spans="1:105" ht="12.75" customHeight="1" x14ac:dyDescent="0.25">
      <c r="A9" s="39"/>
      <c r="B9" s="87"/>
      <c r="C9" s="87"/>
      <c r="D9" s="39"/>
      <c r="F9" s="96"/>
      <c r="G9" s="87"/>
      <c r="H9" s="87"/>
      <c r="I9" s="87"/>
      <c r="J9" s="87"/>
      <c r="K9" s="87"/>
      <c r="L9" s="87"/>
      <c r="M9" s="87"/>
      <c r="N9" s="87"/>
      <c r="O9" s="112"/>
      <c r="P9" s="112"/>
      <c r="Q9" s="87"/>
      <c r="R9" s="87"/>
      <c r="S9" s="87"/>
      <c r="T9" s="112"/>
      <c r="U9" s="112"/>
      <c r="V9" s="87"/>
      <c r="W9" s="87"/>
      <c r="X9" s="87"/>
      <c r="Y9" s="194"/>
      <c r="Z9" s="194"/>
      <c r="AA9" s="87"/>
      <c r="AB9" s="87"/>
      <c r="AC9" s="87"/>
      <c r="AD9" s="194"/>
      <c r="AE9" s="194"/>
      <c r="AF9" s="87"/>
      <c r="AG9" s="87"/>
      <c r="AH9" s="87"/>
      <c r="AI9" s="195"/>
      <c r="AJ9" s="195"/>
      <c r="AK9" s="87"/>
      <c r="AL9" s="87"/>
      <c r="AM9" s="87"/>
      <c r="AN9" s="195"/>
      <c r="AO9" s="195"/>
      <c r="AP9" s="87"/>
      <c r="AQ9" s="87"/>
      <c r="AR9" s="87"/>
      <c r="AS9" s="112"/>
      <c r="AT9" s="112"/>
      <c r="AU9" s="87"/>
      <c r="AV9" s="87"/>
      <c r="AW9" s="87"/>
      <c r="AX9" s="112"/>
      <c r="AY9" s="112"/>
      <c r="AZ9" s="87"/>
      <c r="BA9" s="87"/>
      <c r="BB9" s="87"/>
      <c r="BC9" s="112"/>
      <c r="BD9" s="112"/>
      <c r="BE9" s="87"/>
      <c r="BF9" s="87"/>
      <c r="BG9" s="87"/>
      <c r="BH9" s="112"/>
      <c r="BI9" s="112"/>
      <c r="BJ9" s="87"/>
      <c r="BK9" s="87"/>
      <c r="BL9" s="87"/>
      <c r="BM9" s="112"/>
      <c r="BN9" s="112"/>
      <c r="BO9" s="87"/>
      <c r="BP9" s="87"/>
      <c r="BQ9" s="87"/>
      <c r="BR9" s="112"/>
      <c r="BS9" s="112"/>
      <c r="BT9" s="87"/>
      <c r="BU9" s="87"/>
      <c r="BV9" s="87"/>
      <c r="BW9" s="112"/>
      <c r="BX9" s="112"/>
      <c r="BY9" s="87"/>
      <c r="BZ9" s="87"/>
      <c r="CA9" s="87"/>
      <c r="CB9" s="112"/>
      <c r="CC9" s="202"/>
      <c r="CD9" s="87"/>
      <c r="CE9" s="87"/>
      <c r="CF9" s="87"/>
      <c r="CG9" s="112"/>
      <c r="CH9" s="195"/>
      <c r="CI9" s="202"/>
      <c r="CJ9" s="87"/>
      <c r="CK9" s="87"/>
      <c r="CL9" s="87"/>
      <c r="CM9" s="112"/>
      <c r="CN9" s="195"/>
      <c r="CO9" s="202"/>
      <c r="CP9" s="87"/>
      <c r="CQ9" s="87"/>
      <c r="CR9" s="87"/>
      <c r="CS9" s="112"/>
      <c r="CT9" s="195"/>
      <c r="CU9" s="96"/>
      <c r="CV9" s="87"/>
      <c r="CW9" s="87"/>
      <c r="CX9" s="87"/>
      <c r="CY9" s="112"/>
      <c r="CZ9" s="96"/>
      <c r="DA9" s="96"/>
    </row>
    <row r="10" spans="1:105" ht="15.75" customHeight="1" x14ac:dyDescent="0.25">
      <c r="A10" s="313"/>
      <c r="B10" s="314" t="s">
        <v>717</v>
      </c>
      <c r="C10" s="315"/>
      <c r="D10" s="315"/>
      <c r="E10" s="316"/>
      <c r="F10" s="317"/>
      <c r="G10" s="315"/>
      <c r="H10" s="2072" t="s">
        <v>579</v>
      </c>
      <c r="I10" s="3761"/>
      <c r="J10" s="3762"/>
      <c r="K10" s="3763"/>
      <c r="L10" s="3764"/>
      <c r="M10" s="3765"/>
      <c r="N10" s="3766"/>
      <c r="O10" s="3767"/>
      <c r="P10" s="3768"/>
      <c r="Q10" s="3769"/>
      <c r="R10" s="3770"/>
      <c r="S10" s="3771"/>
      <c r="T10" s="3772"/>
      <c r="U10" s="3773"/>
      <c r="V10" s="686"/>
      <c r="W10" s="686"/>
      <c r="X10" s="686"/>
      <c r="Y10" s="2018" t="s">
        <v>246</v>
      </c>
      <c r="Z10" s="3774"/>
      <c r="AA10" s="3775"/>
      <c r="AB10" s="3776"/>
      <c r="AC10" s="3777"/>
      <c r="AD10" s="3778"/>
      <c r="AE10" s="3779"/>
      <c r="AF10" s="3780"/>
      <c r="AG10" s="3781"/>
      <c r="AH10" s="3782"/>
      <c r="AI10" s="3783"/>
      <c r="AJ10" s="2028" t="s">
        <v>580</v>
      </c>
      <c r="AK10" s="3799"/>
      <c r="AL10" s="3800"/>
      <c r="AM10" s="3801"/>
      <c r="AN10" s="3802"/>
      <c r="AO10" s="3803"/>
      <c r="AP10" s="3804"/>
      <c r="AQ10" s="3805"/>
      <c r="AR10" s="3806"/>
      <c r="AS10" s="3807"/>
      <c r="AT10" s="3808"/>
      <c r="AU10" s="3809"/>
      <c r="AV10" s="3810"/>
      <c r="AW10" s="3811"/>
      <c r="AX10" s="3812"/>
      <c r="AY10" s="3813"/>
      <c r="AZ10" s="3814"/>
      <c r="BA10" s="3815"/>
      <c r="BB10" s="3816"/>
      <c r="BC10" s="3817"/>
      <c r="BD10" s="3818"/>
      <c r="BE10" s="687"/>
      <c r="BF10" s="687"/>
      <c r="BG10" s="687"/>
      <c r="BH10" s="1987" t="s">
        <v>581</v>
      </c>
      <c r="BI10" s="3307"/>
      <c r="BJ10" s="3308"/>
      <c r="BK10" s="3309"/>
      <c r="BL10" s="3310"/>
      <c r="BM10" s="3311"/>
      <c r="BN10" s="3312"/>
      <c r="BO10" s="3313"/>
      <c r="BP10" s="3314"/>
      <c r="BQ10" s="3315"/>
      <c r="BR10" s="3316"/>
      <c r="BS10" s="3317"/>
      <c r="BT10" s="3318"/>
      <c r="BU10" s="3319"/>
      <c r="BV10" s="3320"/>
      <c r="BW10" s="3321"/>
      <c r="BX10" s="3322"/>
      <c r="BY10" s="3323"/>
      <c r="BZ10" s="3324"/>
      <c r="CA10" s="3325"/>
      <c r="CB10" s="3326"/>
      <c r="CC10" s="3327"/>
      <c r="CD10" s="3328"/>
      <c r="CE10" s="3329"/>
      <c r="CF10" s="3330"/>
      <c r="CG10" s="3331"/>
      <c r="CH10" s="3332"/>
      <c r="CI10" s="3333"/>
      <c r="CJ10" s="3334"/>
      <c r="CK10" s="3335"/>
      <c r="CL10" s="3336"/>
      <c r="CM10" s="3337"/>
      <c r="CN10" s="3338"/>
      <c r="CO10" s="318"/>
      <c r="CP10" s="318"/>
      <c r="CQ10" s="318"/>
      <c r="CR10" s="318"/>
      <c r="CS10" s="318"/>
      <c r="CT10" s="96"/>
      <c r="CU10" s="96"/>
      <c r="CV10" s="318"/>
      <c r="CW10" s="318"/>
      <c r="CX10" s="318"/>
      <c r="CY10" s="318"/>
      <c r="CZ10" s="96"/>
    </row>
    <row r="11" spans="1:105" ht="18" customHeight="1" x14ac:dyDescent="0.25">
      <c r="A11" s="313"/>
      <c r="B11" s="319" t="s">
        <v>582</v>
      </c>
      <c r="C11" s="320"/>
      <c r="D11" s="321" t="s">
        <v>583</v>
      </c>
      <c r="E11" s="322">
        <v>7</v>
      </c>
      <c r="F11" s="321" t="s">
        <v>584</v>
      </c>
      <c r="G11" s="323">
        <v>3</v>
      </c>
      <c r="H11" s="324" t="s">
        <v>260</v>
      </c>
      <c r="I11" s="2048" t="s">
        <v>79</v>
      </c>
      <c r="J11" s="3795"/>
      <c r="K11" s="3796"/>
      <c r="L11" s="688"/>
      <c r="M11" s="688"/>
      <c r="N11" s="688"/>
      <c r="O11" s="2048" t="s">
        <v>94</v>
      </c>
      <c r="P11" s="3798"/>
      <c r="Q11" s="688"/>
      <c r="R11" s="688"/>
      <c r="S11" s="688"/>
      <c r="T11" s="2046" t="s">
        <v>158</v>
      </c>
      <c r="U11" s="3797"/>
      <c r="V11" s="688"/>
      <c r="W11" s="688"/>
      <c r="X11" s="688"/>
      <c r="Y11" s="3784"/>
      <c r="Z11" s="3785"/>
      <c r="AA11" s="3786"/>
      <c r="AB11" s="3787"/>
      <c r="AC11" s="3788"/>
      <c r="AD11" s="3789"/>
      <c r="AE11" s="3790"/>
      <c r="AF11" s="3791"/>
      <c r="AG11" s="3792"/>
      <c r="AH11" s="3793"/>
      <c r="AI11" s="3794"/>
      <c r="AJ11" s="3819"/>
      <c r="AK11" s="3820"/>
      <c r="AL11" s="3821"/>
      <c r="AM11" s="3822"/>
      <c r="AN11" s="3823"/>
      <c r="AO11" s="3824"/>
      <c r="AP11" s="3825"/>
      <c r="AQ11" s="3826"/>
      <c r="AR11" s="3827"/>
      <c r="AS11" s="3828"/>
      <c r="AT11" s="3829"/>
      <c r="AU11" s="3830"/>
      <c r="AV11" s="3831"/>
      <c r="AW11" s="3832"/>
      <c r="AX11" s="3833"/>
      <c r="AY11" s="3834"/>
      <c r="AZ11" s="3835"/>
      <c r="BA11" s="3836"/>
      <c r="BB11" s="3837"/>
      <c r="BC11" s="3838"/>
      <c r="BD11" s="3839"/>
      <c r="BE11" s="689"/>
      <c r="BF11" s="689"/>
      <c r="BG11" s="689"/>
      <c r="BH11" s="3339"/>
      <c r="BI11" s="2001"/>
      <c r="BJ11" s="2001"/>
      <c r="BK11" s="2001"/>
      <c r="BL11" s="2001"/>
      <c r="BM11" s="2001"/>
      <c r="BN11" s="2001"/>
      <c r="BO11" s="2001"/>
      <c r="BP11" s="2001"/>
      <c r="BQ11" s="2001"/>
      <c r="BR11" s="2001"/>
      <c r="BS11" s="2001"/>
      <c r="BT11" s="2001"/>
      <c r="BU11" s="2001"/>
      <c r="BV11" s="2001"/>
      <c r="BW11" s="2001"/>
      <c r="BX11" s="2001"/>
      <c r="BY11" s="2001"/>
      <c r="BZ11" s="2001"/>
      <c r="CA11" s="2001"/>
      <c r="CB11" s="2001"/>
      <c r="CC11" s="2001"/>
      <c r="CD11" s="2001"/>
      <c r="CE11" s="2001"/>
      <c r="CF11" s="2001"/>
      <c r="CG11" s="2001"/>
      <c r="CH11" s="2001"/>
      <c r="CI11" s="2001"/>
      <c r="CJ11" s="2001"/>
      <c r="CK11" s="2001"/>
      <c r="CL11" s="2001"/>
      <c r="CM11" s="2001"/>
      <c r="CN11" s="3340"/>
      <c r="CO11" s="327"/>
      <c r="CP11" s="327"/>
      <c r="CQ11" s="327"/>
      <c r="CR11" s="327"/>
      <c r="CS11" s="327"/>
      <c r="CT11" s="96"/>
      <c r="CU11" s="96"/>
      <c r="CV11" s="327"/>
      <c r="CW11" s="327"/>
      <c r="CX11" s="327"/>
      <c r="CY11" s="327"/>
      <c r="CZ11" s="96"/>
    </row>
    <row r="12" spans="1:105" ht="18" customHeight="1" x14ac:dyDescent="0.25">
      <c r="A12" s="313"/>
      <c r="B12" s="315"/>
      <c r="C12" s="320"/>
      <c r="D12" s="321" t="s">
        <v>585</v>
      </c>
      <c r="E12" s="322">
        <v>7</v>
      </c>
      <c r="F12" s="321" t="s">
        <v>310</v>
      </c>
      <c r="G12" s="323">
        <v>2</v>
      </c>
      <c r="H12" s="324" t="s">
        <v>261</v>
      </c>
      <c r="I12" s="2048" t="s">
        <v>76</v>
      </c>
      <c r="J12" s="3985"/>
      <c r="K12" s="3986"/>
      <c r="L12" s="688"/>
      <c r="M12" s="688"/>
      <c r="N12" s="688"/>
      <c r="O12" s="2048" t="s">
        <v>100</v>
      </c>
      <c r="P12" s="3987"/>
      <c r="Q12" s="688"/>
      <c r="R12" s="688"/>
      <c r="S12" s="688"/>
      <c r="T12" s="2046" t="s">
        <v>82</v>
      </c>
      <c r="U12" s="3988"/>
      <c r="V12" s="688"/>
      <c r="W12" s="688"/>
      <c r="X12" s="688"/>
      <c r="Y12" s="2018" t="s">
        <v>248</v>
      </c>
      <c r="Z12" s="3923"/>
      <c r="AA12" s="3924"/>
      <c r="AB12" s="3925"/>
      <c r="AC12" s="3926"/>
      <c r="AD12" s="3927"/>
      <c r="AE12" s="3928"/>
      <c r="AF12" s="3929"/>
      <c r="AG12" s="3930"/>
      <c r="AH12" s="3931"/>
      <c r="AI12" s="3932"/>
      <c r="AJ12" s="2028" t="s">
        <v>586</v>
      </c>
      <c r="AK12" s="3944"/>
      <c r="AL12" s="3945"/>
      <c r="AM12" s="3946"/>
      <c r="AN12" s="3947"/>
      <c r="AO12" s="3948"/>
      <c r="AP12" s="3949"/>
      <c r="AQ12" s="3950"/>
      <c r="AR12" s="3951"/>
      <c r="AS12" s="3952"/>
      <c r="AT12" s="3953"/>
      <c r="AU12" s="3954"/>
      <c r="AV12" s="3955"/>
      <c r="AW12" s="3956"/>
      <c r="AX12" s="3957"/>
      <c r="AY12" s="3958"/>
      <c r="AZ12" s="3959"/>
      <c r="BA12" s="3960"/>
      <c r="BB12" s="3961"/>
      <c r="BC12" s="3962"/>
      <c r="BD12" s="3963"/>
      <c r="BE12" s="689"/>
      <c r="BF12" s="689"/>
      <c r="BG12" s="689"/>
      <c r="BH12" s="3341"/>
      <c r="BI12" s="2001"/>
      <c r="BJ12" s="2001"/>
      <c r="BK12" s="2001"/>
      <c r="BL12" s="2001"/>
      <c r="BM12" s="2001"/>
      <c r="BN12" s="2001"/>
      <c r="BO12" s="2001"/>
      <c r="BP12" s="2001"/>
      <c r="BQ12" s="2001"/>
      <c r="BR12" s="2001"/>
      <c r="BS12" s="2001"/>
      <c r="BT12" s="2001"/>
      <c r="BU12" s="2001"/>
      <c r="BV12" s="2001"/>
      <c r="BW12" s="2001"/>
      <c r="BX12" s="2001"/>
      <c r="BY12" s="2001"/>
      <c r="BZ12" s="2001"/>
      <c r="CA12" s="2001"/>
      <c r="CB12" s="2001"/>
      <c r="CC12" s="2001"/>
      <c r="CD12" s="2001"/>
      <c r="CE12" s="2001"/>
      <c r="CF12" s="2001"/>
      <c r="CG12" s="2001"/>
      <c r="CH12" s="2001"/>
      <c r="CI12" s="2001"/>
      <c r="CJ12" s="2001"/>
      <c r="CK12" s="2001"/>
      <c r="CL12" s="2001"/>
      <c r="CM12" s="2001"/>
      <c r="CN12" s="3342"/>
      <c r="CO12" s="318"/>
      <c r="CP12" s="318"/>
      <c r="CQ12" s="318"/>
      <c r="CR12" s="318"/>
      <c r="CS12" s="318"/>
      <c r="CT12" s="96"/>
      <c r="CU12" s="96"/>
      <c r="CV12" s="318"/>
      <c r="CW12" s="318"/>
      <c r="CX12" s="318"/>
      <c r="CY12" s="318"/>
      <c r="CZ12" s="96"/>
    </row>
    <row r="13" spans="1:105" ht="18" customHeight="1" x14ac:dyDescent="0.25">
      <c r="A13" s="313"/>
      <c r="B13" s="328"/>
      <c r="C13" s="313" t="s">
        <v>587</v>
      </c>
      <c r="D13" s="329" t="s">
        <v>588</v>
      </c>
      <c r="E13" s="330">
        <v>18</v>
      </c>
      <c r="F13" s="329" t="s">
        <v>589</v>
      </c>
      <c r="G13" s="331"/>
      <c r="H13" s="332" t="s">
        <v>262</v>
      </c>
      <c r="I13" s="1981" t="s">
        <v>84</v>
      </c>
      <c r="J13" s="3840"/>
      <c r="K13" s="3841"/>
      <c r="L13" s="690"/>
      <c r="M13" s="690"/>
      <c r="N13" s="690"/>
      <c r="O13" s="1981" t="s">
        <v>117</v>
      </c>
      <c r="P13" s="3842"/>
      <c r="Q13" s="690"/>
      <c r="R13" s="690"/>
      <c r="S13" s="690"/>
      <c r="T13" s="1985"/>
      <c r="U13" s="3843"/>
      <c r="V13" s="690"/>
      <c r="W13" s="690"/>
      <c r="X13" s="690"/>
      <c r="Y13" s="3933"/>
      <c r="Z13" s="3934"/>
      <c r="AA13" s="3935"/>
      <c r="AB13" s="3936"/>
      <c r="AC13" s="3937"/>
      <c r="AD13" s="3938"/>
      <c r="AE13" s="3939"/>
      <c r="AF13" s="3940"/>
      <c r="AG13" s="3941"/>
      <c r="AH13" s="3942"/>
      <c r="AI13" s="3943"/>
      <c r="AJ13" s="3964"/>
      <c r="AK13" s="3965"/>
      <c r="AL13" s="3966"/>
      <c r="AM13" s="3967"/>
      <c r="AN13" s="3968"/>
      <c r="AO13" s="3969"/>
      <c r="AP13" s="3970"/>
      <c r="AQ13" s="3971"/>
      <c r="AR13" s="3972"/>
      <c r="AS13" s="3973"/>
      <c r="AT13" s="3974"/>
      <c r="AU13" s="3975"/>
      <c r="AV13" s="3976"/>
      <c r="AW13" s="3977"/>
      <c r="AX13" s="3978"/>
      <c r="AY13" s="3979"/>
      <c r="AZ13" s="3980"/>
      <c r="BA13" s="3981"/>
      <c r="BB13" s="3982"/>
      <c r="BC13" s="3983"/>
      <c r="BD13" s="3984"/>
      <c r="BE13" s="691"/>
      <c r="BF13" s="691"/>
      <c r="BG13" s="691"/>
      <c r="BH13" s="3343"/>
      <c r="BI13" s="3344"/>
      <c r="BJ13" s="3345"/>
      <c r="BK13" s="3346"/>
      <c r="BL13" s="3347"/>
      <c r="BM13" s="3348"/>
      <c r="BN13" s="3349"/>
      <c r="BO13" s="3350"/>
      <c r="BP13" s="3351"/>
      <c r="BQ13" s="3352"/>
      <c r="BR13" s="3353"/>
      <c r="BS13" s="3354"/>
      <c r="BT13" s="3355"/>
      <c r="BU13" s="3356"/>
      <c r="BV13" s="3357"/>
      <c r="BW13" s="3358"/>
      <c r="BX13" s="3359"/>
      <c r="BY13" s="3360"/>
      <c r="BZ13" s="3361"/>
      <c r="CA13" s="3362"/>
      <c r="CB13" s="3363"/>
      <c r="CC13" s="3364"/>
      <c r="CD13" s="3365"/>
      <c r="CE13" s="3366"/>
      <c r="CF13" s="3367"/>
      <c r="CG13" s="3368"/>
      <c r="CH13" s="3369"/>
      <c r="CI13" s="3370"/>
      <c r="CJ13" s="3371"/>
      <c r="CK13" s="3372"/>
      <c r="CL13" s="3373"/>
      <c r="CM13" s="3374"/>
      <c r="CN13" s="3375"/>
      <c r="CO13" s="195"/>
      <c r="CP13" s="195"/>
      <c r="CQ13" s="195"/>
      <c r="CR13" s="195"/>
      <c r="CS13" s="195"/>
      <c r="CT13" s="96"/>
      <c r="CU13" s="96"/>
      <c r="CV13" s="195"/>
      <c r="CW13" s="195"/>
      <c r="CX13" s="195"/>
      <c r="CY13" s="195"/>
      <c r="CZ13" s="96"/>
    </row>
    <row r="14" spans="1:105" ht="15.75" customHeight="1" x14ac:dyDescent="0.25">
      <c r="A14" s="313"/>
      <c r="B14" s="314" t="s">
        <v>718</v>
      </c>
      <c r="C14" s="315"/>
      <c r="D14" s="315"/>
      <c r="E14" s="316"/>
      <c r="F14" s="317"/>
      <c r="G14" s="315"/>
      <c r="H14" s="2072" t="s">
        <v>579</v>
      </c>
      <c r="I14" s="3844"/>
      <c r="J14" s="3845"/>
      <c r="K14" s="3846"/>
      <c r="L14" s="3847"/>
      <c r="M14" s="3848"/>
      <c r="N14" s="3849"/>
      <c r="O14" s="3850"/>
      <c r="P14" s="3851"/>
      <c r="Q14" s="3852"/>
      <c r="R14" s="3853"/>
      <c r="S14" s="3854"/>
      <c r="T14" s="3855"/>
      <c r="U14" s="3856"/>
      <c r="V14" s="686"/>
      <c r="W14" s="686"/>
      <c r="X14" s="686"/>
      <c r="Y14" s="2018" t="s">
        <v>246</v>
      </c>
      <c r="Z14" s="3861"/>
      <c r="AA14" s="3862"/>
      <c r="AB14" s="3863"/>
      <c r="AC14" s="3864"/>
      <c r="AD14" s="3865"/>
      <c r="AE14" s="3866"/>
      <c r="AF14" s="3867"/>
      <c r="AG14" s="3868"/>
      <c r="AH14" s="3869"/>
      <c r="AI14" s="3870"/>
      <c r="AJ14" s="2028" t="s">
        <v>580</v>
      </c>
      <c r="AK14" s="3882"/>
      <c r="AL14" s="3883"/>
      <c r="AM14" s="3884"/>
      <c r="AN14" s="3885"/>
      <c r="AO14" s="3886"/>
      <c r="AP14" s="3887"/>
      <c r="AQ14" s="3888"/>
      <c r="AR14" s="3889"/>
      <c r="AS14" s="3890"/>
      <c r="AT14" s="3891"/>
      <c r="AU14" s="3892"/>
      <c r="AV14" s="3893"/>
      <c r="AW14" s="3894"/>
      <c r="AX14" s="3895"/>
      <c r="AY14" s="3896"/>
      <c r="AZ14" s="3897"/>
      <c r="BA14" s="3898"/>
      <c r="BB14" s="3899"/>
      <c r="BC14" s="3900"/>
      <c r="BD14" s="3901"/>
      <c r="BE14" s="687"/>
      <c r="BF14" s="687"/>
      <c r="BG14" s="687"/>
      <c r="BH14" s="1987" t="s">
        <v>581</v>
      </c>
      <c r="BI14" s="3376"/>
      <c r="BJ14" s="3377"/>
      <c r="BK14" s="3378"/>
      <c r="BL14" s="3379"/>
      <c r="BM14" s="3380"/>
      <c r="BN14" s="3381"/>
      <c r="BO14" s="3382"/>
      <c r="BP14" s="3383"/>
      <c r="BQ14" s="3384"/>
      <c r="BR14" s="3385"/>
      <c r="BS14" s="3386"/>
      <c r="BT14" s="3387"/>
      <c r="BU14" s="3388"/>
      <c r="BV14" s="3389"/>
      <c r="BW14" s="3390"/>
      <c r="BX14" s="3391"/>
      <c r="BY14" s="3392"/>
      <c r="BZ14" s="3393"/>
      <c r="CA14" s="3394"/>
      <c r="CB14" s="3395"/>
      <c r="CC14" s="3396"/>
      <c r="CD14" s="3397"/>
      <c r="CE14" s="3398"/>
      <c r="CF14" s="3399"/>
      <c r="CG14" s="3400"/>
      <c r="CH14" s="3401"/>
      <c r="CI14" s="3402"/>
      <c r="CJ14" s="3403"/>
      <c r="CK14" s="3404"/>
      <c r="CL14" s="3405"/>
      <c r="CM14" s="3406"/>
      <c r="CN14" s="3407"/>
      <c r="CO14" s="318"/>
      <c r="CP14" s="318"/>
      <c r="CQ14" s="318"/>
      <c r="CR14" s="318"/>
      <c r="CS14" s="318"/>
      <c r="CT14" s="96"/>
      <c r="CU14" s="96"/>
      <c r="CV14" s="318"/>
      <c r="CW14" s="318"/>
      <c r="CX14" s="318"/>
      <c r="CY14" s="318"/>
      <c r="CZ14" s="96"/>
    </row>
    <row r="15" spans="1:105" ht="18" customHeight="1" x14ac:dyDescent="0.25">
      <c r="A15" s="313"/>
      <c r="B15" s="319" t="s">
        <v>582</v>
      </c>
      <c r="C15" s="320"/>
      <c r="D15" s="321" t="s">
        <v>583</v>
      </c>
      <c r="E15" s="322">
        <v>7</v>
      </c>
      <c r="F15" s="321" t="s">
        <v>584</v>
      </c>
      <c r="G15" s="323">
        <v>3</v>
      </c>
      <c r="H15" s="324" t="s">
        <v>260</v>
      </c>
      <c r="I15" s="2048" t="s">
        <v>79</v>
      </c>
      <c r="J15" s="3857"/>
      <c r="K15" s="3858"/>
      <c r="L15" s="688"/>
      <c r="M15" s="688"/>
      <c r="N15" s="688"/>
      <c r="O15" s="2048" t="s">
        <v>94</v>
      </c>
      <c r="P15" s="3859"/>
      <c r="Q15" s="688"/>
      <c r="R15" s="688"/>
      <c r="S15" s="688"/>
      <c r="T15" s="2046" t="s">
        <v>158</v>
      </c>
      <c r="U15" s="3860"/>
      <c r="V15" s="688"/>
      <c r="W15" s="688"/>
      <c r="X15" s="688"/>
      <c r="Y15" s="3871"/>
      <c r="Z15" s="3872"/>
      <c r="AA15" s="3873"/>
      <c r="AB15" s="3874"/>
      <c r="AC15" s="3875"/>
      <c r="AD15" s="3876"/>
      <c r="AE15" s="3877"/>
      <c r="AF15" s="3878"/>
      <c r="AG15" s="3879"/>
      <c r="AH15" s="3880"/>
      <c r="AI15" s="3881"/>
      <c r="AJ15" s="3902"/>
      <c r="AK15" s="3903"/>
      <c r="AL15" s="3904"/>
      <c r="AM15" s="3905"/>
      <c r="AN15" s="3906"/>
      <c r="AO15" s="3907"/>
      <c r="AP15" s="3908"/>
      <c r="AQ15" s="3909"/>
      <c r="AR15" s="3910"/>
      <c r="AS15" s="3911"/>
      <c r="AT15" s="3912"/>
      <c r="AU15" s="3913"/>
      <c r="AV15" s="3914"/>
      <c r="AW15" s="3915"/>
      <c r="AX15" s="3916"/>
      <c r="AY15" s="3917"/>
      <c r="AZ15" s="3918"/>
      <c r="BA15" s="3919"/>
      <c r="BB15" s="3920"/>
      <c r="BC15" s="3921"/>
      <c r="BD15" s="3922"/>
      <c r="BE15" s="689"/>
      <c r="BF15" s="689"/>
      <c r="BG15" s="689"/>
      <c r="BH15" s="3408"/>
      <c r="BI15" s="2001"/>
      <c r="BJ15" s="2001"/>
      <c r="BK15" s="2001"/>
      <c r="BL15" s="2001"/>
      <c r="BM15" s="2001"/>
      <c r="BN15" s="2001"/>
      <c r="BO15" s="2001"/>
      <c r="BP15" s="2001"/>
      <c r="BQ15" s="2001"/>
      <c r="BR15" s="2001"/>
      <c r="BS15" s="2001"/>
      <c r="BT15" s="2001"/>
      <c r="BU15" s="2001"/>
      <c r="BV15" s="2001"/>
      <c r="BW15" s="2001"/>
      <c r="BX15" s="2001"/>
      <c r="BY15" s="2001"/>
      <c r="BZ15" s="2001"/>
      <c r="CA15" s="2001"/>
      <c r="CB15" s="2001"/>
      <c r="CC15" s="2001"/>
      <c r="CD15" s="2001"/>
      <c r="CE15" s="2001"/>
      <c r="CF15" s="2001"/>
      <c r="CG15" s="2001"/>
      <c r="CH15" s="2001"/>
      <c r="CI15" s="2001"/>
      <c r="CJ15" s="2001"/>
      <c r="CK15" s="2001"/>
      <c r="CL15" s="2001"/>
      <c r="CM15" s="2001"/>
      <c r="CN15" s="3409"/>
      <c r="CO15" s="327"/>
      <c r="CP15" s="327"/>
      <c r="CQ15" s="327"/>
      <c r="CR15" s="327"/>
      <c r="CS15" s="327"/>
      <c r="CT15" s="96"/>
      <c r="CU15" s="96"/>
      <c r="CV15" s="327"/>
      <c r="CW15" s="327"/>
      <c r="CX15" s="327"/>
      <c r="CY15" s="327"/>
      <c r="CZ15" s="96"/>
    </row>
    <row r="16" spans="1:105" ht="18" customHeight="1" x14ac:dyDescent="0.25">
      <c r="A16" s="313"/>
      <c r="B16" s="315"/>
      <c r="C16" s="320"/>
      <c r="D16" s="321" t="s">
        <v>585</v>
      </c>
      <c r="E16" s="322">
        <v>7</v>
      </c>
      <c r="F16" s="321" t="s">
        <v>310</v>
      </c>
      <c r="G16" s="323">
        <v>2</v>
      </c>
      <c r="H16" s="324" t="s">
        <v>261</v>
      </c>
      <c r="I16" s="2048" t="s">
        <v>76</v>
      </c>
      <c r="J16" s="3759"/>
      <c r="K16" s="3760"/>
      <c r="L16" s="688"/>
      <c r="M16" s="688"/>
      <c r="N16" s="688"/>
      <c r="O16" s="2048" t="s">
        <v>100</v>
      </c>
      <c r="P16" s="3757"/>
      <c r="Q16" s="688"/>
      <c r="R16" s="688"/>
      <c r="S16" s="688"/>
      <c r="T16" s="2046" t="s">
        <v>82</v>
      </c>
      <c r="U16" s="3758"/>
      <c r="V16" s="688"/>
      <c r="W16" s="688"/>
      <c r="X16" s="688"/>
      <c r="Y16" s="2018" t="s">
        <v>248</v>
      </c>
      <c r="Z16" s="3732"/>
      <c r="AA16" s="3733"/>
      <c r="AB16" s="3734"/>
      <c r="AC16" s="3735"/>
      <c r="AD16" s="3736"/>
      <c r="AE16" s="3737"/>
      <c r="AF16" s="3738"/>
      <c r="AG16" s="3739"/>
      <c r="AH16" s="3740"/>
      <c r="AI16" s="3741"/>
      <c r="AJ16" s="2028" t="s">
        <v>586</v>
      </c>
      <c r="AK16" s="3691"/>
      <c r="AL16" s="3692"/>
      <c r="AM16" s="3693"/>
      <c r="AN16" s="3694"/>
      <c r="AO16" s="3695"/>
      <c r="AP16" s="3696"/>
      <c r="AQ16" s="3697"/>
      <c r="AR16" s="3698"/>
      <c r="AS16" s="3699"/>
      <c r="AT16" s="3700"/>
      <c r="AU16" s="3701"/>
      <c r="AV16" s="3702"/>
      <c r="AW16" s="3703"/>
      <c r="AX16" s="3704"/>
      <c r="AY16" s="3705"/>
      <c r="AZ16" s="3706"/>
      <c r="BA16" s="3707"/>
      <c r="BB16" s="3708"/>
      <c r="BC16" s="3709"/>
      <c r="BD16" s="3710"/>
      <c r="BE16" s="689"/>
      <c r="BF16" s="689"/>
      <c r="BG16" s="689"/>
      <c r="BH16" s="3410"/>
      <c r="BI16" s="2001"/>
      <c r="BJ16" s="2001"/>
      <c r="BK16" s="2001"/>
      <c r="BL16" s="2001"/>
      <c r="BM16" s="2001"/>
      <c r="BN16" s="2001"/>
      <c r="BO16" s="2001"/>
      <c r="BP16" s="2001"/>
      <c r="BQ16" s="2001"/>
      <c r="BR16" s="2001"/>
      <c r="BS16" s="2001"/>
      <c r="BT16" s="2001"/>
      <c r="BU16" s="2001"/>
      <c r="BV16" s="2001"/>
      <c r="BW16" s="2001"/>
      <c r="BX16" s="2001"/>
      <c r="BY16" s="2001"/>
      <c r="BZ16" s="2001"/>
      <c r="CA16" s="2001"/>
      <c r="CB16" s="2001"/>
      <c r="CC16" s="2001"/>
      <c r="CD16" s="2001"/>
      <c r="CE16" s="2001"/>
      <c r="CF16" s="2001"/>
      <c r="CG16" s="2001"/>
      <c r="CH16" s="2001"/>
      <c r="CI16" s="2001"/>
      <c r="CJ16" s="2001"/>
      <c r="CK16" s="2001"/>
      <c r="CL16" s="2001"/>
      <c r="CM16" s="2001"/>
      <c r="CN16" s="3411"/>
      <c r="CO16" s="318"/>
      <c r="CP16" s="318"/>
      <c r="CQ16" s="318"/>
      <c r="CR16" s="318"/>
      <c r="CS16" s="318"/>
      <c r="CT16" s="96"/>
      <c r="CU16" s="96"/>
      <c r="CV16" s="318"/>
      <c r="CW16" s="318"/>
      <c r="CX16" s="318"/>
      <c r="CY16" s="318"/>
      <c r="CZ16" s="96"/>
    </row>
    <row r="17" spans="1:114" ht="18" customHeight="1" x14ac:dyDescent="0.25">
      <c r="A17" s="313"/>
      <c r="B17" s="328"/>
      <c r="C17" s="313" t="s">
        <v>587</v>
      </c>
      <c r="D17" s="329" t="s">
        <v>588</v>
      </c>
      <c r="E17" s="330">
        <v>18</v>
      </c>
      <c r="F17" s="329" t="s">
        <v>589</v>
      </c>
      <c r="G17" s="331"/>
      <c r="H17" s="332" t="s">
        <v>262</v>
      </c>
      <c r="I17" s="1981" t="s">
        <v>84</v>
      </c>
      <c r="J17" s="3755"/>
      <c r="K17" s="3756"/>
      <c r="L17" s="690"/>
      <c r="M17" s="690"/>
      <c r="N17" s="690"/>
      <c r="O17" s="1981" t="s">
        <v>117</v>
      </c>
      <c r="P17" s="3754"/>
      <c r="Q17" s="690"/>
      <c r="R17" s="690"/>
      <c r="S17" s="690"/>
      <c r="T17" s="1985"/>
      <c r="U17" s="3753"/>
      <c r="V17" s="690"/>
      <c r="W17" s="690"/>
      <c r="X17" s="690"/>
      <c r="Y17" s="3742"/>
      <c r="Z17" s="3743"/>
      <c r="AA17" s="3744"/>
      <c r="AB17" s="3745"/>
      <c r="AC17" s="3746"/>
      <c r="AD17" s="3747"/>
      <c r="AE17" s="3748"/>
      <c r="AF17" s="3749"/>
      <c r="AG17" s="3750"/>
      <c r="AH17" s="3751"/>
      <c r="AI17" s="3752"/>
      <c r="AJ17" s="3711"/>
      <c r="AK17" s="3712"/>
      <c r="AL17" s="3713"/>
      <c r="AM17" s="3714"/>
      <c r="AN17" s="3715"/>
      <c r="AO17" s="3716"/>
      <c r="AP17" s="3717"/>
      <c r="AQ17" s="3718"/>
      <c r="AR17" s="3719"/>
      <c r="AS17" s="3720"/>
      <c r="AT17" s="3721"/>
      <c r="AU17" s="3722"/>
      <c r="AV17" s="3723"/>
      <c r="AW17" s="3724"/>
      <c r="AX17" s="3725"/>
      <c r="AY17" s="3726"/>
      <c r="AZ17" s="3727"/>
      <c r="BA17" s="3728"/>
      <c r="BB17" s="3729"/>
      <c r="BC17" s="3730"/>
      <c r="BD17" s="3731"/>
      <c r="BE17" s="691"/>
      <c r="BF17" s="691"/>
      <c r="BG17" s="691"/>
      <c r="BH17" s="3412"/>
      <c r="BI17" s="3413"/>
      <c r="BJ17" s="3414"/>
      <c r="BK17" s="3415"/>
      <c r="BL17" s="3416"/>
      <c r="BM17" s="3417"/>
      <c r="BN17" s="3418"/>
      <c r="BO17" s="3419"/>
      <c r="BP17" s="3420"/>
      <c r="BQ17" s="3421"/>
      <c r="BR17" s="3422"/>
      <c r="BS17" s="3423"/>
      <c r="BT17" s="3424"/>
      <c r="BU17" s="3425"/>
      <c r="BV17" s="3426"/>
      <c r="BW17" s="3427"/>
      <c r="BX17" s="3428"/>
      <c r="BY17" s="3429"/>
      <c r="BZ17" s="3430"/>
      <c r="CA17" s="3431"/>
      <c r="CB17" s="3432"/>
      <c r="CC17" s="3433"/>
      <c r="CD17" s="3434"/>
      <c r="CE17" s="3435"/>
      <c r="CF17" s="3436"/>
      <c r="CG17" s="3437"/>
      <c r="CH17" s="3438"/>
      <c r="CI17" s="3439"/>
      <c r="CJ17" s="3440"/>
      <c r="CK17" s="3441"/>
      <c r="CL17" s="3442"/>
      <c r="CM17" s="3443"/>
      <c r="CN17" s="3444"/>
      <c r="CO17" s="195"/>
      <c r="CP17" s="195"/>
      <c r="CQ17" s="195"/>
      <c r="CR17" s="195"/>
      <c r="CS17" s="195"/>
      <c r="CT17" s="96"/>
      <c r="CU17" s="96"/>
      <c r="CV17" s="195"/>
      <c r="CW17" s="195"/>
      <c r="CX17" s="195"/>
      <c r="CY17" s="195"/>
      <c r="CZ17" s="96"/>
    </row>
    <row r="18" spans="1:114" ht="15.75" customHeight="1" x14ac:dyDescent="0.25">
      <c r="A18" s="313"/>
      <c r="B18" s="314" t="s">
        <v>719</v>
      </c>
      <c r="C18" s="315"/>
      <c r="D18" s="315"/>
      <c r="E18" s="316"/>
      <c r="F18" s="317"/>
      <c r="G18" s="315"/>
      <c r="H18" s="2072" t="s">
        <v>579</v>
      </c>
      <c r="I18" s="3616"/>
      <c r="J18" s="3617"/>
      <c r="K18" s="3618"/>
      <c r="L18" s="3619"/>
      <c r="M18" s="3620"/>
      <c r="N18" s="3621"/>
      <c r="O18" s="3622"/>
      <c r="P18" s="3623"/>
      <c r="Q18" s="3624"/>
      <c r="R18" s="3625"/>
      <c r="S18" s="3626"/>
      <c r="T18" s="3627"/>
      <c r="U18" s="3628"/>
      <c r="V18" s="686"/>
      <c r="W18" s="686"/>
      <c r="X18" s="686"/>
      <c r="Y18" s="2018" t="s">
        <v>246</v>
      </c>
      <c r="Z18" s="3629"/>
      <c r="AA18" s="3630"/>
      <c r="AB18" s="3631"/>
      <c r="AC18" s="3632"/>
      <c r="AD18" s="3633"/>
      <c r="AE18" s="3634"/>
      <c r="AF18" s="3635"/>
      <c r="AG18" s="3636"/>
      <c r="AH18" s="3637"/>
      <c r="AI18" s="3638"/>
      <c r="AJ18" s="2028" t="s">
        <v>580</v>
      </c>
      <c r="AK18" s="3650"/>
      <c r="AL18" s="3651"/>
      <c r="AM18" s="3652"/>
      <c r="AN18" s="3653"/>
      <c r="AO18" s="3654"/>
      <c r="AP18" s="3655"/>
      <c r="AQ18" s="3656"/>
      <c r="AR18" s="3657"/>
      <c r="AS18" s="3658"/>
      <c r="AT18" s="3659"/>
      <c r="AU18" s="3660"/>
      <c r="AV18" s="3661"/>
      <c r="AW18" s="3662"/>
      <c r="AX18" s="3663"/>
      <c r="AY18" s="3664"/>
      <c r="AZ18" s="3665"/>
      <c r="BA18" s="3666"/>
      <c r="BB18" s="3667"/>
      <c r="BC18" s="3668"/>
      <c r="BD18" s="3669"/>
      <c r="BE18" s="687"/>
      <c r="BF18" s="687"/>
      <c r="BG18" s="687"/>
      <c r="BH18" s="1987" t="s">
        <v>581</v>
      </c>
      <c r="BI18" s="3514"/>
      <c r="BJ18" s="3515"/>
      <c r="BK18" s="3516"/>
      <c r="BL18" s="3517"/>
      <c r="BM18" s="3518"/>
      <c r="BN18" s="3519"/>
      <c r="BO18" s="3520"/>
      <c r="BP18" s="3521"/>
      <c r="BQ18" s="3522"/>
      <c r="BR18" s="3523"/>
      <c r="BS18" s="3524"/>
      <c r="BT18" s="3525"/>
      <c r="BU18" s="3526"/>
      <c r="BV18" s="3527"/>
      <c r="BW18" s="3528"/>
      <c r="BX18" s="3529"/>
      <c r="BY18" s="3530"/>
      <c r="BZ18" s="3531"/>
      <c r="CA18" s="3532"/>
      <c r="CB18" s="3533"/>
      <c r="CC18" s="3534"/>
      <c r="CD18" s="3535"/>
      <c r="CE18" s="3536"/>
      <c r="CF18" s="3537"/>
      <c r="CG18" s="3538"/>
      <c r="CH18" s="3539"/>
      <c r="CI18" s="3540"/>
      <c r="CJ18" s="3541"/>
      <c r="CK18" s="3542"/>
      <c r="CL18" s="3543"/>
      <c r="CM18" s="3544"/>
      <c r="CN18" s="3545"/>
      <c r="CO18" s="318"/>
      <c r="CP18" s="318"/>
      <c r="CQ18" s="318"/>
      <c r="CR18" s="318"/>
      <c r="CS18" s="318"/>
      <c r="CT18" s="96"/>
      <c r="CU18" s="96"/>
      <c r="CV18" s="318"/>
      <c r="CW18" s="318"/>
      <c r="CX18" s="318"/>
      <c r="CY18" s="318"/>
      <c r="CZ18" s="96"/>
    </row>
    <row r="19" spans="1:114" ht="18" customHeight="1" x14ac:dyDescent="0.25">
      <c r="A19" s="313"/>
      <c r="B19" s="319" t="s">
        <v>582</v>
      </c>
      <c r="C19" s="320"/>
      <c r="D19" s="321" t="s">
        <v>583</v>
      </c>
      <c r="E19" s="322">
        <v>7</v>
      </c>
      <c r="F19" s="321" t="s">
        <v>584</v>
      </c>
      <c r="G19" s="323">
        <v>3</v>
      </c>
      <c r="H19" s="324" t="s">
        <v>260</v>
      </c>
      <c r="I19" s="2048" t="s">
        <v>79</v>
      </c>
      <c r="J19" s="3612"/>
      <c r="K19" s="3613"/>
      <c r="L19" s="688"/>
      <c r="M19" s="688"/>
      <c r="N19" s="688"/>
      <c r="O19" s="2048" t="s">
        <v>94</v>
      </c>
      <c r="P19" s="3614"/>
      <c r="Q19" s="688"/>
      <c r="R19" s="688"/>
      <c r="S19" s="688"/>
      <c r="T19" s="2046" t="s">
        <v>158</v>
      </c>
      <c r="U19" s="3615"/>
      <c r="V19" s="688"/>
      <c r="W19" s="688"/>
      <c r="X19" s="688"/>
      <c r="Y19" s="3639"/>
      <c r="Z19" s="3640"/>
      <c r="AA19" s="3641"/>
      <c r="AB19" s="3642"/>
      <c r="AC19" s="3643"/>
      <c r="AD19" s="3644"/>
      <c r="AE19" s="3645"/>
      <c r="AF19" s="3646"/>
      <c r="AG19" s="3647"/>
      <c r="AH19" s="3648"/>
      <c r="AI19" s="3649"/>
      <c r="AJ19" s="3670"/>
      <c r="AK19" s="3671"/>
      <c r="AL19" s="3672"/>
      <c r="AM19" s="3673"/>
      <c r="AN19" s="3674"/>
      <c r="AO19" s="3675"/>
      <c r="AP19" s="3676"/>
      <c r="AQ19" s="3677"/>
      <c r="AR19" s="3678"/>
      <c r="AS19" s="3679"/>
      <c r="AT19" s="3680"/>
      <c r="AU19" s="3681"/>
      <c r="AV19" s="3682"/>
      <c r="AW19" s="3683"/>
      <c r="AX19" s="3684"/>
      <c r="AY19" s="3685"/>
      <c r="AZ19" s="3686"/>
      <c r="BA19" s="3687"/>
      <c r="BB19" s="3688"/>
      <c r="BC19" s="3689"/>
      <c r="BD19" s="3690"/>
      <c r="BE19" s="689"/>
      <c r="BF19" s="689"/>
      <c r="BG19" s="689"/>
      <c r="BH19" s="3546"/>
      <c r="BI19" s="2001"/>
      <c r="BJ19" s="2001"/>
      <c r="BK19" s="2001"/>
      <c r="BL19" s="2001"/>
      <c r="BM19" s="2001"/>
      <c r="BN19" s="2001"/>
      <c r="BO19" s="2001"/>
      <c r="BP19" s="2001"/>
      <c r="BQ19" s="2001"/>
      <c r="BR19" s="2001"/>
      <c r="BS19" s="2001"/>
      <c r="BT19" s="2001"/>
      <c r="BU19" s="2001"/>
      <c r="BV19" s="2001"/>
      <c r="BW19" s="2001"/>
      <c r="BX19" s="2001"/>
      <c r="BY19" s="2001"/>
      <c r="BZ19" s="2001"/>
      <c r="CA19" s="2001"/>
      <c r="CB19" s="2001"/>
      <c r="CC19" s="2001"/>
      <c r="CD19" s="2001"/>
      <c r="CE19" s="2001"/>
      <c r="CF19" s="2001"/>
      <c r="CG19" s="2001"/>
      <c r="CH19" s="2001"/>
      <c r="CI19" s="2001"/>
      <c r="CJ19" s="2001"/>
      <c r="CK19" s="2001"/>
      <c r="CL19" s="2001"/>
      <c r="CM19" s="2001"/>
      <c r="CN19" s="3547"/>
      <c r="CO19" s="327"/>
      <c r="CP19" s="327"/>
      <c r="CQ19" s="327"/>
      <c r="CR19" s="327"/>
      <c r="CS19" s="327"/>
      <c r="CT19" s="96"/>
      <c r="CU19" s="96"/>
      <c r="CV19" s="327"/>
      <c r="CW19" s="327"/>
      <c r="CX19" s="327"/>
      <c r="CY19" s="327"/>
      <c r="CZ19" s="96"/>
    </row>
    <row r="20" spans="1:114" ht="18" customHeight="1" x14ac:dyDescent="0.25">
      <c r="A20" s="313"/>
      <c r="B20" s="315"/>
      <c r="C20" s="320"/>
      <c r="D20" s="321" t="s">
        <v>585</v>
      </c>
      <c r="E20" s="322">
        <v>7</v>
      </c>
      <c r="F20" s="321" t="s">
        <v>310</v>
      </c>
      <c r="G20" s="323">
        <v>2</v>
      </c>
      <c r="H20" s="324" t="s">
        <v>261</v>
      </c>
      <c r="I20" s="2048" t="s">
        <v>76</v>
      </c>
      <c r="J20" s="3608"/>
      <c r="K20" s="3609"/>
      <c r="L20" s="688"/>
      <c r="M20" s="688"/>
      <c r="N20" s="688"/>
      <c r="O20" s="2048" t="s">
        <v>100</v>
      </c>
      <c r="P20" s="3610"/>
      <c r="Q20" s="688"/>
      <c r="R20" s="688"/>
      <c r="S20" s="688"/>
      <c r="T20" s="2046" t="s">
        <v>82</v>
      </c>
      <c r="U20" s="3611"/>
      <c r="V20" s="688"/>
      <c r="W20" s="688"/>
      <c r="X20" s="688"/>
      <c r="Y20" s="2018" t="s">
        <v>248</v>
      </c>
      <c r="Z20" s="3108"/>
      <c r="AA20" s="3109"/>
      <c r="AB20" s="3110"/>
      <c r="AC20" s="3111"/>
      <c r="AD20" s="3112"/>
      <c r="AE20" s="3113"/>
      <c r="AF20" s="3114"/>
      <c r="AG20" s="3115"/>
      <c r="AH20" s="3116"/>
      <c r="AI20" s="3117"/>
      <c r="AJ20" s="2028" t="s">
        <v>586</v>
      </c>
      <c r="AK20" s="3129"/>
      <c r="AL20" s="3130"/>
      <c r="AM20" s="3131"/>
      <c r="AN20" s="3132"/>
      <c r="AO20" s="3133"/>
      <c r="AP20" s="3134"/>
      <c r="AQ20" s="3135"/>
      <c r="AR20" s="3136"/>
      <c r="AS20" s="3137"/>
      <c r="AT20" s="3138"/>
      <c r="AU20" s="3139"/>
      <c r="AV20" s="3140"/>
      <c r="AW20" s="3141"/>
      <c r="AX20" s="3142"/>
      <c r="AY20" s="3143"/>
      <c r="AZ20" s="3144"/>
      <c r="BA20" s="3145"/>
      <c r="BB20" s="3146"/>
      <c r="BC20" s="3147"/>
      <c r="BD20" s="3148"/>
      <c r="BE20" s="689"/>
      <c r="BF20" s="689"/>
      <c r="BG20" s="689"/>
      <c r="BH20" s="3548"/>
      <c r="BI20" s="2001"/>
      <c r="BJ20" s="2001"/>
      <c r="BK20" s="2001"/>
      <c r="BL20" s="2001"/>
      <c r="BM20" s="2001"/>
      <c r="BN20" s="2001"/>
      <c r="BO20" s="2001"/>
      <c r="BP20" s="2001"/>
      <c r="BQ20" s="2001"/>
      <c r="BR20" s="2001"/>
      <c r="BS20" s="2001"/>
      <c r="BT20" s="2001"/>
      <c r="BU20" s="2001"/>
      <c r="BV20" s="2001"/>
      <c r="BW20" s="2001"/>
      <c r="BX20" s="2001"/>
      <c r="BY20" s="2001"/>
      <c r="BZ20" s="2001"/>
      <c r="CA20" s="2001"/>
      <c r="CB20" s="2001"/>
      <c r="CC20" s="2001"/>
      <c r="CD20" s="2001"/>
      <c r="CE20" s="2001"/>
      <c r="CF20" s="2001"/>
      <c r="CG20" s="2001"/>
      <c r="CH20" s="2001"/>
      <c r="CI20" s="2001"/>
      <c r="CJ20" s="2001"/>
      <c r="CK20" s="2001"/>
      <c r="CL20" s="2001"/>
      <c r="CM20" s="2001"/>
      <c r="CN20" s="3549"/>
      <c r="CO20" s="318"/>
      <c r="CP20" s="318"/>
      <c r="CQ20" s="318"/>
      <c r="CR20" s="318"/>
      <c r="CS20" s="318"/>
      <c r="CT20" s="96"/>
      <c r="CU20" s="96"/>
      <c r="CV20" s="318"/>
      <c r="CW20" s="318"/>
      <c r="CX20" s="318"/>
      <c r="CY20" s="318"/>
      <c r="CZ20" s="96"/>
    </row>
    <row r="21" spans="1:114" ht="18" customHeight="1" x14ac:dyDescent="0.25">
      <c r="A21" s="313"/>
      <c r="B21" s="328"/>
      <c r="C21" s="313" t="s">
        <v>587</v>
      </c>
      <c r="D21" s="329" t="s">
        <v>588</v>
      </c>
      <c r="E21" s="330">
        <v>18</v>
      </c>
      <c r="F21" s="329" t="s">
        <v>589</v>
      </c>
      <c r="G21" s="331"/>
      <c r="H21" s="332" t="s">
        <v>262</v>
      </c>
      <c r="I21" s="1981" t="s">
        <v>84</v>
      </c>
      <c r="J21" s="3604"/>
      <c r="K21" s="3605"/>
      <c r="L21" s="690"/>
      <c r="M21" s="690"/>
      <c r="N21" s="690"/>
      <c r="O21" s="1981" t="s">
        <v>117</v>
      </c>
      <c r="P21" s="3607"/>
      <c r="Q21" s="690"/>
      <c r="R21" s="690"/>
      <c r="S21" s="690"/>
      <c r="T21" s="1985"/>
      <c r="U21" s="3606"/>
      <c r="V21" s="690"/>
      <c r="W21" s="690"/>
      <c r="X21" s="690"/>
      <c r="Y21" s="3118"/>
      <c r="Z21" s="3119"/>
      <c r="AA21" s="3120"/>
      <c r="AB21" s="3121"/>
      <c r="AC21" s="3122"/>
      <c r="AD21" s="3123"/>
      <c r="AE21" s="3124"/>
      <c r="AF21" s="3125"/>
      <c r="AG21" s="3126"/>
      <c r="AH21" s="3127"/>
      <c r="AI21" s="3128"/>
      <c r="AJ21" s="3149"/>
      <c r="AK21" s="3150"/>
      <c r="AL21" s="3151"/>
      <c r="AM21" s="3152"/>
      <c r="AN21" s="3153"/>
      <c r="AO21" s="3154"/>
      <c r="AP21" s="3155"/>
      <c r="AQ21" s="3156"/>
      <c r="AR21" s="3157"/>
      <c r="AS21" s="3158"/>
      <c r="AT21" s="3159"/>
      <c r="AU21" s="3160"/>
      <c r="AV21" s="3161"/>
      <c r="AW21" s="3162"/>
      <c r="AX21" s="3163"/>
      <c r="AY21" s="3164"/>
      <c r="AZ21" s="3165"/>
      <c r="BA21" s="3166"/>
      <c r="BB21" s="3167"/>
      <c r="BC21" s="3168"/>
      <c r="BD21" s="3169"/>
      <c r="BE21" s="691"/>
      <c r="BF21" s="691"/>
      <c r="BG21" s="691"/>
      <c r="BH21" s="3550"/>
      <c r="BI21" s="3551"/>
      <c r="BJ21" s="3552"/>
      <c r="BK21" s="3553"/>
      <c r="BL21" s="3554"/>
      <c r="BM21" s="3555"/>
      <c r="BN21" s="3556"/>
      <c r="BO21" s="3557"/>
      <c r="BP21" s="3558"/>
      <c r="BQ21" s="3559"/>
      <c r="BR21" s="3560"/>
      <c r="BS21" s="3561"/>
      <c r="BT21" s="3562"/>
      <c r="BU21" s="3563"/>
      <c r="BV21" s="3564"/>
      <c r="BW21" s="3565"/>
      <c r="BX21" s="3566"/>
      <c r="BY21" s="3567"/>
      <c r="BZ21" s="3568"/>
      <c r="CA21" s="3569"/>
      <c r="CB21" s="3570"/>
      <c r="CC21" s="3571"/>
      <c r="CD21" s="3572"/>
      <c r="CE21" s="3573"/>
      <c r="CF21" s="3574"/>
      <c r="CG21" s="3575"/>
      <c r="CH21" s="3576"/>
      <c r="CI21" s="3577"/>
      <c r="CJ21" s="3578"/>
      <c r="CK21" s="3579"/>
      <c r="CL21" s="3580"/>
      <c r="CM21" s="3581"/>
      <c r="CN21" s="3582"/>
      <c r="CO21" s="195"/>
      <c r="CP21" s="195"/>
      <c r="CQ21" s="195"/>
      <c r="CR21" s="195"/>
      <c r="CS21" s="195"/>
      <c r="CT21" s="96"/>
      <c r="CU21" s="96"/>
      <c r="CV21" s="195"/>
      <c r="CW21" s="195"/>
      <c r="CX21" s="195"/>
      <c r="CY21" s="195"/>
      <c r="CZ21" s="96"/>
    </row>
    <row r="22" spans="1:114" ht="15.75" customHeight="1" x14ac:dyDescent="0.25">
      <c r="A22" s="313"/>
      <c r="B22" s="314" t="s">
        <v>720</v>
      </c>
      <c r="C22" s="315"/>
      <c r="D22" s="315"/>
      <c r="E22" s="316"/>
      <c r="F22" s="317"/>
      <c r="G22" s="315"/>
      <c r="H22" s="2072" t="s">
        <v>579</v>
      </c>
      <c r="I22" s="3591"/>
      <c r="J22" s="3592"/>
      <c r="K22" s="3593"/>
      <c r="L22" s="3594"/>
      <c r="M22" s="3595"/>
      <c r="N22" s="3596"/>
      <c r="O22" s="3597"/>
      <c r="P22" s="3598"/>
      <c r="Q22" s="3599"/>
      <c r="R22" s="3600"/>
      <c r="S22" s="3601"/>
      <c r="T22" s="3602"/>
      <c r="U22" s="3603"/>
      <c r="V22" s="686"/>
      <c r="W22" s="686"/>
      <c r="X22" s="686"/>
      <c r="Y22" s="2018" t="s">
        <v>246</v>
      </c>
      <c r="Z22" s="3170"/>
      <c r="AA22" s="3171"/>
      <c r="AB22" s="3172"/>
      <c r="AC22" s="3173"/>
      <c r="AD22" s="3174"/>
      <c r="AE22" s="3175"/>
      <c r="AF22" s="3176"/>
      <c r="AG22" s="3177"/>
      <c r="AH22" s="3178"/>
      <c r="AI22" s="3179"/>
      <c r="AJ22" s="2028" t="s">
        <v>580</v>
      </c>
      <c r="AK22" s="3191"/>
      <c r="AL22" s="3192"/>
      <c r="AM22" s="3193"/>
      <c r="AN22" s="3194"/>
      <c r="AO22" s="3195"/>
      <c r="AP22" s="3196"/>
      <c r="AQ22" s="3197"/>
      <c r="AR22" s="3198"/>
      <c r="AS22" s="3199"/>
      <c r="AT22" s="3200"/>
      <c r="AU22" s="3201"/>
      <c r="AV22" s="3202"/>
      <c r="AW22" s="3203"/>
      <c r="AX22" s="3204"/>
      <c r="AY22" s="3205"/>
      <c r="AZ22" s="3206"/>
      <c r="BA22" s="3207"/>
      <c r="BB22" s="3208"/>
      <c r="BC22" s="3209"/>
      <c r="BD22" s="3210"/>
      <c r="BE22" s="687"/>
      <c r="BF22" s="687"/>
      <c r="BG22" s="687"/>
      <c r="BH22" s="1987" t="s">
        <v>581</v>
      </c>
      <c r="BI22" s="3445"/>
      <c r="BJ22" s="3446"/>
      <c r="BK22" s="3447"/>
      <c r="BL22" s="3448"/>
      <c r="BM22" s="3449"/>
      <c r="BN22" s="3450"/>
      <c r="BO22" s="3451"/>
      <c r="BP22" s="3452"/>
      <c r="BQ22" s="3453"/>
      <c r="BR22" s="3454"/>
      <c r="BS22" s="3455"/>
      <c r="BT22" s="3456"/>
      <c r="BU22" s="3457"/>
      <c r="BV22" s="3458"/>
      <c r="BW22" s="3459"/>
      <c r="BX22" s="3460"/>
      <c r="BY22" s="3461"/>
      <c r="BZ22" s="3462"/>
      <c r="CA22" s="3463"/>
      <c r="CB22" s="3464"/>
      <c r="CC22" s="3465"/>
      <c r="CD22" s="3466"/>
      <c r="CE22" s="3467"/>
      <c r="CF22" s="3468"/>
      <c r="CG22" s="3469"/>
      <c r="CH22" s="3470"/>
      <c r="CI22" s="3471"/>
      <c r="CJ22" s="3472"/>
      <c r="CK22" s="3473"/>
      <c r="CL22" s="3474"/>
      <c r="CM22" s="3475"/>
      <c r="CN22" s="3476"/>
      <c r="CO22" s="318"/>
      <c r="CP22" s="318"/>
      <c r="CQ22" s="318"/>
      <c r="CR22" s="318"/>
      <c r="CS22" s="318"/>
      <c r="CT22" s="96"/>
      <c r="CU22" s="96"/>
      <c r="CV22" s="318"/>
      <c r="CW22" s="318"/>
      <c r="CX22" s="318"/>
      <c r="CY22" s="318"/>
      <c r="CZ22" s="96"/>
    </row>
    <row r="23" spans="1:114" ht="18" customHeight="1" x14ac:dyDescent="0.25">
      <c r="A23" s="313"/>
      <c r="B23" s="319" t="s">
        <v>582</v>
      </c>
      <c r="C23" s="320"/>
      <c r="D23" s="321" t="s">
        <v>583</v>
      </c>
      <c r="E23" s="322">
        <v>7</v>
      </c>
      <c r="F23" s="321" t="s">
        <v>584</v>
      </c>
      <c r="G23" s="323">
        <v>3</v>
      </c>
      <c r="H23" s="324" t="s">
        <v>260</v>
      </c>
      <c r="I23" s="2048" t="s">
        <v>79</v>
      </c>
      <c r="J23" s="3589"/>
      <c r="K23" s="3590"/>
      <c r="L23" s="688"/>
      <c r="M23" s="688"/>
      <c r="N23" s="688"/>
      <c r="O23" s="2048" t="s">
        <v>94</v>
      </c>
      <c r="P23" s="3588"/>
      <c r="Q23" s="688"/>
      <c r="R23" s="688"/>
      <c r="S23" s="688"/>
      <c r="T23" s="2046" t="s">
        <v>158</v>
      </c>
      <c r="U23" s="3587"/>
      <c r="V23" s="688"/>
      <c r="W23" s="688"/>
      <c r="X23" s="688"/>
      <c r="Y23" s="3180"/>
      <c r="Z23" s="3181"/>
      <c r="AA23" s="3182"/>
      <c r="AB23" s="3183"/>
      <c r="AC23" s="3184"/>
      <c r="AD23" s="3185"/>
      <c r="AE23" s="3186"/>
      <c r="AF23" s="3187"/>
      <c r="AG23" s="3188"/>
      <c r="AH23" s="3189"/>
      <c r="AI23" s="3190"/>
      <c r="AJ23" s="3211"/>
      <c r="AK23" s="3212"/>
      <c r="AL23" s="3213"/>
      <c r="AM23" s="3214"/>
      <c r="AN23" s="3215"/>
      <c r="AO23" s="3216"/>
      <c r="AP23" s="3217"/>
      <c r="AQ23" s="3218"/>
      <c r="AR23" s="3219"/>
      <c r="AS23" s="3220"/>
      <c r="AT23" s="3221"/>
      <c r="AU23" s="3222"/>
      <c r="AV23" s="3223"/>
      <c r="AW23" s="3224"/>
      <c r="AX23" s="3225"/>
      <c r="AY23" s="3226"/>
      <c r="AZ23" s="3227"/>
      <c r="BA23" s="3228"/>
      <c r="BB23" s="3229"/>
      <c r="BC23" s="3230"/>
      <c r="BD23" s="3231"/>
      <c r="BE23" s="689"/>
      <c r="BF23" s="689"/>
      <c r="BG23" s="689"/>
      <c r="BH23" s="3477"/>
      <c r="BI23" s="2001"/>
      <c r="BJ23" s="2001"/>
      <c r="BK23" s="2001"/>
      <c r="BL23" s="2001"/>
      <c r="BM23" s="2001"/>
      <c r="BN23" s="2001"/>
      <c r="BO23" s="2001"/>
      <c r="BP23" s="2001"/>
      <c r="BQ23" s="2001"/>
      <c r="BR23" s="2001"/>
      <c r="BS23" s="2001"/>
      <c r="BT23" s="2001"/>
      <c r="BU23" s="2001"/>
      <c r="BV23" s="2001"/>
      <c r="BW23" s="2001"/>
      <c r="BX23" s="2001"/>
      <c r="BY23" s="2001"/>
      <c r="BZ23" s="2001"/>
      <c r="CA23" s="2001"/>
      <c r="CB23" s="2001"/>
      <c r="CC23" s="2001"/>
      <c r="CD23" s="2001"/>
      <c r="CE23" s="2001"/>
      <c r="CF23" s="2001"/>
      <c r="CG23" s="2001"/>
      <c r="CH23" s="2001"/>
      <c r="CI23" s="2001"/>
      <c r="CJ23" s="2001"/>
      <c r="CK23" s="2001"/>
      <c r="CL23" s="2001"/>
      <c r="CM23" s="2001"/>
      <c r="CN23" s="3478"/>
      <c r="CO23" s="327"/>
      <c r="CP23" s="327"/>
      <c r="CQ23" s="327"/>
      <c r="CR23" s="327"/>
      <c r="CS23" s="327"/>
      <c r="CT23" s="96"/>
      <c r="CU23" s="96"/>
      <c r="CV23" s="327"/>
      <c r="CW23" s="327"/>
      <c r="CX23" s="327"/>
      <c r="CY23" s="327"/>
      <c r="CZ23" s="96"/>
    </row>
    <row r="24" spans="1:114" ht="18" customHeight="1" x14ac:dyDescent="0.25">
      <c r="A24" s="313"/>
      <c r="B24" s="315"/>
      <c r="C24" s="320"/>
      <c r="D24" s="321" t="s">
        <v>585</v>
      </c>
      <c r="E24" s="322">
        <v>7</v>
      </c>
      <c r="F24" s="321" t="s">
        <v>310</v>
      </c>
      <c r="G24" s="323">
        <v>2</v>
      </c>
      <c r="H24" s="324" t="s">
        <v>261</v>
      </c>
      <c r="I24" s="2048" t="s">
        <v>76</v>
      </c>
      <c r="J24" s="3583"/>
      <c r="K24" s="3584"/>
      <c r="L24" s="688"/>
      <c r="M24" s="688"/>
      <c r="N24" s="688"/>
      <c r="O24" s="2048" t="s">
        <v>100</v>
      </c>
      <c r="P24" s="3586"/>
      <c r="Q24" s="688"/>
      <c r="R24" s="688"/>
      <c r="S24" s="688"/>
      <c r="T24" s="2046" t="s">
        <v>82</v>
      </c>
      <c r="U24" s="3585"/>
      <c r="V24" s="688"/>
      <c r="W24" s="688"/>
      <c r="X24" s="688"/>
      <c r="Y24" s="2018" t="s">
        <v>248</v>
      </c>
      <c r="Z24" s="3232"/>
      <c r="AA24" s="3233"/>
      <c r="AB24" s="3234"/>
      <c r="AC24" s="3235"/>
      <c r="AD24" s="3236"/>
      <c r="AE24" s="3237"/>
      <c r="AF24" s="3238"/>
      <c r="AG24" s="3239"/>
      <c r="AH24" s="3240"/>
      <c r="AI24" s="3241"/>
      <c r="AJ24" s="2028" t="s">
        <v>586</v>
      </c>
      <c r="AK24" s="3253"/>
      <c r="AL24" s="3254"/>
      <c r="AM24" s="3255"/>
      <c r="AN24" s="3256"/>
      <c r="AO24" s="3257"/>
      <c r="AP24" s="3258"/>
      <c r="AQ24" s="3259"/>
      <c r="AR24" s="3260"/>
      <c r="AS24" s="3261"/>
      <c r="AT24" s="3262"/>
      <c r="AU24" s="3263"/>
      <c r="AV24" s="3264"/>
      <c r="AW24" s="3265"/>
      <c r="AX24" s="3266"/>
      <c r="AY24" s="3267"/>
      <c r="AZ24" s="3268"/>
      <c r="BA24" s="3269"/>
      <c r="BB24" s="3270"/>
      <c r="BC24" s="3271"/>
      <c r="BD24" s="3272"/>
      <c r="BE24" s="689"/>
      <c r="BF24" s="689"/>
      <c r="BG24" s="689"/>
      <c r="BH24" s="3479"/>
      <c r="BI24" s="2001"/>
      <c r="BJ24" s="2001"/>
      <c r="BK24" s="2001"/>
      <c r="BL24" s="2001"/>
      <c r="BM24" s="2001"/>
      <c r="BN24" s="2001"/>
      <c r="BO24" s="2001"/>
      <c r="BP24" s="2001"/>
      <c r="BQ24" s="2001"/>
      <c r="BR24" s="2001"/>
      <c r="BS24" s="2001"/>
      <c r="BT24" s="2001"/>
      <c r="BU24" s="2001"/>
      <c r="BV24" s="2001"/>
      <c r="BW24" s="2001"/>
      <c r="BX24" s="2001"/>
      <c r="BY24" s="2001"/>
      <c r="BZ24" s="2001"/>
      <c r="CA24" s="2001"/>
      <c r="CB24" s="2001"/>
      <c r="CC24" s="2001"/>
      <c r="CD24" s="2001"/>
      <c r="CE24" s="2001"/>
      <c r="CF24" s="2001"/>
      <c r="CG24" s="2001"/>
      <c r="CH24" s="2001"/>
      <c r="CI24" s="2001"/>
      <c r="CJ24" s="2001"/>
      <c r="CK24" s="2001"/>
      <c r="CL24" s="2001"/>
      <c r="CM24" s="2001"/>
      <c r="CN24" s="3480"/>
      <c r="CO24" s="318"/>
      <c r="CP24" s="318"/>
      <c r="CQ24" s="318"/>
      <c r="CR24" s="318"/>
      <c r="CS24" s="318"/>
      <c r="CT24" s="96"/>
      <c r="CU24" s="96"/>
      <c r="CV24" s="318"/>
      <c r="CW24" s="318"/>
      <c r="CX24" s="318"/>
      <c r="CY24" s="318"/>
      <c r="CZ24" s="96"/>
    </row>
    <row r="25" spans="1:114" ht="18" customHeight="1" x14ac:dyDescent="0.25">
      <c r="A25" s="313"/>
      <c r="B25" s="328"/>
      <c r="C25" s="313" t="s">
        <v>587</v>
      </c>
      <c r="D25" s="329" t="s">
        <v>588</v>
      </c>
      <c r="E25" s="330">
        <v>18</v>
      </c>
      <c r="F25" s="329" t="s">
        <v>589</v>
      </c>
      <c r="G25" s="331"/>
      <c r="H25" s="332" t="s">
        <v>262</v>
      </c>
      <c r="I25" s="1981" t="s">
        <v>84</v>
      </c>
      <c r="J25" s="3010"/>
      <c r="K25" s="3011"/>
      <c r="L25" s="690"/>
      <c r="M25" s="690"/>
      <c r="N25" s="690"/>
      <c r="O25" s="1981" t="s">
        <v>117</v>
      </c>
      <c r="P25" s="3008"/>
      <c r="Q25" s="690"/>
      <c r="R25" s="690"/>
      <c r="S25" s="690"/>
      <c r="T25" s="1985"/>
      <c r="U25" s="3009"/>
      <c r="V25" s="690"/>
      <c r="W25" s="690"/>
      <c r="X25" s="690"/>
      <c r="Y25" s="3242"/>
      <c r="Z25" s="3243"/>
      <c r="AA25" s="3244"/>
      <c r="AB25" s="3245"/>
      <c r="AC25" s="3246"/>
      <c r="AD25" s="3247"/>
      <c r="AE25" s="3248"/>
      <c r="AF25" s="3249"/>
      <c r="AG25" s="3250"/>
      <c r="AH25" s="3251"/>
      <c r="AI25" s="3252"/>
      <c r="AJ25" s="3273"/>
      <c r="AK25" s="3274"/>
      <c r="AL25" s="3275"/>
      <c r="AM25" s="3276"/>
      <c r="AN25" s="3277"/>
      <c r="AO25" s="3278"/>
      <c r="AP25" s="3279"/>
      <c r="AQ25" s="3280"/>
      <c r="AR25" s="3281"/>
      <c r="AS25" s="3282"/>
      <c r="AT25" s="3283"/>
      <c r="AU25" s="3284"/>
      <c r="AV25" s="3285"/>
      <c r="AW25" s="3286"/>
      <c r="AX25" s="3287"/>
      <c r="AY25" s="3288"/>
      <c r="AZ25" s="3289"/>
      <c r="BA25" s="3290"/>
      <c r="BB25" s="3291"/>
      <c r="BC25" s="3292"/>
      <c r="BD25" s="3293"/>
      <c r="BE25" s="691"/>
      <c r="BF25" s="691"/>
      <c r="BG25" s="691"/>
      <c r="BH25" s="3481"/>
      <c r="BI25" s="3482"/>
      <c r="BJ25" s="3483"/>
      <c r="BK25" s="3484"/>
      <c r="BL25" s="3485"/>
      <c r="BM25" s="3486"/>
      <c r="BN25" s="3487"/>
      <c r="BO25" s="3488"/>
      <c r="BP25" s="3489"/>
      <c r="BQ25" s="3490"/>
      <c r="BR25" s="3491"/>
      <c r="BS25" s="3492"/>
      <c r="BT25" s="3493"/>
      <c r="BU25" s="3494"/>
      <c r="BV25" s="3495"/>
      <c r="BW25" s="3496"/>
      <c r="BX25" s="3497"/>
      <c r="BY25" s="3498"/>
      <c r="BZ25" s="3499"/>
      <c r="CA25" s="3500"/>
      <c r="CB25" s="3501"/>
      <c r="CC25" s="3502"/>
      <c r="CD25" s="3503"/>
      <c r="CE25" s="3504"/>
      <c r="CF25" s="3505"/>
      <c r="CG25" s="3506"/>
      <c r="CH25" s="3507"/>
      <c r="CI25" s="3508"/>
      <c r="CJ25" s="3509"/>
      <c r="CK25" s="3510"/>
      <c r="CL25" s="3511"/>
      <c r="CM25" s="3512"/>
      <c r="CN25" s="3513"/>
      <c r="CO25" s="195"/>
      <c r="CP25" s="195"/>
      <c r="CQ25" s="195"/>
      <c r="CR25" s="195"/>
      <c r="CS25" s="195"/>
      <c r="CT25" s="96"/>
      <c r="CU25" s="96"/>
      <c r="CV25" s="195"/>
      <c r="CW25" s="195"/>
      <c r="CX25" s="195"/>
      <c r="CY25" s="195"/>
      <c r="CZ25" s="96"/>
    </row>
    <row r="26" spans="1:114" ht="25.5" x14ac:dyDescent="0.25">
      <c r="A26" s="1980" t="s">
        <v>590</v>
      </c>
      <c r="B26" s="1980"/>
      <c r="C26" s="1980"/>
      <c r="D26" s="1980"/>
      <c r="E26" s="1980"/>
      <c r="F26" s="1980"/>
      <c r="G26" s="1980"/>
      <c r="H26" s="1980"/>
      <c r="I26" s="1980"/>
      <c r="J26" s="1980"/>
      <c r="K26" s="1980"/>
      <c r="L26" s="1980"/>
      <c r="M26" s="1980"/>
      <c r="N26" s="1980"/>
      <c r="O26" s="1980"/>
      <c r="P26" s="1980"/>
      <c r="Q26" s="1980"/>
      <c r="R26" s="1980"/>
      <c r="S26" s="1980"/>
      <c r="T26" s="1980"/>
      <c r="U26" s="1980"/>
      <c r="V26" s="1980"/>
      <c r="W26" s="1980"/>
      <c r="X26" s="1980"/>
      <c r="Y26" s="1980"/>
      <c r="Z26" s="1980"/>
      <c r="AA26" s="1980"/>
      <c r="AB26" s="1980"/>
      <c r="AC26" s="1980"/>
      <c r="AD26" s="1980"/>
      <c r="AE26" s="1980"/>
      <c r="AF26" s="1980"/>
      <c r="AG26" s="1980"/>
      <c r="AH26" s="1980"/>
      <c r="AI26" s="1980"/>
      <c r="AJ26" s="1980"/>
      <c r="AK26" s="1980"/>
      <c r="AL26" s="1980"/>
      <c r="AM26" s="1980"/>
      <c r="AN26" s="1980"/>
      <c r="AO26" s="1980"/>
      <c r="AP26" s="1980"/>
      <c r="AQ26" s="1980"/>
      <c r="AR26" s="1980"/>
      <c r="AS26" s="1980"/>
      <c r="AT26" s="1980"/>
      <c r="AU26" s="1980"/>
      <c r="AV26" s="1980"/>
      <c r="AW26" s="1980"/>
      <c r="AX26" s="1980"/>
      <c r="AY26" s="1980"/>
      <c r="AZ26" s="1980"/>
      <c r="BA26" s="1980"/>
      <c r="BB26" s="1980"/>
      <c r="BC26" s="1980"/>
      <c r="BD26" s="1980"/>
      <c r="BE26" s="1980"/>
      <c r="BF26" s="1980"/>
      <c r="BG26" s="1980"/>
      <c r="BH26" s="1980"/>
      <c r="BI26" s="1980"/>
      <c r="BJ26" s="1980"/>
      <c r="BK26" s="1980"/>
      <c r="BL26" s="1980"/>
      <c r="BM26" s="1980"/>
      <c r="BN26" s="1980"/>
      <c r="BO26" s="1980"/>
      <c r="BP26" s="1980"/>
      <c r="BQ26" s="1980"/>
      <c r="BR26" s="1980"/>
      <c r="BS26" s="1980"/>
      <c r="BT26" s="1980"/>
      <c r="BU26" s="1980"/>
      <c r="BV26" s="1980"/>
      <c r="BW26" s="1980"/>
      <c r="BX26" s="1980"/>
      <c r="BY26" s="1980"/>
      <c r="BZ26" s="1980"/>
      <c r="CA26" s="1980"/>
      <c r="CB26" s="1980"/>
      <c r="CC26" s="1980"/>
      <c r="CD26" s="1980"/>
      <c r="CE26" s="1980"/>
      <c r="CF26" s="1980"/>
      <c r="CG26" s="1980"/>
      <c r="CH26" s="1980"/>
      <c r="CI26" s="1980"/>
      <c r="CJ26" s="1980"/>
      <c r="CK26" s="1980"/>
      <c r="CL26" s="1980"/>
      <c r="CM26" s="1980"/>
      <c r="CN26" s="1980"/>
      <c r="CO26" s="333"/>
      <c r="CP26" s="333"/>
      <c r="CQ26" s="333"/>
      <c r="CR26" s="333"/>
      <c r="CS26" s="333"/>
      <c r="CT26" s="333"/>
      <c r="CU26" s="96"/>
      <c r="CV26" s="333"/>
      <c r="CW26" s="333"/>
      <c r="CX26" s="333"/>
      <c r="CY26" s="333"/>
      <c r="CZ26" s="96"/>
      <c r="DA26" s="96"/>
    </row>
    <row r="27" spans="1:114" ht="15.75" customHeight="1" x14ac:dyDescent="0.25">
      <c r="A27" s="193"/>
      <c r="B27" s="87"/>
      <c r="C27" s="334"/>
      <c r="D27" s="335" t="s">
        <v>591</v>
      </c>
      <c r="E27" s="336" t="s">
        <v>592</v>
      </c>
      <c r="F27" s="336"/>
      <c r="G27" s="334"/>
      <c r="H27" s="334"/>
      <c r="I27" s="334"/>
      <c r="J27" s="334"/>
      <c r="K27" s="334"/>
      <c r="L27" s="334"/>
      <c r="M27" s="334"/>
      <c r="N27" s="334"/>
      <c r="O27" s="337"/>
      <c r="P27" s="337"/>
      <c r="Q27" s="334"/>
      <c r="R27" s="334"/>
      <c r="S27" s="334"/>
      <c r="T27" s="337"/>
      <c r="U27" s="337"/>
      <c r="V27" s="334"/>
      <c r="W27" s="334"/>
      <c r="X27" s="334"/>
      <c r="Y27" s="337"/>
      <c r="Z27" s="337"/>
      <c r="AA27" s="334"/>
      <c r="AB27" s="334"/>
      <c r="AC27" s="334"/>
      <c r="AD27" s="337"/>
      <c r="AE27" s="337"/>
      <c r="AF27" s="334"/>
      <c r="AG27" s="334"/>
      <c r="AH27" s="334"/>
      <c r="AI27" s="337"/>
      <c r="AJ27" s="337"/>
      <c r="AK27" s="334"/>
      <c r="AL27" s="334"/>
      <c r="AM27" s="334"/>
      <c r="AN27" s="337"/>
      <c r="AO27" s="337"/>
      <c r="AP27" s="334"/>
      <c r="AQ27" s="334"/>
      <c r="AR27" s="334"/>
      <c r="AS27" s="112"/>
      <c r="AT27" s="112"/>
      <c r="AU27" s="334"/>
      <c r="AV27" s="334"/>
      <c r="AW27" s="334"/>
      <c r="AX27" s="112"/>
      <c r="AY27" s="112"/>
      <c r="AZ27" s="334"/>
      <c r="BA27" s="334"/>
      <c r="BB27" s="334"/>
      <c r="BE27" s="334"/>
      <c r="BF27" s="334"/>
      <c r="BG27" s="334"/>
      <c r="BJ27" s="334"/>
      <c r="BK27" s="334"/>
      <c r="BL27" s="334"/>
      <c r="BO27" s="334"/>
      <c r="BP27" s="334"/>
      <c r="BQ27" s="334"/>
      <c r="BR27" s="112"/>
      <c r="BS27" s="112"/>
      <c r="BT27" s="334"/>
      <c r="BU27" s="334"/>
      <c r="BV27" s="334"/>
      <c r="BW27" s="112"/>
      <c r="BY27" s="334"/>
      <c r="BZ27" s="334"/>
      <c r="CA27" s="334"/>
      <c r="CB27" s="112"/>
      <c r="CD27" s="334"/>
      <c r="CE27" s="334"/>
      <c r="CF27" s="334"/>
      <c r="CG27" s="112"/>
      <c r="CJ27" s="334"/>
      <c r="CK27" s="334"/>
      <c r="CL27" s="334"/>
      <c r="CM27" s="112"/>
      <c r="CP27" s="334"/>
      <c r="CQ27" s="334"/>
      <c r="CR27" s="334"/>
      <c r="CS27" s="112"/>
      <c r="CT27" s="195"/>
      <c r="CU27" s="96"/>
      <c r="CV27" s="334"/>
      <c r="CW27" s="334"/>
      <c r="CX27" s="334"/>
      <c r="CY27" s="112"/>
      <c r="CZ27" s="96"/>
      <c r="DA27" s="96"/>
    </row>
    <row r="28" spans="1:114" ht="15.75" customHeight="1" x14ac:dyDescent="0.25">
      <c r="A28" s="193"/>
      <c r="B28" s="87"/>
      <c r="C28" s="334"/>
      <c r="D28" s="335" t="s">
        <v>593</v>
      </c>
      <c r="E28" s="338" t="s">
        <v>594</v>
      </c>
      <c r="F28" s="336"/>
      <c r="G28" s="334"/>
      <c r="H28" s="334"/>
      <c r="I28" s="334"/>
      <c r="J28" s="334"/>
      <c r="K28" s="334"/>
      <c r="L28" s="334"/>
      <c r="M28" s="334"/>
      <c r="N28" s="334"/>
      <c r="O28" s="337"/>
      <c r="P28" s="337"/>
      <c r="Q28" s="334"/>
      <c r="R28" s="334"/>
      <c r="S28" s="334"/>
      <c r="T28" s="337"/>
      <c r="U28" s="337"/>
      <c r="V28" s="334"/>
      <c r="W28" s="334"/>
      <c r="X28" s="334"/>
      <c r="Y28" s="337"/>
      <c r="Z28" s="337"/>
      <c r="AA28" s="334"/>
      <c r="AB28" s="334"/>
      <c r="AC28" s="334"/>
      <c r="AD28" s="337"/>
      <c r="AE28" s="337"/>
      <c r="AF28" s="334"/>
      <c r="AG28" s="334"/>
      <c r="AH28" s="334"/>
      <c r="AI28" s="337"/>
      <c r="AJ28" s="337"/>
      <c r="AK28" s="334"/>
      <c r="AL28" s="334"/>
      <c r="AM28" s="334"/>
      <c r="AN28" s="337"/>
      <c r="AO28" s="337"/>
      <c r="AP28" s="334"/>
      <c r="AQ28" s="334"/>
      <c r="AR28" s="334"/>
      <c r="AS28" s="112"/>
      <c r="AT28" s="112"/>
      <c r="AU28" s="334"/>
      <c r="AV28" s="334"/>
      <c r="AW28" s="334"/>
      <c r="AX28" s="112"/>
      <c r="AY28" s="112"/>
      <c r="AZ28" s="334"/>
      <c r="BA28" s="334"/>
      <c r="BB28" s="334"/>
      <c r="BE28" s="334"/>
      <c r="BF28" s="334"/>
      <c r="BG28" s="334"/>
      <c r="BH28" s="55"/>
      <c r="BJ28" s="334"/>
      <c r="BK28" s="334"/>
      <c r="BL28" s="334"/>
      <c r="BN28" s="112"/>
      <c r="BO28" s="334"/>
      <c r="BP28" s="334"/>
      <c r="BQ28" s="334"/>
      <c r="BR28" s="339"/>
      <c r="BS28" s="339"/>
      <c r="BT28" s="334"/>
      <c r="BU28" s="334"/>
      <c r="BV28" s="334"/>
      <c r="BW28" s="339"/>
      <c r="BX28" s="112"/>
      <c r="BY28" s="334"/>
      <c r="BZ28" s="334"/>
      <c r="CA28" s="334"/>
      <c r="CB28" s="112"/>
      <c r="CD28" s="334"/>
      <c r="CE28" s="334"/>
      <c r="CF28" s="334"/>
      <c r="CG28" s="112"/>
      <c r="CJ28" s="334"/>
      <c r="CK28" s="334"/>
      <c r="CL28" s="334"/>
      <c r="CM28" s="112"/>
      <c r="CP28" s="334"/>
      <c r="CQ28" s="334"/>
      <c r="CR28" s="334"/>
      <c r="CS28" s="112"/>
      <c r="CT28" s="195"/>
      <c r="CU28" s="96"/>
      <c r="CV28" s="334"/>
      <c r="CW28" s="334"/>
      <c r="CX28" s="334"/>
      <c r="CY28" s="112"/>
      <c r="CZ28" s="96"/>
      <c r="DA28" s="96"/>
    </row>
    <row r="29" spans="1:114" ht="15.75" customHeight="1" x14ac:dyDescent="0.25">
      <c r="A29" s="193"/>
      <c r="B29" s="262"/>
      <c r="C29" s="262"/>
      <c r="D29" s="262"/>
      <c r="E29" s="340" t="s">
        <v>595</v>
      </c>
      <c r="G29" s="341" t="s">
        <v>596</v>
      </c>
      <c r="H29" s="342"/>
      <c r="I29" s="342"/>
      <c r="J29" s="342"/>
      <c r="K29" s="342"/>
      <c r="L29" s="342"/>
      <c r="M29" s="342"/>
      <c r="N29" s="342"/>
      <c r="O29" s="343"/>
      <c r="P29" s="343"/>
      <c r="Q29" s="342"/>
      <c r="R29" s="342"/>
      <c r="S29" s="342"/>
      <c r="T29" s="343"/>
      <c r="U29" s="343"/>
      <c r="V29" s="342"/>
      <c r="W29" s="342"/>
      <c r="X29" s="342"/>
      <c r="Y29" s="343"/>
      <c r="Z29" s="343"/>
      <c r="AA29" s="342"/>
      <c r="AB29" s="342"/>
      <c r="AC29" s="342"/>
      <c r="AD29" s="343"/>
      <c r="AE29" s="343"/>
      <c r="AF29" s="342"/>
      <c r="AG29" s="342"/>
      <c r="AH29" s="342"/>
      <c r="AI29" s="343"/>
      <c r="AJ29" s="343"/>
      <c r="AK29" s="342"/>
      <c r="AL29" s="342"/>
      <c r="AM29" s="342"/>
      <c r="AN29" s="343"/>
      <c r="AO29" s="343"/>
      <c r="AP29" s="342"/>
      <c r="AQ29" s="342"/>
      <c r="AR29" s="342"/>
      <c r="AS29" s="343"/>
      <c r="AT29" s="343"/>
      <c r="AU29" s="342"/>
      <c r="AV29" s="342"/>
      <c r="AW29" s="342"/>
      <c r="AX29" s="343"/>
      <c r="AY29" s="343"/>
      <c r="AZ29" s="342"/>
      <c r="BA29" s="342"/>
      <c r="BB29" s="342"/>
      <c r="BC29" s="343"/>
      <c r="BD29" s="343"/>
      <c r="BE29" s="342"/>
      <c r="BF29" s="342"/>
      <c r="BG29" s="342"/>
      <c r="BH29" s="343"/>
      <c r="BI29" s="343"/>
      <c r="BJ29" s="342"/>
      <c r="BK29" s="342"/>
      <c r="BL29" s="342"/>
      <c r="BM29" s="343"/>
      <c r="BN29" s="343"/>
      <c r="BO29" s="342"/>
      <c r="BP29" s="342"/>
      <c r="BQ29" s="342"/>
      <c r="BR29" s="343"/>
      <c r="BS29" s="343"/>
      <c r="BT29" s="342"/>
      <c r="BU29" s="342"/>
      <c r="BV29" s="342"/>
      <c r="BW29" s="343"/>
      <c r="BX29" s="343"/>
      <c r="BY29" s="342"/>
      <c r="BZ29" s="342"/>
      <c r="CA29" s="342"/>
      <c r="CB29" s="343"/>
      <c r="CC29" s="344"/>
      <c r="CD29" s="342"/>
      <c r="CE29" s="342"/>
      <c r="CF29" s="342"/>
      <c r="CG29" s="343"/>
      <c r="CH29" s="345"/>
      <c r="CI29" s="345"/>
      <c r="CJ29" s="342"/>
      <c r="CK29" s="342"/>
      <c r="CL29" s="342"/>
      <c r="CM29" s="343"/>
      <c r="CN29" s="345"/>
      <c r="CO29" s="345"/>
      <c r="CP29" s="342"/>
      <c r="CQ29" s="342"/>
      <c r="CR29" s="342"/>
      <c r="CS29" s="343"/>
      <c r="CT29" s="343"/>
      <c r="CU29" s="692"/>
      <c r="CV29" s="342"/>
      <c r="CW29" s="342"/>
      <c r="CX29" s="342"/>
      <c r="CY29" s="343"/>
      <c r="CZ29" s="96"/>
      <c r="DA29" s="96"/>
    </row>
    <row r="30" spans="1:114" ht="6" customHeight="1" x14ac:dyDescent="0.25">
      <c r="A30" s="193"/>
      <c r="B30" s="262"/>
      <c r="C30" s="262"/>
      <c r="D30" s="262"/>
      <c r="E30" s="340"/>
      <c r="G30" s="341"/>
      <c r="H30" s="262"/>
      <c r="I30" s="262"/>
      <c r="J30" s="262"/>
      <c r="K30" s="262"/>
      <c r="L30" s="262"/>
      <c r="M30" s="262"/>
      <c r="N30" s="262"/>
      <c r="O30" s="318"/>
      <c r="P30" s="318"/>
      <c r="Q30" s="262"/>
      <c r="R30" s="262"/>
      <c r="S30" s="262"/>
      <c r="T30" s="318"/>
      <c r="U30" s="318"/>
      <c r="V30" s="262"/>
      <c r="W30" s="262"/>
      <c r="X30" s="262"/>
      <c r="Y30" s="318"/>
      <c r="Z30" s="318"/>
      <c r="AA30" s="262"/>
      <c r="AB30" s="262"/>
      <c r="AC30" s="262"/>
      <c r="AD30" s="318"/>
      <c r="AE30" s="318"/>
      <c r="AF30" s="262"/>
      <c r="AG30" s="262"/>
      <c r="AH30" s="262"/>
      <c r="AI30" s="318"/>
      <c r="AJ30" s="318"/>
      <c r="AK30" s="262"/>
      <c r="AL30" s="262"/>
      <c r="AM30" s="262"/>
      <c r="AN30" s="318"/>
      <c r="AO30" s="318"/>
      <c r="AP30" s="262"/>
      <c r="AQ30" s="262"/>
      <c r="AR30" s="262"/>
      <c r="AS30" s="318"/>
      <c r="AT30" s="318"/>
      <c r="AU30" s="262"/>
      <c r="AV30" s="262"/>
      <c r="AW30" s="262"/>
      <c r="AX30" s="318"/>
      <c r="AY30" s="318"/>
      <c r="AZ30" s="262"/>
      <c r="BA30" s="262"/>
      <c r="BB30" s="262"/>
      <c r="BC30" s="318"/>
      <c r="BD30" s="318"/>
      <c r="BE30" s="262"/>
      <c r="BF30" s="262"/>
      <c r="BG30" s="262"/>
      <c r="BH30" s="318"/>
      <c r="BI30" s="318"/>
      <c r="BJ30" s="262"/>
      <c r="BK30" s="262"/>
      <c r="BL30" s="262"/>
      <c r="BM30" s="318"/>
      <c r="BN30" s="318"/>
      <c r="BO30" s="262"/>
      <c r="BP30" s="262"/>
      <c r="BQ30" s="262"/>
      <c r="BR30" s="318"/>
      <c r="BS30" s="318"/>
      <c r="BT30" s="262"/>
      <c r="BU30" s="262"/>
      <c r="BV30" s="262"/>
      <c r="BW30" s="318"/>
      <c r="BX30" s="318"/>
      <c r="BY30" s="262"/>
      <c r="BZ30" s="262"/>
      <c r="CA30" s="262"/>
      <c r="CB30" s="318"/>
      <c r="CC30" s="346"/>
      <c r="CD30" s="262"/>
      <c r="CE30" s="262"/>
      <c r="CF30" s="262"/>
      <c r="CG30" s="318"/>
      <c r="CJ30" s="262"/>
      <c r="CK30" s="262"/>
      <c r="CL30" s="262"/>
      <c r="CM30" s="318"/>
      <c r="CP30" s="262"/>
      <c r="CQ30" s="262"/>
      <c r="CR30" s="262"/>
      <c r="CS30" s="318"/>
      <c r="CT30" s="318"/>
      <c r="CU30" s="96"/>
      <c r="CV30" s="262"/>
      <c r="CW30" s="262"/>
      <c r="CX30" s="262"/>
      <c r="CY30" s="318"/>
      <c r="CZ30" s="96"/>
      <c r="DA30" s="96"/>
    </row>
    <row r="31" spans="1:114" ht="21" customHeight="1" x14ac:dyDescent="0.25">
      <c r="A31" s="2335" t="s">
        <v>6</v>
      </c>
      <c r="B31" s="3295" t="s">
        <v>597</v>
      </c>
      <c r="C31" s="2339" t="s">
        <v>598</v>
      </c>
      <c r="D31" s="3297"/>
      <c r="E31" s="2337" t="s">
        <v>599</v>
      </c>
      <c r="F31" s="3301" t="s">
        <v>70</v>
      </c>
      <c r="G31" s="3303" t="s">
        <v>600</v>
      </c>
      <c r="H31" s="3305" t="s">
        <v>601</v>
      </c>
      <c r="I31" s="3055" t="s">
        <v>721</v>
      </c>
      <c r="J31" s="3057"/>
      <c r="K31" s="3055" t="s">
        <v>722</v>
      </c>
      <c r="L31" s="3056"/>
      <c r="M31" s="3055" t="s">
        <v>723</v>
      </c>
      <c r="N31" s="3069"/>
      <c r="O31" s="3067" t="s">
        <v>724</v>
      </c>
      <c r="P31" s="3068"/>
      <c r="Q31" s="2127" t="s">
        <v>604</v>
      </c>
      <c r="R31" s="3058"/>
      <c r="S31" s="3059"/>
      <c r="T31" s="3060"/>
      <c r="U31" s="3061"/>
      <c r="V31" s="3062"/>
      <c r="W31" s="3063"/>
      <c r="X31" s="3064"/>
      <c r="Y31" s="3065"/>
      <c r="Z31" s="3066"/>
      <c r="AA31" s="2092" t="s">
        <v>605</v>
      </c>
      <c r="AB31" s="3070"/>
      <c r="AC31" s="3071"/>
      <c r="AD31" s="3072"/>
      <c r="AE31" s="3073"/>
      <c r="AF31" s="3074"/>
      <c r="AG31" s="3075"/>
      <c r="AH31" s="3076"/>
      <c r="AI31" s="3077"/>
      <c r="AJ31" s="3078"/>
      <c r="AK31" s="3079"/>
      <c r="AL31" s="3080"/>
      <c r="AM31" s="3081"/>
      <c r="AN31" s="3082"/>
      <c r="AO31" s="3083"/>
      <c r="AP31" s="3084"/>
      <c r="AQ31" s="3085"/>
      <c r="AR31" s="3086"/>
      <c r="AS31" s="3087"/>
      <c r="AT31" s="3088"/>
      <c r="AU31" s="3089"/>
      <c r="AV31" s="3090"/>
      <c r="AW31" s="3091"/>
      <c r="AX31" s="3092"/>
      <c r="AY31" s="3093"/>
      <c r="AZ31" s="3094"/>
      <c r="BA31" s="3095"/>
      <c r="BB31" s="3096"/>
      <c r="BC31" s="3097"/>
      <c r="BD31" s="3098"/>
      <c r="BE31" s="2127" t="s">
        <v>606</v>
      </c>
      <c r="BF31" s="3099"/>
      <c r="BG31" s="3100"/>
      <c r="BH31" s="3101"/>
      <c r="BI31" s="3102"/>
      <c r="BJ31" s="3103"/>
      <c r="BK31" s="3104"/>
      <c r="BL31" s="3105"/>
      <c r="BM31" s="3106"/>
      <c r="BN31" s="3107"/>
      <c r="BO31" s="3035" t="s">
        <v>607</v>
      </c>
      <c r="BP31" s="3036"/>
      <c r="BQ31" s="3037"/>
      <c r="BR31" s="3038"/>
      <c r="BS31" s="3039"/>
      <c r="BT31" s="3040"/>
      <c r="BU31" s="3041"/>
      <c r="BV31" s="3042"/>
      <c r="BW31" s="3043"/>
      <c r="BX31" s="3044"/>
      <c r="BY31" s="3045"/>
      <c r="BZ31" s="3046"/>
      <c r="CA31" s="3047"/>
      <c r="CB31" s="3048"/>
      <c r="CC31" s="3049"/>
      <c r="CD31" s="3050"/>
      <c r="CE31" s="3051"/>
      <c r="CF31" s="3052"/>
      <c r="CG31" s="3053"/>
      <c r="CH31" s="3054"/>
      <c r="CI31" s="2139" t="s">
        <v>608</v>
      </c>
      <c r="CJ31" s="3012"/>
      <c r="CK31" s="3013"/>
      <c r="CL31" s="3014"/>
      <c r="CM31" s="3015"/>
      <c r="CN31" s="3016"/>
      <c r="CO31" s="3017"/>
      <c r="CP31" s="3018"/>
      <c r="CQ31" s="3019"/>
      <c r="CR31" s="3020"/>
      <c r="CS31" s="3021"/>
      <c r="CT31" s="3022"/>
      <c r="CU31" s="3023"/>
      <c r="CV31" s="3024"/>
      <c r="CW31" s="3025"/>
      <c r="CX31" s="3026"/>
      <c r="CY31" s="3027"/>
      <c r="CZ31" s="3028"/>
      <c r="DA31" s="3029"/>
      <c r="DB31" s="3030"/>
      <c r="DC31" s="3031"/>
      <c r="DD31" s="3032"/>
      <c r="DE31" s="3033"/>
      <c r="DF31" s="3034"/>
      <c r="DG31" s="347"/>
      <c r="DH31" s="18" t="s">
        <v>622</v>
      </c>
      <c r="DI31" s="18" t="s">
        <v>623</v>
      </c>
      <c r="DJ31" s="18" t="s">
        <v>603</v>
      </c>
    </row>
    <row r="32" spans="1:114" ht="36.75" customHeight="1" x14ac:dyDescent="0.25">
      <c r="A32" s="3294"/>
      <c r="B32" s="3296"/>
      <c r="C32" s="3298"/>
      <c r="D32" s="3299"/>
      <c r="E32" s="3300"/>
      <c r="F32" s="3302"/>
      <c r="G32" s="3304"/>
      <c r="H32" s="3306"/>
      <c r="I32" s="693" t="s">
        <v>602</v>
      </c>
      <c r="J32" s="573" t="s">
        <v>602</v>
      </c>
      <c r="K32" s="693" t="s">
        <v>602</v>
      </c>
      <c r="L32" s="573" t="s">
        <v>602</v>
      </c>
      <c r="M32" s="693" t="s">
        <v>603</v>
      </c>
      <c r="N32" s="573" t="s">
        <v>603</v>
      </c>
      <c r="O32" s="694" t="s">
        <v>603</v>
      </c>
      <c r="P32" s="573" t="s">
        <v>603</v>
      </c>
      <c r="Q32" s="667" t="s">
        <v>609</v>
      </c>
      <c r="R32" s="695" t="s">
        <v>725</v>
      </c>
      <c r="S32" s="695" t="s">
        <v>726</v>
      </c>
      <c r="T32" s="695" t="s">
        <v>727</v>
      </c>
      <c r="U32" s="695" t="s">
        <v>728</v>
      </c>
      <c r="V32" s="577" t="s">
        <v>611</v>
      </c>
      <c r="W32" s="695" t="s">
        <v>725</v>
      </c>
      <c r="X32" s="695" t="s">
        <v>726</v>
      </c>
      <c r="Y32" s="695" t="s">
        <v>727</v>
      </c>
      <c r="Z32" s="696" t="s">
        <v>728</v>
      </c>
      <c r="AA32" s="581" t="s">
        <v>611</v>
      </c>
      <c r="AB32" s="697" t="s">
        <v>725</v>
      </c>
      <c r="AC32" s="697" t="s">
        <v>726</v>
      </c>
      <c r="AD32" s="697" t="s">
        <v>727</v>
      </c>
      <c r="AE32" s="697" t="s">
        <v>728</v>
      </c>
      <c r="AF32" s="580" t="s">
        <v>612</v>
      </c>
      <c r="AG32" s="697" t="s">
        <v>725</v>
      </c>
      <c r="AH32" s="697" t="s">
        <v>726</v>
      </c>
      <c r="AI32" s="697" t="s">
        <v>727</v>
      </c>
      <c r="AJ32" s="697" t="s">
        <v>728</v>
      </c>
      <c r="AK32" s="580" t="s">
        <v>613</v>
      </c>
      <c r="AL32" s="697" t="s">
        <v>725</v>
      </c>
      <c r="AM32" s="697" t="s">
        <v>726</v>
      </c>
      <c r="AN32" s="697" t="s">
        <v>727</v>
      </c>
      <c r="AO32" s="697" t="s">
        <v>728</v>
      </c>
      <c r="AP32" s="580" t="s">
        <v>614</v>
      </c>
      <c r="AQ32" s="697" t="s">
        <v>725</v>
      </c>
      <c r="AR32" s="697" t="s">
        <v>726</v>
      </c>
      <c r="AS32" s="697" t="s">
        <v>727</v>
      </c>
      <c r="AT32" s="697" t="s">
        <v>728</v>
      </c>
      <c r="AU32" s="580" t="s">
        <v>615</v>
      </c>
      <c r="AV32" s="697" t="s">
        <v>725</v>
      </c>
      <c r="AW32" s="697" t="s">
        <v>726</v>
      </c>
      <c r="AX32" s="697" t="s">
        <v>727</v>
      </c>
      <c r="AY32" s="697" t="s">
        <v>728</v>
      </c>
      <c r="AZ32" s="580" t="s">
        <v>616</v>
      </c>
      <c r="BA32" s="697" t="s">
        <v>725</v>
      </c>
      <c r="BB32" s="697" t="s">
        <v>726</v>
      </c>
      <c r="BC32" s="697" t="s">
        <v>727</v>
      </c>
      <c r="BD32" s="698" t="s">
        <v>728</v>
      </c>
      <c r="BE32" s="579" t="s">
        <v>612</v>
      </c>
      <c r="BF32" s="695" t="s">
        <v>725</v>
      </c>
      <c r="BG32" s="695" t="s">
        <v>726</v>
      </c>
      <c r="BH32" s="695" t="s">
        <v>727</v>
      </c>
      <c r="BI32" s="695" t="s">
        <v>728</v>
      </c>
      <c r="BJ32" s="580" t="s">
        <v>614</v>
      </c>
      <c r="BK32" s="695" t="s">
        <v>725</v>
      </c>
      <c r="BL32" s="695" t="s">
        <v>726</v>
      </c>
      <c r="BM32" s="695" t="s">
        <v>727</v>
      </c>
      <c r="BN32" s="695" t="s">
        <v>728</v>
      </c>
      <c r="BO32" s="357" t="s">
        <v>611</v>
      </c>
      <c r="BP32" s="699" t="s">
        <v>725</v>
      </c>
      <c r="BQ32" s="699" t="s">
        <v>726</v>
      </c>
      <c r="BR32" s="699" t="s">
        <v>727</v>
      </c>
      <c r="BS32" s="699" t="s">
        <v>728</v>
      </c>
      <c r="BT32" s="355" t="s">
        <v>612</v>
      </c>
      <c r="BU32" s="699" t="s">
        <v>725</v>
      </c>
      <c r="BV32" s="699" t="s">
        <v>726</v>
      </c>
      <c r="BW32" s="699" t="s">
        <v>727</v>
      </c>
      <c r="BX32" s="699" t="s">
        <v>728</v>
      </c>
      <c r="BY32" s="355" t="s">
        <v>613</v>
      </c>
      <c r="BZ32" s="699" t="s">
        <v>725</v>
      </c>
      <c r="CA32" s="699" t="s">
        <v>726</v>
      </c>
      <c r="CB32" s="699" t="s">
        <v>727</v>
      </c>
      <c r="CC32" s="699" t="s">
        <v>728</v>
      </c>
      <c r="CD32" s="355" t="s">
        <v>614</v>
      </c>
      <c r="CE32" s="699" t="s">
        <v>725</v>
      </c>
      <c r="CF32" s="699" t="s">
        <v>726</v>
      </c>
      <c r="CG32" s="699" t="s">
        <v>727</v>
      </c>
      <c r="CH32" s="700" t="s">
        <v>728</v>
      </c>
      <c r="CI32" s="584" t="s">
        <v>617</v>
      </c>
      <c r="CJ32" s="695" t="s">
        <v>725</v>
      </c>
      <c r="CK32" s="695" t="s">
        <v>726</v>
      </c>
      <c r="CL32" s="695" t="s">
        <v>727</v>
      </c>
      <c r="CM32" s="696" t="s">
        <v>728</v>
      </c>
      <c r="CN32" s="701" t="s">
        <v>618</v>
      </c>
      <c r="CO32" s="586" t="s">
        <v>619</v>
      </c>
      <c r="CP32" s="695" t="s">
        <v>725</v>
      </c>
      <c r="CQ32" s="695" t="s">
        <v>726</v>
      </c>
      <c r="CR32" s="695" t="s">
        <v>727</v>
      </c>
      <c r="CS32" s="696" t="s">
        <v>728</v>
      </c>
      <c r="CT32" s="701" t="s">
        <v>618</v>
      </c>
      <c r="CU32" s="584" t="s">
        <v>620</v>
      </c>
      <c r="CV32" s="695" t="s">
        <v>725</v>
      </c>
      <c r="CW32" s="695" t="s">
        <v>726</v>
      </c>
      <c r="CX32" s="695" t="s">
        <v>727</v>
      </c>
      <c r="CY32" s="696" t="s">
        <v>728</v>
      </c>
      <c r="CZ32" s="701" t="s">
        <v>618</v>
      </c>
      <c r="DA32" s="586" t="s">
        <v>621</v>
      </c>
      <c r="DB32" s="695" t="s">
        <v>725</v>
      </c>
      <c r="DC32" s="695" t="s">
        <v>726</v>
      </c>
      <c r="DD32" s="695" t="s">
        <v>727</v>
      </c>
      <c r="DE32" s="696" t="s">
        <v>728</v>
      </c>
      <c r="DF32" s="701" t="s">
        <v>618</v>
      </c>
      <c r="DG32" s="54"/>
      <c r="DH32" s="18" t="e">
        <f>SUMIFS(#REF!,#REF!, $B32,#REF!, $D32,#REF!, $F32)</f>
        <v>#REF!</v>
      </c>
      <c r="DI32" s="55" t="e">
        <f>COUNTIFS(#REF!, $B32,#REF!, $D32,#REF!, $F32,#REF!, "&gt;=0")</f>
        <v>#REF!</v>
      </c>
      <c r="DJ32" s="18" t="e">
        <f>COUNTIFS(#REF!, $B32,#REF!, $D32,#REF!, $F32,#REF!, "лично")</f>
        <v>#REF!</v>
      </c>
    </row>
    <row r="33" spans="1:115" ht="12" customHeight="1" x14ac:dyDescent="0.25">
      <c r="A33" s="410">
        <v>1</v>
      </c>
      <c r="B33" s="416" t="s">
        <v>76</v>
      </c>
      <c r="C33" s="412" t="s">
        <v>264</v>
      </c>
      <c r="D33" s="413"/>
      <c r="E33" s="682"/>
      <c r="F33" s="702" t="str">
        <f t="shared" ref="F33:F64" si="0">$E$28</f>
        <v>Сокращенное название</v>
      </c>
      <c r="G33" s="416" t="s">
        <v>624</v>
      </c>
      <c r="H33" s="417" t="str">
        <f>E88</f>
        <v>Фамилия_1 Имя Отчество</v>
      </c>
      <c r="I33" s="418">
        <f t="shared" ref="I33:I64" si="1">COUNTIF(N33:CA33, "&gt;1")-M33</f>
        <v>0</v>
      </c>
      <c r="J33" s="703">
        <f t="shared" ref="J33:J64" si="2">COUNTIF(O33:CB33, "&gt;1")-N33</f>
        <v>0</v>
      </c>
      <c r="K33" s="418">
        <f t="shared" ref="K33:K64" si="3">COUNTIF(P33:CC33, "&gt;1")-O33</f>
        <v>0</v>
      </c>
      <c r="L33" s="703">
        <f>U33+Z33+AE33+AJ33+AO33+AT33+AY33+BD33+BI33+BN33+BS33+BX33+CC33+CH33-P33</f>
        <v>0</v>
      </c>
      <c r="M33" s="704">
        <f t="shared" ref="M33:M64" si="4">COUNTIF(R33, "л")+COUNTIF(W33, "л")+COUNTIF(AB33, "л")+COUNTIF(AG33, "л")+COUNTIF(AL33, "л")+COUNTIF(AQ33, "л")+COUNTIF(AV33, "л")+COUNTIF(BA33, "л")+COUNTIF(BF33, "л")+COUNTIF(BK33, "л")+COUNTIF(BP33, "л")+COUNTIF(BU33, "л")+COUNTIF(BZ33, "л")+COUNTIF(CE33, "л")</f>
        <v>0</v>
      </c>
      <c r="N33" s="419">
        <f t="shared" ref="N33:N64" si="5">COUNTIF(S33, "л")+COUNTIF(X33, "л")+COUNTIF(AC33, "л")+COUNTIF(AH33, "л")+COUNTIF(AM33, "л")+COUNTIF(AR33, "л")+COUNTIF(AW33, "л")+COUNTIF(BB33, "л")+COUNTIF(BG33, "л")+COUNTIF(BL33, "л")+COUNTIF(BQ33, "л")+COUNTIF(BV33, "л")+COUNTIF(CA33, "л")+COUNTIF(CF33, "л")</f>
        <v>0</v>
      </c>
      <c r="O33" s="705">
        <f t="shared" ref="O33:O64" si="6">COUNTIF(T33, "л")+COUNTIF(Y33, "л")+COUNTIF(AD33, "л")+COUNTIF(AI33, "л")+COUNTIF(AN33, "л")+COUNTIF(AS33, "л")+COUNTIF(AX33, "л")+COUNTIF(BC33, "л")+COUNTIF(BH33, "л")+COUNTIF(BM33, "л")+COUNTIF(BR33, "л")+COUNTIF(BW33, "л")+COUNTIF(CB33, "л")+COUNTIF(CG33, "л")</f>
        <v>0</v>
      </c>
      <c r="P33" s="419">
        <f t="shared" ref="P33:P64" si="7">COUNTIF(U33, "л")+COUNTIF(Z33, "л")+COUNTIF(AE33, "л")+COUNTIF(AJ33, "л")+COUNTIF(AO33, "л")+COUNTIF(AT33, "л")+COUNTIF(AY33, "л")+COUNTIF(BD33, "л")+COUNTIF(BI33, "л")+COUNTIF(BN33, "л")+COUNTIF(BS33, "л")+COUNTIF(BX33, "л")+COUNTIF(CC33, "л")+COUNTIF(CH33, "л")</f>
        <v>0</v>
      </c>
      <c r="Q33" s="428"/>
      <c r="R33" s="706"/>
      <c r="S33" s="706"/>
      <c r="T33" s="706"/>
      <c r="U33" s="706"/>
      <c r="V33" s="429"/>
      <c r="W33" s="707"/>
      <c r="X33" s="707"/>
      <c r="Y33" s="707"/>
      <c r="Z33" s="708"/>
      <c r="AA33" s="427"/>
      <c r="AB33" s="706"/>
      <c r="AC33" s="706"/>
      <c r="AD33" s="706"/>
      <c r="AE33" s="706"/>
      <c r="AF33" s="429"/>
      <c r="AG33" s="706"/>
      <c r="AH33" s="706"/>
      <c r="AI33" s="706"/>
      <c r="AJ33" s="706"/>
      <c r="AK33" s="429"/>
      <c r="AL33" s="706"/>
      <c r="AM33" s="706"/>
      <c r="AN33" s="706"/>
      <c r="AO33" s="706"/>
      <c r="AP33" s="429"/>
      <c r="AQ33" s="706"/>
      <c r="AR33" s="706"/>
      <c r="AS33" s="706"/>
      <c r="AT33" s="706"/>
      <c r="AU33" s="429"/>
      <c r="AV33" s="706"/>
      <c r="AW33" s="706"/>
      <c r="AX33" s="706"/>
      <c r="AY33" s="706"/>
      <c r="AZ33" s="709"/>
      <c r="BA33" s="706"/>
      <c r="BB33" s="706"/>
      <c r="BC33" s="706"/>
      <c r="BD33" s="708"/>
      <c r="BE33" s="424"/>
      <c r="BF33" s="706"/>
      <c r="BG33" s="706"/>
      <c r="BH33" s="706"/>
      <c r="BI33" s="706"/>
      <c r="BJ33" s="425"/>
      <c r="BK33" s="706"/>
      <c r="BL33" s="706"/>
      <c r="BM33" s="706"/>
      <c r="BN33" s="706"/>
      <c r="BO33" s="420"/>
      <c r="BP33" s="710"/>
      <c r="BQ33" s="710"/>
      <c r="BR33" s="710"/>
      <c r="BS33" s="710"/>
      <c r="BT33" s="421"/>
      <c r="BU33" s="710"/>
      <c r="BV33" s="710"/>
      <c r="BW33" s="710"/>
      <c r="BX33" s="710"/>
      <c r="BY33" s="711"/>
      <c r="BZ33" s="710"/>
      <c r="CA33" s="710"/>
      <c r="CB33" s="710"/>
      <c r="CC33" s="710"/>
      <c r="CD33" s="712"/>
      <c r="CE33" s="710"/>
      <c r="CF33" s="710"/>
      <c r="CG33" s="710"/>
      <c r="CH33" s="710"/>
      <c r="CI33" s="427"/>
      <c r="CJ33" s="706"/>
      <c r="CK33" s="706"/>
      <c r="CL33" s="706"/>
      <c r="CM33" s="713"/>
      <c r="CN33" s="714"/>
      <c r="CO33" s="427"/>
      <c r="CP33" s="706"/>
      <c r="CQ33" s="706"/>
      <c r="CR33" s="706"/>
      <c r="CS33" s="713"/>
      <c r="CT33" s="714"/>
      <c r="CU33" s="427"/>
      <c r="CV33" s="706"/>
      <c r="CW33" s="706"/>
      <c r="CX33" s="706"/>
      <c r="CY33" s="713"/>
      <c r="CZ33" s="714"/>
      <c r="DA33" s="427"/>
      <c r="DB33" s="706"/>
      <c r="DC33" s="706"/>
      <c r="DD33" s="706"/>
      <c r="DE33" s="713"/>
      <c r="DF33" s="714"/>
      <c r="DG33" s="54"/>
      <c r="DH33" s="18" t="e">
        <f>SUMIFS(#REF!,#REF!, $C33,#REF!, $E33,#REF!, $F33)</f>
        <v>#REF!</v>
      </c>
      <c r="DI33" s="55" t="e">
        <f>COUNTIFS(#REF!, $C33,#REF!, $E33,#REF!, $F33,#REF!, "&gt;=0")</f>
        <v>#REF!</v>
      </c>
      <c r="DJ33" s="18" t="e">
        <f>COUNTIFS(#REF!, $C33,#REF!, $E33,#REF!, $F33,#REF!, "лично")</f>
        <v>#REF!</v>
      </c>
      <c r="DK33" s="364" t="s">
        <v>260</v>
      </c>
    </row>
    <row r="34" spans="1:115" ht="12" customHeight="1" x14ac:dyDescent="0.25">
      <c r="A34" s="363">
        <v>2</v>
      </c>
      <c r="B34" s="364" t="s">
        <v>76</v>
      </c>
      <c r="C34" s="365" t="s">
        <v>264</v>
      </c>
      <c r="D34" s="366"/>
      <c r="E34" s="680"/>
      <c r="F34" s="368" t="str">
        <f t="shared" si="0"/>
        <v>Сокращенное название</v>
      </c>
      <c r="G34" s="364" t="s">
        <v>624</v>
      </c>
      <c r="H34" s="369" t="str">
        <f t="shared" ref="H34:H65" si="8">H33</f>
        <v>Фамилия_1 Имя Отчество</v>
      </c>
      <c r="I34" s="370">
        <f t="shared" si="1"/>
        <v>0</v>
      </c>
      <c r="J34" s="715">
        <f t="shared" si="2"/>
        <v>0</v>
      </c>
      <c r="K34" s="370">
        <f t="shared" si="3"/>
        <v>0</v>
      </c>
      <c r="L34" s="715">
        <f>COUNTIF(U34, "=1")+Z34+AE34+AJ34+AO34+AT34+AY34+BD34+BI34+BN34+BS34+BX34+CC34+CH34</f>
        <v>3</v>
      </c>
      <c r="M34" s="716">
        <f t="shared" si="4"/>
        <v>0</v>
      </c>
      <c r="N34" s="371">
        <f t="shared" si="5"/>
        <v>0</v>
      </c>
      <c r="O34" s="717">
        <f t="shared" si="6"/>
        <v>0</v>
      </c>
      <c r="P34" s="371">
        <f t="shared" si="7"/>
        <v>1</v>
      </c>
      <c r="Q34" s="375"/>
      <c r="R34" s="718">
        <v>1</v>
      </c>
      <c r="S34" s="718">
        <v>1</v>
      </c>
      <c r="T34" s="718">
        <v>1</v>
      </c>
      <c r="U34" s="718" t="s">
        <v>729</v>
      </c>
      <c r="V34" s="373"/>
      <c r="W34" s="719">
        <v>1</v>
      </c>
      <c r="X34" s="719">
        <v>1</v>
      </c>
      <c r="Y34" s="719">
        <v>1</v>
      </c>
      <c r="Z34" s="720">
        <v>1</v>
      </c>
      <c r="AA34" s="372">
        <v>1</v>
      </c>
      <c r="AB34" s="718">
        <v>1</v>
      </c>
      <c r="AC34" s="718">
        <v>1</v>
      </c>
      <c r="AD34" s="718">
        <v>1</v>
      </c>
      <c r="AE34" s="718">
        <v>1</v>
      </c>
      <c r="AF34" s="373">
        <v>1</v>
      </c>
      <c r="AG34" s="718">
        <v>1</v>
      </c>
      <c r="AH34" s="718">
        <v>1</v>
      </c>
      <c r="AI34" s="718">
        <v>1</v>
      </c>
      <c r="AJ34" s="718">
        <v>1</v>
      </c>
      <c r="AK34" s="373">
        <v>1</v>
      </c>
      <c r="AL34" s="718">
        <v>1</v>
      </c>
      <c r="AM34" s="718">
        <v>1</v>
      </c>
      <c r="AN34" s="718">
        <v>1</v>
      </c>
      <c r="AO34" s="718"/>
      <c r="AP34" s="373"/>
      <c r="AQ34" s="718"/>
      <c r="AR34" s="718"/>
      <c r="AS34" s="718"/>
      <c r="AT34" s="718"/>
      <c r="AU34" s="373"/>
      <c r="AV34" s="718"/>
      <c r="AW34" s="718"/>
      <c r="AX34" s="718"/>
      <c r="AY34" s="718"/>
      <c r="AZ34" s="376"/>
      <c r="BA34" s="718"/>
      <c r="BB34" s="718"/>
      <c r="BC34" s="718"/>
      <c r="BD34" s="720"/>
      <c r="BE34" s="378"/>
      <c r="BF34" s="718"/>
      <c r="BG34" s="718"/>
      <c r="BH34" s="718"/>
      <c r="BI34" s="718"/>
      <c r="BJ34" s="379"/>
      <c r="BK34" s="718"/>
      <c r="BL34" s="718"/>
      <c r="BM34" s="718"/>
      <c r="BN34" s="718"/>
      <c r="BO34" s="372"/>
      <c r="BP34" s="718"/>
      <c r="BQ34" s="718"/>
      <c r="BR34" s="718"/>
      <c r="BS34" s="718"/>
      <c r="BT34" s="373"/>
      <c r="BU34" s="718"/>
      <c r="BV34" s="718"/>
      <c r="BW34" s="718"/>
      <c r="BX34" s="718"/>
      <c r="BY34" s="380"/>
      <c r="BZ34" s="718"/>
      <c r="CA34" s="718"/>
      <c r="CB34" s="718"/>
      <c r="CC34" s="718"/>
      <c r="CD34" s="382"/>
      <c r="CE34" s="718"/>
      <c r="CF34" s="718"/>
      <c r="CG34" s="718"/>
      <c r="CH34" s="718"/>
      <c r="CI34" s="372"/>
      <c r="CJ34" s="718"/>
      <c r="CK34" s="718"/>
      <c r="CL34" s="718"/>
      <c r="CM34" s="721"/>
      <c r="CN34" s="722"/>
      <c r="CO34" s="372"/>
      <c r="CP34" s="718"/>
      <c r="CQ34" s="718"/>
      <c r="CR34" s="718"/>
      <c r="CS34" s="721"/>
      <c r="CT34" s="722"/>
      <c r="CU34" s="372"/>
      <c r="CV34" s="718"/>
      <c r="CW34" s="718"/>
      <c r="CX34" s="718"/>
      <c r="CY34" s="721"/>
      <c r="CZ34" s="722"/>
      <c r="DA34" s="372"/>
      <c r="DB34" s="718"/>
      <c r="DC34" s="718"/>
      <c r="DD34" s="718"/>
      <c r="DE34" s="721"/>
      <c r="DF34" s="722"/>
      <c r="DG34" s="54"/>
      <c r="DH34" s="18" t="e">
        <f>SUMIFS(#REF!,#REF!, $C34,#REF!, $E34,#REF!, $F34)</f>
        <v>#REF!</v>
      </c>
      <c r="DI34" s="55" t="e">
        <f>COUNTIFS(#REF!, $C34,#REF!, $E34,#REF!, $F34,#REF!, "&gt;=0")</f>
        <v>#REF!</v>
      </c>
      <c r="DJ34" s="18" t="e">
        <f>COUNTIFS(#REF!, $C34,#REF!, $E34,#REF!, $F34,#REF!, "лично")</f>
        <v>#REF!</v>
      </c>
      <c r="DK34" s="364" t="s">
        <v>260</v>
      </c>
    </row>
    <row r="35" spans="1:115" ht="12" customHeight="1" x14ac:dyDescent="0.25">
      <c r="A35" s="363">
        <v>3</v>
      </c>
      <c r="B35" s="364" t="s">
        <v>260</v>
      </c>
      <c r="C35" s="365" t="s">
        <v>264</v>
      </c>
      <c r="D35" s="366"/>
      <c r="E35" s="680"/>
      <c r="F35" s="368" t="str">
        <f t="shared" si="0"/>
        <v>Сокращенное название</v>
      </c>
      <c r="G35" s="364" t="s">
        <v>624</v>
      </c>
      <c r="H35" s="369" t="str">
        <f t="shared" si="8"/>
        <v>Фамилия_1 Имя Отчество</v>
      </c>
      <c r="I35" s="370">
        <f t="shared" si="1"/>
        <v>0</v>
      </c>
      <c r="J35" s="715">
        <f t="shared" si="2"/>
        <v>0</v>
      </c>
      <c r="K35" s="370">
        <f t="shared" si="3"/>
        <v>0</v>
      </c>
      <c r="L35" s="715">
        <f t="shared" ref="L35:L82" si="9">U35+Z35+AE35+AJ35+AO35+AT35+AY35+BD35+BI35+BN35+BS35+BX35+CC35+CH35-P35</f>
        <v>0</v>
      </c>
      <c r="M35" s="716">
        <f t="shared" si="4"/>
        <v>0</v>
      </c>
      <c r="N35" s="371">
        <f t="shared" si="5"/>
        <v>0</v>
      </c>
      <c r="O35" s="717">
        <f t="shared" si="6"/>
        <v>0</v>
      </c>
      <c r="P35" s="371">
        <f t="shared" si="7"/>
        <v>0</v>
      </c>
      <c r="Q35" s="375"/>
      <c r="R35" s="718"/>
      <c r="S35" s="718"/>
      <c r="T35" s="718"/>
      <c r="U35" s="718"/>
      <c r="V35" s="373"/>
      <c r="W35" s="719"/>
      <c r="X35" s="719"/>
      <c r="Y35" s="719"/>
      <c r="Z35" s="720"/>
      <c r="AA35" s="372"/>
      <c r="AB35" s="718"/>
      <c r="AC35" s="718"/>
      <c r="AD35" s="718"/>
      <c r="AE35" s="718"/>
      <c r="AF35" s="373"/>
      <c r="AG35" s="718"/>
      <c r="AH35" s="718"/>
      <c r="AI35" s="718"/>
      <c r="AJ35" s="718"/>
      <c r="AK35" s="373"/>
      <c r="AL35" s="718"/>
      <c r="AM35" s="718"/>
      <c r="AN35" s="718"/>
      <c r="AO35" s="718"/>
      <c r="AP35" s="373"/>
      <c r="AQ35" s="718"/>
      <c r="AR35" s="718"/>
      <c r="AS35" s="718"/>
      <c r="AT35" s="718"/>
      <c r="AU35" s="373"/>
      <c r="AV35" s="718"/>
      <c r="AW35" s="718"/>
      <c r="AX35" s="718"/>
      <c r="AY35" s="718"/>
      <c r="AZ35" s="376"/>
      <c r="BA35" s="718"/>
      <c r="BB35" s="718"/>
      <c r="BC35" s="718"/>
      <c r="BD35" s="720"/>
      <c r="BE35" s="378"/>
      <c r="BF35" s="718"/>
      <c r="BG35" s="718"/>
      <c r="BH35" s="718"/>
      <c r="BI35" s="718"/>
      <c r="BJ35" s="379"/>
      <c r="BK35" s="718"/>
      <c r="BL35" s="718"/>
      <c r="BM35" s="718"/>
      <c r="BN35" s="718"/>
      <c r="BO35" s="372"/>
      <c r="BP35" s="718"/>
      <c r="BQ35" s="718"/>
      <c r="BR35" s="718"/>
      <c r="BS35" s="718"/>
      <c r="BT35" s="373"/>
      <c r="BU35" s="718"/>
      <c r="BV35" s="718"/>
      <c r="BW35" s="718"/>
      <c r="BX35" s="718"/>
      <c r="BY35" s="380"/>
      <c r="BZ35" s="718"/>
      <c r="CA35" s="718"/>
      <c r="CB35" s="718"/>
      <c r="CC35" s="718"/>
      <c r="CD35" s="382"/>
      <c r="CE35" s="718"/>
      <c r="CF35" s="718"/>
      <c r="CG35" s="718"/>
      <c r="CH35" s="718"/>
      <c r="CI35" s="372"/>
      <c r="CJ35" s="718"/>
      <c r="CK35" s="718"/>
      <c r="CL35" s="718"/>
      <c r="CM35" s="721"/>
      <c r="CN35" s="722"/>
      <c r="CO35" s="372"/>
      <c r="CP35" s="718"/>
      <c r="CQ35" s="718"/>
      <c r="CR35" s="718"/>
      <c r="CS35" s="721"/>
      <c r="CT35" s="722"/>
      <c r="CU35" s="372"/>
      <c r="CV35" s="718"/>
      <c r="CW35" s="718"/>
      <c r="CX35" s="718"/>
      <c r="CY35" s="721"/>
      <c r="CZ35" s="722"/>
      <c r="DA35" s="372"/>
      <c r="DB35" s="718"/>
      <c r="DC35" s="718"/>
      <c r="DD35" s="718"/>
      <c r="DE35" s="721"/>
      <c r="DF35" s="722"/>
      <c r="DG35" s="54"/>
      <c r="DH35" s="18" t="e">
        <f>SUMIFS(#REF!,#REF!, $C35,#REF!, $E35,#REF!, $F35)</f>
        <v>#REF!</v>
      </c>
      <c r="DI35" s="55" t="e">
        <f>COUNTIFS(#REF!, $C35,#REF!, $E35,#REF!, $F35,#REF!, "&gt;=0")</f>
        <v>#REF!</v>
      </c>
      <c r="DJ35" s="18" t="e">
        <f>COUNTIFS(#REF!, $C35,#REF!, $E35,#REF!, $F35,#REF!, "лично")</f>
        <v>#REF!</v>
      </c>
      <c r="DK35" s="364" t="s">
        <v>261</v>
      </c>
    </row>
    <row r="36" spans="1:115" ht="12" customHeight="1" x14ac:dyDescent="0.25">
      <c r="A36" s="363">
        <v>4</v>
      </c>
      <c r="B36" s="364" t="s">
        <v>261</v>
      </c>
      <c r="C36" s="365" t="s">
        <v>264</v>
      </c>
      <c r="D36" s="366"/>
      <c r="E36" s="680"/>
      <c r="F36" s="368" t="str">
        <f t="shared" si="0"/>
        <v>Сокращенное название</v>
      </c>
      <c r="G36" s="364" t="s">
        <v>624</v>
      </c>
      <c r="H36" s="369" t="str">
        <f t="shared" si="8"/>
        <v>Фамилия_1 Имя Отчество</v>
      </c>
      <c r="I36" s="370">
        <f t="shared" si="1"/>
        <v>0</v>
      </c>
      <c r="J36" s="715">
        <f t="shared" si="2"/>
        <v>0</v>
      </c>
      <c r="K36" s="370">
        <f t="shared" si="3"/>
        <v>0</v>
      </c>
      <c r="L36" s="715">
        <f t="shared" si="9"/>
        <v>0</v>
      </c>
      <c r="M36" s="716">
        <f t="shared" si="4"/>
        <v>0</v>
      </c>
      <c r="N36" s="371">
        <f t="shared" si="5"/>
        <v>0</v>
      </c>
      <c r="O36" s="717">
        <f t="shared" si="6"/>
        <v>0</v>
      </c>
      <c r="P36" s="371">
        <f t="shared" si="7"/>
        <v>0</v>
      </c>
      <c r="Q36" s="375"/>
      <c r="R36" s="718"/>
      <c r="S36" s="718"/>
      <c r="T36" s="718"/>
      <c r="U36" s="718"/>
      <c r="V36" s="373"/>
      <c r="W36" s="719"/>
      <c r="X36" s="719"/>
      <c r="Y36" s="719"/>
      <c r="Z36" s="720"/>
      <c r="AA36" s="372"/>
      <c r="AB36" s="718"/>
      <c r="AC36" s="718"/>
      <c r="AD36" s="718"/>
      <c r="AE36" s="718"/>
      <c r="AF36" s="373"/>
      <c r="AG36" s="718"/>
      <c r="AH36" s="718"/>
      <c r="AI36" s="718"/>
      <c r="AJ36" s="718"/>
      <c r="AK36" s="373"/>
      <c r="AL36" s="718"/>
      <c r="AM36" s="718"/>
      <c r="AN36" s="718"/>
      <c r="AO36" s="718"/>
      <c r="AP36" s="373"/>
      <c r="AQ36" s="718"/>
      <c r="AR36" s="718"/>
      <c r="AS36" s="718"/>
      <c r="AT36" s="718"/>
      <c r="AU36" s="373"/>
      <c r="AV36" s="718"/>
      <c r="AW36" s="718"/>
      <c r="AX36" s="718"/>
      <c r="AY36" s="718"/>
      <c r="AZ36" s="376"/>
      <c r="BA36" s="718"/>
      <c r="BB36" s="718"/>
      <c r="BC36" s="718"/>
      <c r="BD36" s="720"/>
      <c r="BE36" s="378"/>
      <c r="BF36" s="718"/>
      <c r="BG36" s="718"/>
      <c r="BH36" s="718"/>
      <c r="BI36" s="718"/>
      <c r="BJ36" s="379"/>
      <c r="BK36" s="718"/>
      <c r="BL36" s="718"/>
      <c r="BM36" s="718"/>
      <c r="BN36" s="718"/>
      <c r="BO36" s="372"/>
      <c r="BP36" s="718"/>
      <c r="BQ36" s="718"/>
      <c r="BR36" s="718"/>
      <c r="BS36" s="718"/>
      <c r="BT36" s="373"/>
      <c r="BU36" s="718"/>
      <c r="BV36" s="718"/>
      <c r="BW36" s="718"/>
      <c r="BX36" s="718"/>
      <c r="BY36" s="380"/>
      <c r="BZ36" s="718"/>
      <c r="CA36" s="718"/>
      <c r="CB36" s="718"/>
      <c r="CC36" s="718"/>
      <c r="CD36" s="382"/>
      <c r="CE36" s="718"/>
      <c r="CF36" s="718"/>
      <c r="CG36" s="718"/>
      <c r="CH36" s="718"/>
      <c r="CI36" s="372"/>
      <c r="CJ36" s="718"/>
      <c r="CK36" s="718"/>
      <c r="CL36" s="718"/>
      <c r="CM36" s="721"/>
      <c r="CN36" s="722"/>
      <c r="CO36" s="372"/>
      <c r="CP36" s="718"/>
      <c r="CQ36" s="718"/>
      <c r="CR36" s="718"/>
      <c r="CS36" s="721"/>
      <c r="CT36" s="722"/>
      <c r="CU36" s="372"/>
      <c r="CV36" s="718"/>
      <c r="CW36" s="718"/>
      <c r="CX36" s="718"/>
      <c r="CY36" s="721"/>
      <c r="CZ36" s="722"/>
      <c r="DA36" s="372"/>
      <c r="DB36" s="718"/>
      <c r="DC36" s="718"/>
      <c r="DD36" s="718"/>
      <c r="DE36" s="721"/>
      <c r="DF36" s="722"/>
      <c r="DG36" s="54"/>
      <c r="DH36" s="18" t="e">
        <f>SUMIFS(#REF!,#REF!, $C36,#REF!, $E36,#REF!, $F36)</f>
        <v>#REF!</v>
      </c>
      <c r="DI36" s="55" t="e">
        <f>COUNTIFS(#REF!, $C36,#REF!, $E36,#REF!, $F36,#REF!, "&gt;=0")</f>
        <v>#REF!</v>
      </c>
      <c r="DJ36" s="18" t="e">
        <f>COUNTIFS(#REF!, $C36,#REF!, $E36,#REF!, $F36,#REF!, "лично")</f>
        <v>#REF!</v>
      </c>
      <c r="DK36" s="364" t="s">
        <v>262</v>
      </c>
    </row>
    <row r="37" spans="1:115" ht="12" customHeight="1" x14ac:dyDescent="0.25">
      <c r="A37" s="363">
        <v>5</v>
      </c>
      <c r="B37" s="364" t="s">
        <v>262</v>
      </c>
      <c r="C37" s="365" t="s">
        <v>264</v>
      </c>
      <c r="D37" s="366"/>
      <c r="E37" s="680"/>
      <c r="F37" s="368" t="str">
        <f t="shared" si="0"/>
        <v>Сокращенное название</v>
      </c>
      <c r="G37" s="364" t="s">
        <v>624</v>
      </c>
      <c r="H37" s="369" t="str">
        <f t="shared" si="8"/>
        <v>Фамилия_1 Имя Отчество</v>
      </c>
      <c r="I37" s="370">
        <f t="shared" si="1"/>
        <v>0</v>
      </c>
      <c r="J37" s="715">
        <f t="shared" si="2"/>
        <v>0</v>
      </c>
      <c r="K37" s="370">
        <f t="shared" si="3"/>
        <v>0</v>
      </c>
      <c r="L37" s="715">
        <f t="shared" si="9"/>
        <v>0</v>
      </c>
      <c r="M37" s="716">
        <f t="shared" si="4"/>
        <v>0</v>
      </c>
      <c r="N37" s="371">
        <f t="shared" si="5"/>
        <v>0</v>
      </c>
      <c r="O37" s="717">
        <f t="shared" si="6"/>
        <v>0</v>
      </c>
      <c r="P37" s="371">
        <f t="shared" si="7"/>
        <v>0</v>
      </c>
      <c r="Q37" s="375"/>
      <c r="R37" s="718"/>
      <c r="S37" s="718"/>
      <c r="T37" s="718"/>
      <c r="U37" s="718"/>
      <c r="V37" s="373"/>
      <c r="W37" s="719"/>
      <c r="X37" s="719"/>
      <c r="Y37" s="719"/>
      <c r="Z37" s="720"/>
      <c r="AA37" s="372"/>
      <c r="AB37" s="718"/>
      <c r="AC37" s="718"/>
      <c r="AD37" s="718"/>
      <c r="AE37" s="718"/>
      <c r="AF37" s="373"/>
      <c r="AG37" s="718"/>
      <c r="AH37" s="718"/>
      <c r="AI37" s="718"/>
      <c r="AJ37" s="718"/>
      <c r="AK37" s="373"/>
      <c r="AL37" s="718"/>
      <c r="AM37" s="718"/>
      <c r="AN37" s="718"/>
      <c r="AO37" s="718"/>
      <c r="AP37" s="373"/>
      <c r="AQ37" s="718"/>
      <c r="AR37" s="718"/>
      <c r="AS37" s="718"/>
      <c r="AT37" s="718"/>
      <c r="AU37" s="373"/>
      <c r="AV37" s="718"/>
      <c r="AW37" s="718"/>
      <c r="AX37" s="718"/>
      <c r="AY37" s="718"/>
      <c r="AZ37" s="376"/>
      <c r="BA37" s="718"/>
      <c r="BB37" s="718"/>
      <c r="BC37" s="718"/>
      <c r="BD37" s="720"/>
      <c r="BE37" s="378"/>
      <c r="BF37" s="718"/>
      <c r="BG37" s="718"/>
      <c r="BH37" s="718"/>
      <c r="BI37" s="718"/>
      <c r="BJ37" s="379"/>
      <c r="BK37" s="718"/>
      <c r="BL37" s="718"/>
      <c r="BM37" s="718"/>
      <c r="BN37" s="718"/>
      <c r="BO37" s="372"/>
      <c r="BP37" s="718"/>
      <c r="BQ37" s="718"/>
      <c r="BR37" s="718"/>
      <c r="BS37" s="718"/>
      <c r="BT37" s="373"/>
      <c r="BU37" s="718"/>
      <c r="BV37" s="718"/>
      <c r="BW37" s="718"/>
      <c r="BX37" s="718"/>
      <c r="BY37" s="380"/>
      <c r="BZ37" s="718"/>
      <c r="CA37" s="718"/>
      <c r="CB37" s="718"/>
      <c r="CC37" s="718"/>
      <c r="CD37" s="382"/>
      <c r="CE37" s="718"/>
      <c r="CF37" s="718"/>
      <c r="CG37" s="718"/>
      <c r="CH37" s="718"/>
      <c r="CI37" s="372"/>
      <c r="CJ37" s="718"/>
      <c r="CK37" s="718"/>
      <c r="CL37" s="718"/>
      <c r="CM37" s="721"/>
      <c r="CN37" s="722"/>
      <c r="CO37" s="372"/>
      <c r="CP37" s="718"/>
      <c r="CQ37" s="718"/>
      <c r="CR37" s="718"/>
      <c r="CS37" s="721"/>
      <c r="CT37" s="722"/>
      <c r="CU37" s="372"/>
      <c r="CV37" s="718"/>
      <c r="CW37" s="718"/>
      <c r="CX37" s="718"/>
      <c r="CY37" s="721"/>
      <c r="CZ37" s="722"/>
      <c r="DA37" s="372"/>
      <c r="DB37" s="718"/>
      <c r="DC37" s="718"/>
      <c r="DD37" s="718"/>
      <c r="DE37" s="721"/>
      <c r="DF37" s="722"/>
      <c r="DG37" s="54"/>
      <c r="DH37" s="18" t="e">
        <f>SUMIFS(#REF!,#REF!, $C37,#REF!, $E37,#REF!, $F37)</f>
        <v>#REF!</v>
      </c>
      <c r="DI37" s="55" t="e">
        <f>COUNTIFS(#REF!, $C37,#REF!, $E37,#REF!, $F37,#REF!, "&gt;=0")</f>
        <v>#REF!</v>
      </c>
      <c r="DJ37" s="18" t="e">
        <f>COUNTIFS(#REF!, $C37,#REF!, $E37,#REF!, $F37,#REF!, "лично")</f>
        <v>#REF!</v>
      </c>
      <c r="DK37" s="364" t="s">
        <v>79</v>
      </c>
    </row>
    <row r="38" spans="1:115" ht="12" customHeight="1" x14ac:dyDescent="0.25">
      <c r="A38" s="363">
        <v>6</v>
      </c>
      <c r="B38" s="364" t="s">
        <v>79</v>
      </c>
      <c r="C38" s="365" t="s">
        <v>264</v>
      </c>
      <c r="D38" s="366"/>
      <c r="E38" s="680"/>
      <c r="F38" s="368" t="str">
        <f t="shared" si="0"/>
        <v>Сокращенное название</v>
      </c>
      <c r="G38" s="364" t="s">
        <v>624</v>
      </c>
      <c r="H38" s="369" t="str">
        <f t="shared" si="8"/>
        <v>Фамилия_1 Имя Отчество</v>
      </c>
      <c r="I38" s="370">
        <f t="shared" si="1"/>
        <v>0</v>
      </c>
      <c r="J38" s="715">
        <f t="shared" si="2"/>
        <v>0</v>
      </c>
      <c r="K38" s="370">
        <f t="shared" si="3"/>
        <v>0</v>
      </c>
      <c r="L38" s="715">
        <f t="shared" si="9"/>
        <v>0</v>
      </c>
      <c r="M38" s="716">
        <f t="shared" si="4"/>
        <v>0</v>
      </c>
      <c r="N38" s="371">
        <f t="shared" si="5"/>
        <v>0</v>
      </c>
      <c r="O38" s="717">
        <f t="shared" si="6"/>
        <v>0</v>
      </c>
      <c r="P38" s="371">
        <f t="shared" si="7"/>
        <v>0</v>
      </c>
      <c r="Q38" s="375"/>
      <c r="R38" s="718"/>
      <c r="S38" s="718"/>
      <c r="T38" s="718"/>
      <c r="U38" s="718"/>
      <c r="V38" s="373"/>
      <c r="W38" s="719"/>
      <c r="X38" s="719"/>
      <c r="Y38" s="719"/>
      <c r="Z38" s="720"/>
      <c r="AA38" s="372"/>
      <c r="AB38" s="718"/>
      <c r="AC38" s="718"/>
      <c r="AD38" s="718"/>
      <c r="AE38" s="718"/>
      <c r="AF38" s="373"/>
      <c r="AG38" s="718"/>
      <c r="AH38" s="718"/>
      <c r="AI38" s="718"/>
      <c r="AJ38" s="718"/>
      <c r="AK38" s="373"/>
      <c r="AL38" s="718"/>
      <c r="AM38" s="718"/>
      <c r="AN38" s="718"/>
      <c r="AO38" s="718"/>
      <c r="AP38" s="373"/>
      <c r="AQ38" s="718"/>
      <c r="AR38" s="718"/>
      <c r="AS38" s="718"/>
      <c r="AT38" s="718"/>
      <c r="AU38" s="373"/>
      <c r="AV38" s="718"/>
      <c r="AW38" s="718"/>
      <c r="AX38" s="718"/>
      <c r="AY38" s="718"/>
      <c r="AZ38" s="376"/>
      <c r="BA38" s="718"/>
      <c r="BB38" s="718"/>
      <c r="BC38" s="718"/>
      <c r="BD38" s="720"/>
      <c r="BE38" s="378"/>
      <c r="BF38" s="718"/>
      <c r="BG38" s="718"/>
      <c r="BH38" s="718"/>
      <c r="BI38" s="718"/>
      <c r="BJ38" s="379"/>
      <c r="BK38" s="718"/>
      <c r="BL38" s="718"/>
      <c r="BM38" s="718"/>
      <c r="BN38" s="718"/>
      <c r="BO38" s="372"/>
      <c r="BP38" s="718"/>
      <c r="BQ38" s="718"/>
      <c r="BR38" s="718"/>
      <c r="BS38" s="718"/>
      <c r="BT38" s="373"/>
      <c r="BU38" s="718"/>
      <c r="BV38" s="718"/>
      <c r="BW38" s="718"/>
      <c r="BX38" s="718"/>
      <c r="BY38" s="380"/>
      <c r="BZ38" s="718"/>
      <c r="CA38" s="718"/>
      <c r="CB38" s="718"/>
      <c r="CC38" s="718"/>
      <c r="CD38" s="382"/>
      <c r="CE38" s="718"/>
      <c r="CF38" s="718"/>
      <c r="CG38" s="718"/>
      <c r="CH38" s="718"/>
      <c r="CI38" s="372"/>
      <c r="CJ38" s="718"/>
      <c r="CK38" s="718"/>
      <c r="CL38" s="718"/>
      <c r="CM38" s="721"/>
      <c r="CN38" s="722"/>
      <c r="CO38" s="372"/>
      <c r="CP38" s="718"/>
      <c r="CQ38" s="718"/>
      <c r="CR38" s="718"/>
      <c r="CS38" s="721"/>
      <c r="CT38" s="722"/>
      <c r="CU38" s="372"/>
      <c r="CV38" s="718"/>
      <c r="CW38" s="718"/>
      <c r="CX38" s="718"/>
      <c r="CY38" s="721"/>
      <c r="CZ38" s="722"/>
      <c r="DA38" s="372"/>
      <c r="DB38" s="718"/>
      <c r="DC38" s="718"/>
      <c r="DD38" s="718"/>
      <c r="DE38" s="721"/>
      <c r="DF38" s="722"/>
      <c r="DG38" s="54"/>
      <c r="DH38" s="18" t="e">
        <f>SUMIFS(#REF!,#REF!, $C38,#REF!, $E38,#REF!, $F38)</f>
        <v>#REF!</v>
      </c>
      <c r="DI38" s="55" t="e">
        <f>COUNTIFS(#REF!, $C38,#REF!, $E38,#REF!, $F38,#REF!, "&gt;=0")</f>
        <v>#REF!</v>
      </c>
      <c r="DJ38" s="18" t="e">
        <f>COUNTIFS(#REF!, $C38,#REF!, $E38,#REF!, $F38,#REF!, "лично")</f>
        <v>#REF!</v>
      </c>
      <c r="DK38" s="364" t="s">
        <v>76</v>
      </c>
    </row>
    <row r="39" spans="1:115" ht="12" customHeight="1" x14ac:dyDescent="0.25">
      <c r="A39" s="363">
        <v>7</v>
      </c>
      <c r="B39" s="364" t="s">
        <v>76</v>
      </c>
      <c r="C39" s="365" t="s">
        <v>264</v>
      </c>
      <c r="D39" s="366"/>
      <c r="E39" s="680"/>
      <c r="F39" s="368" t="str">
        <f t="shared" si="0"/>
        <v>Сокращенное название</v>
      </c>
      <c r="G39" s="364" t="s">
        <v>624</v>
      </c>
      <c r="H39" s="369" t="str">
        <f t="shared" si="8"/>
        <v>Фамилия_1 Имя Отчество</v>
      </c>
      <c r="I39" s="370">
        <f t="shared" si="1"/>
        <v>0</v>
      </c>
      <c r="J39" s="715">
        <f t="shared" si="2"/>
        <v>0</v>
      </c>
      <c r="K39" s="370">
        <f t="shared" si="3"/>
        <v>0</v>
      </c>
      <c r="L39" s="715">
        <f t="shared" si="9"/>
        <v>0</v>
      </c>
      <c r="M39" s="716">
        <f t="shared" si="4"/>
        <v>0</v>
      </c>
      <c r="N39" s="371">
        <f t="shared" si="5"/>
        <v>0</v>
      </c>
      <c r="O39" s="717">
        <f t="shared" si="6"/>
        <v>0</v>
      </c>
      <c r="P39" s="371">
        <f t="shared" si="7"/>
        <v>0</v>
      </c>
      <c r="Q39" s="375"/>
      <c r="R39" s="718"/>
      <c r="S39" s="718"/>
      <c r="T39" s="718"/>
      <c r="U39" s="718"/>
      <c r="V39" s="373"/>
      <c r="W39" s="719"/>
      <c r="X39" s="719"/>
      <c r="Y39" s="719"/>
      <c r="Z39" s="720"/>
      <c r="AA39" s="372"/>
      <c r="AB39" s="718"/>
      <c r="AC39" s="718"/>
      <c r="AD39" s="718"/>
      <c r="AE39" s="718"/>
      <c r="AF39" s="373"/>
      <c r="AG39" s="718"/>
      <c r="AH39" s="718"/>
      <c r="AI39" s="718"/>
      <c r="AJ39" s="718"/>
      <c r="AK39" s="373"/>
      <c r="AL39" s="718"/>
      <c r="AM39" s="718"/>
      <c r="AN39" s="718"/>
      <c r="AO39" s="718"/>
      <c r="AP39" s="373"/>
      <c r="AQ39" s="718"/>
      <c r="AR39" s="718"/>
      <c r="AS39" s="718"/>
      <c r="AT39" s="718"/>
      <c r="AU39" s="373"/>
      <c r="AV39" s="718"/>
      <c r="AW39" s="718"/>
      <c r="AX39" s="718"/>
      <c r="AY39" s="718"/>
      <c r="AZ39" s="376"/>
      <c r="BA39" s="718"/>
      <c r="BB39" s="718"/>
      <c r="BC39" s="718"/>
      <c r="BD39" s="720"/>
      <c r="BE39" s="378"/>
      <c r="BF39" s="718"/>
      <c r="BG39" s="718"/>
      <c r="BH39" s="718"/>
      <c r="BI39" s="718"/>
      <c r="BJ39" s="379"/>
      <c r="BK39" s="718"/>
      <c r="BL39" s="718"/>
      <c r="BM39" s="718"/>
      <c r="BN39" s="718"/>
      <c r="BO39" s="372"/>
      <c r="BP39" s="718"/>
      <c r="BQ39" s="718"/>
      <c r="BR39" s="718"/>
      <c r="BS39" s="718"/>
      <c r="BT39" s="373"/>
      <c r="BU39" s="718"/>
      <c r="BV39" s="718"/>
      <c r="BW39" s="718"/>
      <c r="BX39" s="718"/>
      <c r="BY39" s="380"/>
      <c r="BZ39" s="718"/>
      <c r="CA39" s="718"/>
      <c r="CB39" s="718"/>
      <c r="CC39" s="718"/>
      <c r="CD39" s="382"/>
      <c r="CE39" s="718"/>
      <c r="CF39" s="718"/>
      <c r="CG39" s="718"/>
      <c r="CH39" s="718"/>
      <c r="CI39" s="372"/>
      <c r="CJ39" s="718"/>
      <c r="CK39" s="718"/>
      <c r="CL39" s="718"/>
      <c r="CM39" s="721"/>
      <c r="CN39" s="722"/>
      <c r="CO39" s="372"/>
      <c r="CP39" s="718"/>
      <c r="CQ39" s="718"/>
      <c r="CR39" s="718"/>
      <c r="CS39" s="721"/>
      <c r="CT39" s="722"/>
      <c r="CU39" s="372"/>
      <c r="CV39" s="718"/>
      <c r="CW39" s="718"/>
      <c r="CX39" s="718"/>
      <c r="CY39" s="721"/>
      <c r="CZ39" s="722"/>
      <c r="DA39" s="372"/>
      <c r="DB39" s="718"/>
      <c r="DC39" s="718"/>
      <c r="DD39" s="718"/>
      <c r="DE39" s="721"/>
      <c r="DF39" s="722"/>
      <c r="DG39" s="54"/>
      <c r="DH39" s="18" t="e">
        <f>SUMIFS(#REF!,#REF!, $C39,#REF!, $E39,#REF!, $F39)</f>
        <v>#REF!</v>
      </c>
      <c r="DI39" s="55" t="e">
        <f>COUNTIFS(#REF!, $C39,#REF!, $E39,#REF!, $F39,#REF!, "&gt;=0")</f>
        <v>#REF!</v>
      </c>
      <c r="DJ39" s="18" t="e">
        <f>COUNTIFS(#REF!, $C39,#REF!, $E39,#REF!, $F39,#REF!, "лично")</f>
        <v>#REF!</v>
      </c>
      <c r="DK39" s="364" t="s">
        <v>84</v>
      </c>
    </row>
    <row r="40" spans="1:115" ht="12" customHeight="1" x14ac:dyDescent="0.25">
      <c r="A40" s="363">
        <v>8</v>
      </c>
      <c r="B40" s="364" t="s">
        <v>76</v>
      </c>
      <c r="C40" s="365" t="s">
        <v>264</v>
      </c>
      <c r="D40" s="366"/>
      <c r="E40" s="680"/>
      <c r="F40" s="368" t="str">
        <f t="shared" si="0"/>
        <v>Сокращенное название</v>
      </c>
      <c r="G40" s="364" t="s">
        <v>624</v>
      </c>
      <c r="H40" s="369" t="str">
        <f t="shared" si="8"/>
        <v>Фамилия_1 Имя Отчество</v>
      </c>
      <c r="I40" s="370">
        <f t="shared" si="1"/>
        <v>0</v>
      </c>
      <c r="J40" s="715">
        <f t="shared" si="2"/>
        <v>0</v>
      </c>
      <c r="K40" s="370">
        <f t="shared" si="3"/>
        <v>0</v>
      </c>
      <c r="L40" s="715">
        <f t="shared" si="9"/>
        <v>0</v>
      </c>
      <c r="M40" s="716">
        <f t="shared" si="4"/>
        <v>0</v>
      </c>
      <c r="N40" s="371">
        <f t="shared" si="5"/>
        <v>0</v>
      </c>
      <c r="O40" s="717">
        <f t="shared" si="6"/>
        <v>0</v>
      </c>
      <c r="P40" s="371">
        <f t="shared" si="7"/>
        <v>0</v>
      </c>
      <c r="Q40" s="375"/>
      <c r="R40" s="718"/>
      <c r="S40" s="718"/>
      <c r="T40" s="718"/>
      <c r="U40" s="718"/>
      <c r="V40" s="373"/>
      <c r="W40" s="719"/>
      <c r="X40" s="719"/>
      <c r="Y40" s="719"/>
      <c r="Z40" s="720"/>
      <c r="AA40" s="372"/>
      <c r="AB40" s="718"/>
      <c r="AC40" s="718"/>
      <c r="AD40" s="718"/>
      <c r="AE40" s="718"/>
      <c r="AF40" s="373"/>
      <c r="AG40" s="718"/>
      <c r="AH40" s="718"/>
      <c r="AI40" s="718"/>
      <c r="AJ40" s="718"/>
      <c r="AK40" s="373"/>
      <c r="AL40" s="718"/>
      <c r="AM40" s="718"/>
      <c r="AN40" s="718"/>
      <c r="AO40" s="718"/>
      <c r="AP40" s="373"/>
      <c r="AQ40" s="718"/>
      <c r="AR40" s="718"/>
      <c r="AS40" s="718"/>
      <c r="AT40" s="718"/>
      <c r="AU40" s="373"/>
      <c r="AV40" s="718"/>
      <c r="AW40" s="718"/>
      <c r="AX40" s="718"/>
      <c r="AY40" s="718"/>
      <c r="AZ40" s="376"/>
      <c r="BA40" s="718"/>
      <c r="BB40" s="718"/>
      <c r="BC40" s="718"/>
      <c r="BD40" s="720"/>
      <c r="BE40" s="378"/>
      <c r="BF40" s="718"/>
      <c r="BG40" s="718"/>
      <c r="BH40" s="718"/>
      <c r="BI40" s="718"/>
      <c r="BJ40" s="379"/>
      <c r="BK40" s="718"/>
      <c r="BL40" s="718"/>
      <c r="BM40" s="718"/>
      <c r="BN40" s="718"/>
      <c r="BO40" s="372"/>
      <c r="BP40" s="718"/>
      <c r="BQ40" s="718"/>
      <c r="BR40" s="718"/>
      <c r="BS40" s="718"/>
      <c r="BT40" s="373"/>
      <c r="BU40" s="718"/>
      <c r="BV40" s="718"/>
      <c r="BW40" s="718"/>
      <c r="BX40" s="718"/>
      <c r="BY40" s="380"/>
      <c r="BZ40" s="718"/>
      <c r="CA40" s="718"/>
      <c r="CB40" s="718"/>
      <c r="CC40" s="718"/>
      <c r="CD40" s="382"/>
      <c r="CE40" s="718"/>
      <c r="CF40" s="718"/>
      <c r="CG40" s="718"/>
      <c r="CH40" s="718"/>
      <c r="CI40" s="372"/>
      <c r="CJ40" s="718"/>
      <c r="CK40" s="718"/>
      <c r="CL40" s="718"/>
      <c r="CM40" s="721"/>
      <c r="CN40" s="722"/>
      <c r="CO40" s="372"/>
      <c r="CP40" s="718"/>
      <c r="CQ40" s="718"/>
      <c r="CR40" s="718"/>
      <c r="CS40" s="721"/>
      <c r="CT40" s="722"/>
      <c r="CU40" s="372"/>
      <c r="CV40" s="718"/>
      <c r="CW40" s="718"/>
      <c r="CX40" s="718"/>
      <c r="CY40" s="721"/>
      <c r="CZ40" s="722"/>
      <c r="DA40" s="372"/>
      <c r="DB40" s="718"/>
      <c r="DC40" s="718"/>
      <c r="DD40" s="718"/>
      <c r="DE40" s="721"/>
      <c r="DF40" s="722"/>
      <c r="DG40" s="54"/>
      <c r="DH40" s="18" t="e">
        <f>SUMIFS(#REF!,#REF!, $C40,#REF!, $E40,#REF!, $F40)</f>
        <v>#REF!</v>
      </c>
      <c r="DI40" s="55" t="e">
        <f>COUNTIFS(#REF!, $C40,#REF!, $E40,#REF!, $F40,#REF!, "&gt;=0")</f>
        <v>#REF!</v>
      </c>
      <c r="DJ40" s="18" t="e">
        <f>COUNTIFS(#REF!, $C40,#REF!, $E40,#REF!, $F40,#REF!, "лично")</f>
        <v>#REF!</v>
      </c>
      <c r="DK40" s="364" t="s">
        <v>94</v>
      </c>
    </row>
    <row r="41" spans="1:115" ht="12" customHeight="1" x14ac:dyDescent="0.25">
      <c r="A41" s="363">
        <v>9</v>
      </c>
      <c r="B41" s="364" t="s">
        <v>94</v>
      </c>
      <c r="C41" s="365" t="s">
        <v>264</v>
      </c>
      <c r="D41" s="366"/>
      <c r="E41" s="680"/>
      <c r="F41" s="368" t="str">
        <f t="shared" si="0"/>
        <v>Сокращенное название</v>
      </c>
      <c r="G41" s="364" t="s">
        <v>624</v>
      </c>
      <c r="H41" s="369" t="str">
        <f t="shared" si="8"/>
        <v>Фамилия_1 Имя Отчество</v>
      </c>
      <c r="I41" s="370">
        <f t="shared" si="1"/>
        <v>0</v>
      </c>
      <c r="J41" s="715">
        <f t="shared" si="2"/>
        <v>0</v>
      </c>
      <c r="K41" s="370">
        <f t="shared" si="3"/>
        <v>0</v>
      </c>
      <c r="L41" s="715">
        <f t="shared" si="9"/>
        <v>0</v>
      </c>
      <c r="M41" s="716">
        <f t="shared" si="4"/>
        <v>0</v>
      </c>
      <c r="N41" s="371">
        <f t="shared" si="5"/>
        <v>0</v>
      </c>
      <c r="O41" s="717">
        <f t="shared" si="6"/>
        <v>0</v>
      </c>
      <c r="P41" s="371">
        <f t="shared" si="7"/>
        <v>0</v>
      </c>
      <c r="Q41" s="375"/>
      <c r="R41" s="718"/>
      <c r="S41" s="718"/>
      <c r="T41" s="718"/>
      <c r="U41" s="718"/>
      <c r="V41" s="373"/>
      <c r="W41" s="719"/>
      <c r="X41" s="719"/>
      <c r="Y41" s="719"/>
      <c r="Z41" s="720"/>
      <c r="AA41" s="372"/>
      <c r="AB41" s="718"/>
      <c r="AC41" s="718"/>
      <c r="AD41" s="718"/>
      <c r="AE41" s="718"/>
      <c r="AF41" s="373"/>
      <c r="AG41" s="718"/>
      <c r="AH41" s="718"/>
      <c r="AI41" s="718"/>
      <c r="AJ41" s="718"/>
      <c r="AK41" s="373"/>
      <c r="AL41" s="718"/>
      <c r="AM41" s="718"/>
      <c r="AN41" s="718"/>
      <c r="AO41" s="718"/>
      <c r="AP41" s="373"/>
      <c r="AQ41" s="718"/>
      <c r="AR41" s="718"/>
      <c r="AS41" s="718"/>
      <c r="AT41" s="718"/>
      <c r="AU41" s="373"/>
      <c r="AV41" s="718"/>
      <c r="AW41" s="718"/>
      <c r="AX41" s="718"/>
      <c r="AY41" s="718"/>
      <c r="AZ41" s="376"/>
      <c r="BA41" s="718"/>
      <c r="BB41" s="718"/>
      <c r="BC41" s="718"/>
      <c r="BD41" s="720"/>
      <c r="BE41" s="378"/>
      <c r="BF41" s="718"/>
      <c r="BG41" s="718"/>
      <c r="BH41" s="718"/>
      <c r="BI41" s="718"/>
      <c r="BJ41" s="379"/>
      <c r="BK41" s="718"/>
      <c r="BL41" s="718"/>
      <c r="BM41" s="718"/>
      <c r="BN41" s="718"/>
      <c r="BO41" s="372"/>
      <c r="BP41" s="718"/>
      <c r="BQ41" s="718"/>
      <c r="BR41" s="718"/>
      <c r="BS41" s="718"/>
      <c r="BT41" s="373"/>
      <c r="BU41" s="718"/>
      <c r="BV41" s="718"/>
      <c r="BW41" s="718"/>
      <c r="BX41" s="718"/>
      <c r="BY41" s="380"/>
      <c r="BZ41" s="718"/>
      <c r="CA41" s="718"/>
      <c r="CB41" s="718"/>
      <c r="CC41" s="718"/>
      <c r="CD41" s="382"/>
      <c r="CE41" s="718"/>
      <c r="CF41" s="718"/>
      <c r="CG41" s="718"/>
      <c r="CH41" s="718"/>
      <c r="CI41" s="372"/>
      <c r="CJ41" s="718"/>
      <c r="CK41" s="718"/>
      <c r="CL41" s="718"/>
      <c r="CM41" s="721"/>
      <c r="CN41" s="722"/>
      <c r="CO41" s="372"/>
      <c r="CP41" s="718"/>
      <c r="CQ41" s="718"/>
      <c r="CR41" s="718"/>
      <c r="CS41" s="721"/>
      <c r="CT41" s="722"/>
      <c r="CU41" s="372"/>
      <c r="CV41" s="718"/>
      <c r="CW41" s="718"/>
      <c r="CX41" s="718"/>
      <c r="CY41" s="721"/>
      <c r="CZ41" s="722"/>
      <c r="DA41" s="372"/>
      <c r="DB41" s="718"/>
      <c r="DC41" s="718"/>
      <c r="DD41" s="718"/>
      <c r="DE41" s="721"/>
      <c r="DF41" s="722"/>
      <c r="DG41" s="54"/>
      <c r="DH41" s="18" t="e">
        <f>SUMIFS(#REF!,#REF!, $C41,#REF!, $E41,#REF!, $F41)</f>
        <v>#REF!</v>
      </c>
      <c r="DI41" s="55" t="e">
        <f>COUNTIFS(#REF!, $C41,#REF!, $E41,#REF!, $F41,#REF!, "&gt;=0")</f>
        <v>#REF!</v>
      </c>
      <c r="DJ41" s="18" t="e">
        <f>COUNTIFS(#REF!, $C41,#REF!, $E41,#REF!, $F41,#REF!, "лично")</f>
        <v>#REF!</v>
      </c>
      <c r="DK41" s="386" t="s">
        <v>100</v>
      </c>
    </row>
    <row r="42" spans="1:115" ht="12" customHeight="1" x14ac:dyDescent="0.25">
      <c r="A42" s="363">
        <v>10</v>
      </c>
      <c r="B42" s="364" t="s">
        <v>76</v>
      </c>
      <c r="C42" s="365" t="s">
        <v>264</v>
      </c>
      <c r="D42" s="366"/>
      <c r="E42" s="680"/>
      <c r="F42" s="368" t="str">
        <f t="shared" si="0"/>
        <v>Сокращенное название</v>
      </c>
      <c r="G42" s="364" t="s">
        <v>624</v>
      </c>
      <c r="H42" s="369" t="str">
        <f t="shared" si="8"/>
        <v>Фамилия_1 Имя Отчество</v>
      </c>
      <c r="I42" s="370">
        <f t="shared" si="1"/>
        <v>0</v>
      </c>
      <c r="J42" s="715">
        <f t="shared" si="2"/>
        <v>0</v>
      </c>
      <c r="K42" s="370">
        <f t="shared" si="3"/>
        <v>0</v>
      </c>
      <c r="L42" s="715">
        <f t="shared" si="9"/>
        <v>0</v>
      </c>
      <c r="M42" s="716">
        <f t="shared" si="4"/>
        <v>0</v>
      </c>
      <c r="N42" s="371">
        <f t="shared" si="5"/>
        <v>0</v>
      </c>
      <c r="O42" s="717">
        <f t="shared" si="6"/>
        <v>0</v>
      </c>
      <c r="P42" s="371">
        <f t="shared" si="7"/>
        <v>0</v>
      </c>
      <c r="Q42" s="375"/>
      <c r="R42" s="718"/>
      <c r="S42" s="718"/>
      <c r="T42" s="718"/>
      <c r="U42" s="718"/>
      <c r="V42" s="373"/>
      <c r="W42" s="719"/>
      <c r="X42" s="719"/>
      <c r="Y42" s="719"/>
      <c r="Z42" s="720"/>
      <c r="AA42" s="372"/>
      <c r="AB42" s="718"/>
      <c r="AC42" s="718"/>
      <c r="AD42" s="718"/>
      <c r="AE42" s="718"/>
      <c r="AF42" s="373"/>
      <c r="AG42" s="718"/>
      <c r="AH42" s="718"/>
      <c r="AI42" s="718"/>
      <c r="AJ42" s="718"/>
      <c r="AK42" s="373"/>
      <c r="AL42" s="718"/>
      <c r="AM42" s="718"/>
      <c r="AN42" s="718"/>
      <c r="AO42" s="718"/>
      <c r="AP42" s="373"/>
      <c r="AQ42" s="718"/>
      <c r="AR42" s="718"/>
      <c r="AS42" s="718"/>
      <c r="AT42" s="718"/>
      <c r="AU42" s="373"/>
      <c r="AV42" s="718"/>
      <c r="AW42" s="718"/>
      <c r="AX42" s="718"/>
      <c r="AY42" s="718"/>
      <c r="AZ42" s="376"/>
      <c r="BA42" s="718"/>
      <c r="BB42" s="718"/>
      <c r="BC42" s="718"/>
      <c r="BD42" s="720"/>
      <c r="BE42" s="378"/>
      <c r="BF42" s="718"/>
      <c r="BG42" s="718"/>
      <c r="BH42" s="718"/>
      <c r="BI42" s="718"/>
      <c r="BJ42" s="379"/>
      <c r="BK42" s="718"/>
      <c r="BL42" s="718"/>
      <c r="BM42" s="718"/>
      <c r="BN42" s="718"/>
      <c r="BO42" s="372"/>
      <c r="BP42" s="718"/>
      <c r="BQ42" s="718"/>
      <c r="BR42" s="718"/>
      <c r="BS42" s="718"/>
      <c r="BT42" s="373"/>
      <c r="BU42" s="718"/>
      <c r="BV42" s="718"/>
      <c r="BW42" s="718"/>
      <c r="BX42" s="718"/>
      <c r="BY42" s="380"/>
      <c r="BZ42" s="718"/>
      <c r="CA42" s="718"/>
      <c r="CB42" s="718"/>
      <c r="CC42" s="718"/>
      <c r="CD42" s="382"/>
      <c r="CE42" s="718"/>
      <c r="CF42" s="718"/>
      <c r="CG42" s="718"/>
      <c r="CH42" s="718"/>
      <c r="CI42" s="372"/>
      <c r="CJ42" s="718"/>
      <c r="CK42" s="718"/>
      <c r="CL42" s="718"/>
      <c r="CM42" s="721"/>
      <c r="CN42" s="722"/>
      <c r="CO42" s="372"/>
      <c r="CP42" s="718"/>
      <c r="CQ42" s="718"/>
      <c r="CR42" s="718"/>
      <c r="CS42" s="721"/>
      <c r="CT42" s="722"/>
      <c r="CU42" s="372"/>
      <c r="CV42" s="718"/>
      <c r="CW42" s="718"/>
      <c r="CX42" s="718"/>
      <c r="CY42" s="721"/>
      <c r="CZ42" s="722"/>
      <c r="DA42" s="372"/>
      <c r="DB42" s="718"/>
      <c r="DC42" s="718"/>
      <c r="DD42" s="718"/>
      <c r="DE42" s="721"/>
      <c r="DF42" s="722"/>
      <c r="DG42" s="54"/>
      <c r="DH42" s="18" t="e">
        <f>SUMIFS(#REF!,#REF!, $C42,#REF!, $E42,#REF!, $F42)</f>
        <v>#REF!</v>
      </c>
      <c r="DI42" s="55" t="e">
        <f>COUNTIFS(#REF!, $C42,#REF!, $E42,#REF!, $F42,#REF!, "&gt;=0")</f>
        <v>#REF!</v>
      </c>
      <c r="DJ42" s="18" t="e">
        <f>COUNTIFS(#REF!, $C42,#REF!, $E42,#REF!, $F42,#REF!, "лично")</f>
        <v>#REF!</v>
      </c>
      <c r="DK42" s="386" t="s">
        <v>117</v>
      </c>
    </row>
    <row r="43" spans="1:115" ht="12" customHeight="1" x14ac:dyDescent="0.25">
      <c r="A43" s="363">
        <v>11</v>
      </c>
      <c r="B43" s="386" t="s">
        <v>100</v>
      </c>
      <c r="C43" s="365" t="s">
        <v>264</v>
      </c>
      <c r="D43" s="366"/>
      <c r="E43" s="680"/>
      <c r="F43" s="368" t="str">
        <f t="shared" si="0"/>
        <v>Сокращенное название</v>
      </c>
      <c r="G43" s="364" t="s">
        <v>624</v>
      </c>
      <c r="H43" s="369" t="str">
        <f t="shared" si="8"/>
        <v>Фамилия_1 Имя Отчество</v>
      </c>
      <c r="I43" s="370">
        <f t="shared" si="1"/>
        <v>0</v>
      </c>
      <c r="J43" s="715">
        <f t="shared" si="2"/>
        <v>0</v>
      </c>
      <c r="K43" s="370">
        <f t="shared" si="3"/>
        <v>0</v>
      </c>
      <c r="L43" s="715">
        <f t="shared" si="9"/>
        <v>0</v>
      </c>
      <c r="M43" s="716">
        <f t="shared" si="4"/>
        <v>0</v>
      </c>
      <c r="N43" s="371">
        <f t="shared" si="5"/>
        <v>0</v>
      </c>
      <c r="O43" s="717">
        <f t="shared" si="6"/>
        <v>0</v>
      </c>
      <c r="P43" s="371">
        <f t="shared" si="7"/>
        <v>0</v>
      </c>
      <c r="Q43" s="375"/>
      <c r="R43" s="718"/>
      <c r="S43" s="718"/>
      <c r="T43" s="718"/>
      <c r="U43" s="718"/>
      <c r="V43" s="373"/>
      <c r="W43" s="719"/>
      <c r="X43" s="719"/>
      <c r="Y43" s="719"/>
      <c r="Z43" s="720"/>
      <c r="AA43" s="372"/>
      <c r="AB43" s="718"/>
      <c r="AC43" s="718"/>
      <c r="AD43" s="718"/>
      <c r="AE43" s="718"/>
      <c r="AF43" s="373"/>
      <c r="AG43" s="718"/>
      <c r="AH43" s="718"/>
      <c r="AI43" s="718"/>
      <c r="AJ43" s="718"/>
      <c r="AK43" s="373"/>
      <c r="AL43" s="718"/>
      <c r="AM43" s="718"/>
      <c r="AN43" s="718"/>
      <c r="AO43" s="718"/>
      <c r="AP43" s="373"/>
      <c r="AQ43" s="718"/>
      <c r="AR43" s="718"/>
      <c r="AS43" s="718"/>
      <c r="AT43" s="718"/>
      <c r="AU43" s="373"/>
      <c r="AV43" s="718"/>
      <c r="AW43" s="718"/>
      <c r="AX43" s="718"/>
      <c r="AY43" s="718"/>
      <c r="AZ43" s="376"/>
      <c r="BA43" s="718"/>
      <c r="BB43" s="718"/>
      <c r="BC43" s="718"/>
      <c r="BD43" s="720"/>
      <c r="BE43" s="378"/>
      <c r="BF43" s="718"/>
      <c r="BG43" s="718"/>
      <c r="BH43" s="718"/>
      <c r="BI43" s="718"/>
      <c r="BJ43" s="379"/>
      <c r="BK43" s="718"/>
      <c r="BL43" s="718"/>
      <c r="BM43" s="718"/>
      <c r="BN43" s="718"/>
      <c r="BO43" s="372"/>
      <c r="BP43" s="718"/>
      <c r="BQ43" s="718"/>
      <c r="BR43" s="718"/>
      <c r="BS43" s="718"/>
      <c r="BT43" s="373"/>
      <c r="BU43" s="718"/>
      <c r="BV43" s="718"/>
      <c r="BW43" s="718"/>
      <c r="BX43" s="718"/>
      <c r="BY43" s="380"/>
      <c r="BZ43" s="718"/>
      <c r="CA43" s="718"/>
      <c r="CB43" s="718"/>
      <c r="CC43" s="718"/>
      <c r="CD43" s="382"/>
      <c r="CE43" s="718"/>
      <c r="CF43" s="718"/>
      <c r="CG43" s="718"/>
      <c r="CH43" s="718"/>
      <c r="CI43" s="372"/>
      <c r="CJ43" s="718"/>
      <c r="CK43" s="718"/>
      <c r="CL43" s="718"/>
      <c r="CM43" s="721"/>
      <c r="CN43" s="722"/>
      <c r="CO43" s="372"/>
      <c r="CP43" s="718"/>
      <c r="CQ43" s="718"/>
      <c r="CR43" s="718"/>
      <c r="CS43" s="721"/>
      <c r="CT43" s="722"/>
      <c r="CU43" s="372"/>
      <c r="CV43" s="718"/>
      <c r="CW43" s="718"/>
      <c r="CX43" s="718"/>
      <c r="CY43" s="721"/>
      <c r="CZ43" s="722"/>
      <c r="DA43" s="372"/>
      <c r="DB43" s="718"/>
      <c r="DC43" s="718"/>
      <c r="DD43" s="718"/>
      <c r="DE43" s="721"/>
      <c r="DF43" s="722"/>
      <c r="DG43" s="54"/>
      <c r="DH43" s="18" t="e">
        <f>SUMIFS(#REF!,#REF!, $C43,#REF!, $E43,#REF!, $F43)</f>
        <v>#REF!</v>
      </c>
      <c r="DI43" s="55" t="e">
        <f>COUNTIFS(#REF!, $C43,#REF!, $E43,#REF!, $F43,#REF!, "&gt;=0")</f>
        <v>#REF!</v>
      </c>
      <c r="DJ43" s="18" t="e">
        <f>COUNTIFS(#REF!, $C43,#REF!, $E43,#REF!, $F43,#REF!, "лично")</f>
        <v>#REF!</v>
      </c>
      <c r="DK43" s="386" t="s">
        <v>158</v>
      </c>
    </row>
    <row r="44" spans="1:115" ht="12" customHeight="1" x14ac:dyDescent="0.25">
      <c r="A44" s="363">
        <v>12</v>
      </c>
      <c r="B44" s="364" t="s">
        <v>79</v>
      </c>
      <c r="C44" s="365" t="s">
        <v>264</v>
      </c>
      <c r="D44" s="366"/>
      <c r="E44" s="680"/>
      <c r="F44" s="368" t="str">
        <f t="shared" si="0"/>
        <v>Сокращенное название</v>
      </c>
      <c r="G44" s="364" t="s">
        <v>624</v>
      </c>
      <c r="H44" s="369" t="str">
        <f t="shared" si="8"/>
        <v>Фамилия_1 Имя Отчество</v>
      </c>
      <c r="I44" s="370">
        <f t="shared" si="1"/>
        <v>0</v>
      </c>
      <c r="J44" s="715">
        <f t="shared" si="2"/>
        <v>0</v>
      </c>
      <c r="K44" s="370">
        <f t="shared" si="3"/>
        <v>0</v>
      </c>
      <c r="L44" s="715">
        <f t="shared" si="9"/>
        <v>0</v>
      </c>
      <c r="M44" s="716">
        <f t="shared" si="4"/>
        <v>0</v>
      </c>
      <c r="N44" s="371">
        <f t="shared" si="5"/>
        <v>0</v>
      </c>
      <c r="O44" s="717">
        <f t="shared" si="6"/>
        <v>0</v>
      </c>
      <c r="P44" s="371">
        <f t="shared" si="7"/>
        <v>0</v>
      </c>
      <c r="Q44" s="375"/>
      <c r="R44" s="718"/>
      <c r="S44" s="718"/>
      <c r="T44" s="718"/>
      <c r="U44" s="718"/>
      <c r="V44" s="373"/>
      <c r="W44" s="719"/>
      <c r="X44" s="719"/>
      <c r="Y44" s="719"/>
      <c r="Z44" s="720"/>
      <c r="AA44" s="372"/>
      <c r="AB44" s="718"/>
      <c r="AC44" s="718"/>
      <c r="AD44" s="718"/>
      <c r="AE44" s="718"/>
      <c r="AF44" s="373"/>
      <c r="AG44" s="718"/>
      <c r="AH44" s="718"/>
      <c r="AI44" s="718"/>
      <c r="AJ44" s="718"/>
      <c r="AK44" s="373"/>
      <c r="AL44" s="718"/>
      <c r="AM44" s="718"/>
      <c r="AN44" s="718"/>
      <c r="AO44" s="718"/>
      <c r="AP44" s="373"/>
      <c r="AQ44" s="718"/>
      <c r="AR44" s="718"/>
      <c r="AS44" s="718"/>
      <c r="AT44" s="718"/>
      <c r="AU44" s="373"/>
      <c r="AV44" s="718"/>
      <c r="AW44" s="718"/>
      <c r="AX44" s="718"/>
      <c r="AY44" s="718"/>
      <c r="AZ44" s="376"/>
      <c r="BA44" s="718"/>
      <c r="BB44" s="718"/>
      <c r="BC44" s="718"/>
      <c r="BD44" s="720"/>
      <c r="BE44" s="378"/>
      <c r="BF44" s="718"/>
      <c r="BG44" s="718"/>
      <c r="BH44" s="718"/>
      <c r="BI44" s="718"/>
      <c r="BJ44" s="379"/>
      <c r="BK44" s="718"/>
      <c r="BL44" s="718"/>
      <c r="BM44" s="718"/>
      <c r="BN44" s="718"/>
      <c r="BO44" s="372"/>
      <c r="BP44" s="718"/>
      <c r="BQ44" s="718"/>
      <c r="BR44" s="718"/>
      <c r="BS44" s="718"/>
      <c r="BT44" s="373"/>
      <c r="BU44" s="718"/>
      <c r="BV44" s="718"/>
      <c r="BW44" s="718"/>
      <c r="BX44" s="718"/>
      <c r="BY44" s="380"/>
      <c r="BZ44" s="718"/>
      <c r="CA44" s="718"/>
      <c r="CB44" s="718"/>
      <c r="CC44" s="718"/>
      <c r="CD44" s="382"/>
      <c r="CE44" s="718"/>
      <c r="CF44" s="718"/>
      <c r="CG44" s="718"/>
      <c r="CH44" s="718"/>
      <c r="CI44" s="372"/>
      <c r="CJ44" s="718"/>
      <c r="CK44" s="718"/>
      <c r="CL44" s="718"/>
      <c r="CM44" s="721"/>
      <c r="CN44" s="722"/>
      <c r="CO44" s="372"/>
      <c r="CP44" s="718"/>
      <c r="CQ44" s="718"/>
      <c r="CR44" s="718"/>
      <c r="CS44" s="721"/>
      <c r="CT44" s="722"/>
      <c r="CU44" s="372"/>
      <c r="CV44" s="718"/>
      <c r="CW44" s="718"/>
      <c r="CX44" s="718"/>
      <c r="CY44" s="721"/>
      <c r="CZ44" s="722"/>
      <c r="DA44" s="372"/>
      <c r="DB44" s="718"/>
      <c r="DC44" s="718"/>
      <c r="DD44" s="718"/>
      <c r="DE44" s="721"/>
      <c r="DF44" s="722"/>
      <c r="DG44" s="54"/>
      <c r="DH44" s="18" t="e">
        <f>SUMIFS(#REF!,#REF!, $C44,#REF!, $E44,#REF!, $F44)</f>
        <v>#REF!</v>
      </c>
      <c r="DI44" s="55" t="e">
        <f>COUNTIFS(#REF!, $C44,#REF!, $E44,#REF!, $F44,#REF!, "&gt;=0")</f>
        <v>#REF!</v>
      </c>
      <c r="DJ44" s="18" t="e">
        <f>COUNTIFS(#REF!, $C44,#REF!, $E44,#REF!, $F44,#REF!, "лично")</f>
        <v>#REF!</v>
      </c>
      <c r="DK44" s="387" t="s">
        <v>82</v>
      </c>
    </row>
    <row r="45" spans="1:115" ht="12" customHeight="1" x14ac:dyDescent="0.25">
      <c r="A45" s="363">
        <v>13</v>
      </c>
      <c r="B45" s="364" t="s">
        <v>76</v>
      </c>
      <c r="C45" s="365" t="s">
        <v>264</v>
      </c>
      <c r="D45" s="366"/>
      <c r="E45" s="680"/>
      <c r="F45" s="368" t="str">
        <f t="shared" si="0"/>
        <v>Сокращенное название</v>
      </c>
      <c r="G45" s="364" t="s">
        <v>624</v>
      </c>
      <c r="H45" s="369" t="str">
        <f t="shared" si="8"/>
        <v>Фамилия_1 Имя Отчество</v>
      </c>
      <c r="I45" s="370">
        <f t="shared" si="1"/>
        <v>0</v>
      </c>
      <c r="J45" s="715">
        <f t="shared" si="2"/>
        <v>0</v>
      </c>
      <c r="K45" s="370">
        <f t="shared" si="3"/>
        <v>0</v>
      </c>
      <c r="L45" s="715">
        <f t="shared" si="9"/>
        <v>0</v>
      </c>
      <c r="M45" s="716">
        <f t="shared" si="4"/>
        <v>0</v>
      </c>
      <c r="N45" s="371">
        <f t="shared" si="5"/>
        <v>0</v>
      </c>
      <c r="O45" s="717">
        <f t="shared" si="6"/>
        <v>0</v>
      </c>
      <c r="P45" s="371">
        <f t="shared" si="7"/>
        <v>0</v>
      </c>
      <c r="Q45" s="375"/>
      <c r="R45" s="718"/>
      <c r="S45" s="718"/>
      <c r="T45" s="718"/>
      <c r="U45" s="718"/>
      <c r="V45" s="373"/>
      <c r="W45" s="719"/>
      <c r="X45" s="719"/>
      <c r="Y45" s="719"/>
      <c r="Z45" s="720"/>
      <c r="AA45" s="372"/>
      <c r="AB45" s="718"/>
      <c r="AC45" s="718"/>
      <c r="AD45" s="718"/>
      <c r="AE45" s="718"/>
      <c r="AF45" s="373"/>
      <c r="AG45" s="718"/>
      <c r="AH45" s="718"/>
      <c r="AI45" s="718"/>
      <c r="AJ45" s="718"/>
      <c r="AK45" s="373"/>
      <c r="AL45" s="718"/>
      <c r="AM45" s="718"/>
      <c r="AN45" s="718"/>
      <c r="AO45" s="718"/>
      <c r="AP45" s="373"/>
      <c r="AQ45" s="718"/>
      <c r="AR45" s="718"/>
      <c r="AS45" s="718"/>
      <c r="AT45" s="718"/>
      <c r="AU45" s="373"/>
      <c r="AV45" s="718"/>
      <c r="AW45" s="718"/>
      <c r="AX45" s="718"/>
      <c r="AY45" s="718"/>
      <c r="AZ45" s="376"/>
      <c r="BA45" s="718"/>
      <c r="BB45" s="718"/>
      <c r="BC45" s="718"/>
      <c r="BD45" s="720"/>
      <c r="BE45" s="378"/>
      <c r="BF45" s="718"/>
      <c r="BG45" s="718"/>
      <c r="BH45" s="718"/>
      <c r="BI45" s="718"/>
      <c r="BJ45" s="379"/>
      <c r="BK45" s="718"/>
      <c r="BL45" s="718"/>
      <c r="BM45" s="718"/>
      <c r="BN45" s="718"/>
      <c r="BO45" s="372"/>
      <c r="BP45" s="718"/>
      <c r="BQ45" s="718"/>
      <c r="BR45" s="718"/>
      <c r="BS45" s="718"/>
      <c r="BT45" s="373"/>
      <c r="BU45" s="718"/>
      <c r="BV45" s="718"/>
      <c r="BW45" s="718"/>
      <c r="BX45" s="718"/>
      <c r="BY45" s="380"/>
      <c r="BZ45" s="718"/>
      <c r="CA45" s="718"/>
      <c r="CB45" s="718"/>
      <c r="CC45" s="718"/>
      <c r="CD45" s="382"/>
      <c r="CE45" s="718"/>
      <c r="CF45" s="718"/>
      <c r="CG45" s="718"/>
      <c r="CH45" s="718"/>
      <c r="CI45" s="372"/>
      <c r="CJ45" s="718"/>
      <c r="CK45" s="718"/>
      <c r="CL45" s="718"/>
      <c r="CM45" s="721"/>
      <c r="CN45" s="722"/>
      <c r="CO45" s="372"/>
      <c r="CP45" s="718"/>
      <c r="CQ45" s="718"/>
      <c r="CR45" s="718"/>
      <c r="CS45" s="721"/>
      <c r="CT45" s="722"/>
      <c r="CU45" s="372"/>
      <c r="CV45" s="718"/>
      <c r="CW45" s="718"/>
      <c r="CX45" s="718"/>
      <c r="CY45" s="721"/>
      <c r="CZ45" s="722"/>
      <c r="DA45" s="372"/>
      <c r="DB45" s="718"/>
      <c r="DC45" s="718"/>
      <c r="DD45" s="718"/>
      <c r="DE45" s="721"/>
      <c r="DF45" s="722"/>
      <c r="DG45" s="54"/>
      <c r="DH45" s="18" t="e">
        <f>SUMIFS(#REF!,#REF!, $C45,#REF!, $E45,#REF!, $F45)</f>
        <v>#REF!</v>
      </c>
      <c r="DI45" s="55" t="e">
        <f>COUNTIFS(#REF!, $C45,#REF!, $E45,#REF!, $F45,#REF!, "&gt;=0")</f>
        <v>#REF!</v>
      </c>
      <c r="DJ45" s="18" t="e">
        <f>COUNTIFS(#REF!, $C45,#REF!, $E45,#REF!, $F45,#REF!, "лично")</f>
        <v>#REF!</v>
      </c>
    </row>
    <row r="46" spans="1:115" ht="12" customHeight="1" x14ac:dyDescent="0.25">
      <c r="A46" s="363">
        <v>14</v>
      </c>
      <c r="B46" s="364" t="s">
        <v>76</v>
      </c>
      <c r="C46" s="365" t="s">
        <v>264</v>
      </c>
      <c r="D46" s="366"/>
      <c r="E46" s="680"/>
      <c r="F46" s="368" t="str">
        <f t="shared" si="0"/>
        <v>Сокращенное название</v>
      </c>
      <c r="G46" s="364" t="s">
        <v>624</v>
      </c>
      <c r="H46" s="369" t="str">
        <f t="shared" si="8"/>
        <v>Фамилия_1 Имя Отчество</v>
      </c>
      <c r="I46" s="370">
        <f t="shared" si="1"/>
        <v>0</v>
      </c>
      <c r="J46" s="715">
        <f t="shared" si="2"/>
        <v>0</v>
      </c>
      <c r="K46" s="370">
        <f t="shared" si="3"/>
        <v>0</v>
      </c>
      <c r="L46" s="715">
        <f t="shared" si="9"/>
        <v>0</v>
      </c>
      <c r="M46" s="716">
        <f t="shared" si="4"/>
        <v>0</v>
      </c>
      <c r="N46" s="371">
        <f t="shared" si="5"/>
        <v>0</v>
      </c>
      <c r="O46" s="717">
        <f t="shared" si="6"/>
        <v>0</v>
      </c>
      <c r="P46" s="371">
        <f t="shared" si="7"/>
        <v>0</v>
      </c>
      <c r="Q46" s="375"/>
      <c r="R46" s="718"/>
      <c r="S46" s="718"/>
      <c r="T46" s="718"/>
      <c r="U46" s="718"/>
      <c r="V46" s="373"/>
      <c r="W46" s="719"/>
      <c r="X46" s="719"/>
      <c r="Y46" s="719"/>
      <c r="Z46" s="720"/>
      <c r="AA46" s="372"/>
      <c r="AB46" s="718"/>
      <c r="AC46" s="718"/>
      <c r="AD46" s="718"/>
      <c r="AE46" s="718"/>
      <c r="AF46" s="373"/>
      <c r="AG46" s="718"/>
      <c r="AH46" s="718"/>
      <c r="AI46" s="718"/>
      <c r="AJ46" s="718"/>
      <c r="AK46" s="373"/>
      <c r="AL46" s="718"/>
      <c r="AM46" s="718"/>
      <c r="AN46" s="718"/>
      <c r="AO46" s="718"/>
      <c r="AP46" s="373"/>
      <c r="AQ46" s="718"/>
      <c r="AR46" s="718"/>
      <c r="AS46" s="718"/>
      <c r="AT46" s="718"/>
      <c r="AU46" s="373"/>
      <c r="AV46" s="718"/>
      <c r="AW46" s="718"/>
      <c r="AX46" s="718"/>
      <c r="AY46" s="718"/>
      <c r="AZ46" s="376"/>
      <c r="BA46" s="718"/>
      <c r="BB46" s="718"/>
      <c r="BC46" s="718"/>
      <c r="BD46" s="720"/>
      <c r="BE46" s="378"/>
      <c r="BF46" s="718"/>
      <c r="BG46" s="718"/>
      <c r="BH46" s="718"/>
      <c r="BI46" s="718"/>
      <c r="BJ46" s="379"/>
      <c r="BK46" s="718"/>
      <c r="BL46" s="718"/>
      <c r="BM46" s="718"/>
      <c r="BN46" s="718"/>
      <c r="BO46" s="372"/>
      <c r="BP46" s="718"/>
      <c r="BQ46" s="718"/>
      <c r="BR46" s="718"/>
      <c r="BS46" s="718"/>
      <c r="BT46" s="373"/>
      <c r="BU46" s="718"/>
      <c r="BV46" s="718"/>
      <c r="BW46" s="718"/>
      <c r="BX46" s="718"/>
      <c r="BY46" s="380"/>
      <c r="BZ46" s="718"/>
      <c r="CA46" s="718"/>
      <c r="CB46" s="718"/>
      <c r="CC46" s="718"/>
      <c r="CD46" s="382"/>
      <c r="CE46" s="718"/>
      <c r="CF46" s="718"/>
      <c r="CG46" s="718"/>
      <c r="CH46" s="718"/>
      <c r="CI46" s="372"/>
      <c r="CJ46" s="718"/>
      <c r="CK46" s="718"/>
      <c r="CL46" s="718"/>
      <c r="CM46" s="721"/>
      <c r="CN46" s="722"/>
      <c r="CO46" s="372"/>
      <c r="CP46" s="718"/>
      <c r="CQ46" s="718"/>
      <c r="CR46" s="718"/>
      <c r="CS46" s="721"/>
      <c r="CT46" s="722"/>
      <c r="CU46" s="372"/>
      <c r="CV46" s="718"/>
      <c r="CW46" s="718"/>
      <c r="CX46" s="718"/>
      <c r="CY46" s="721"/>
      <c r="CZ46" s="722"/>
      <c r="DA46" s="372"/>
      <c r="DB46" s="718"/>
      <c r="DC46" s="718"/>
      <c r="DD46" s="718"/>
      <c r="DE46" s="721"/>
      <c r="DF46" s="722"/>
      <c r="DG46" s="54"/>
      <c r="DH46" s="18" t="e">
        <f>SUMIFS(#REF!,#REF!, $C46,#REF!, $E46,#REF!, $F46)</f>
        <v>#REF!</v>
      </c>
      <c r="DI46" s="55" t="e">
        <f>COUNTIFS(#REF!, $C46,#REF!, $E46,#REF!, $F46,#REF!, "&gt;=0")</f>
        <v>#REF!</v>
      </c>
      <c r="DJ46" s="18" t="e">
        <f>COUNTIFS(#REF!, $C46,#REF!, $E46,#REF!, $F46,#REF!, "лично")</f>
        <v>#REF!</v>
      </c>
    </row>
    <row r="47" spans="1:115" ht="12" customHeight="1" x14ac:dyDescent="0.25">
      <c r="A47" s="363">
        <v>15</v>
      </c>
      <c r="B47" s="364" t="s">
        <v>76</v>
      </c>
      <c r="C47" s="365" t="s">
        <v>264</v>
      </c>
      <c r="D47" s="366"/>
      <c r="E47" s="680"/>
      <c r="F47" s="368" t="str">
        <f t="shared" si="0"/>
        <v>Сокращенное название</v>
      </c>
      <c r="G47" s="364" t="s">
        <v>624</v>
      </c>
      <c r="H47" s="369" t="str">
        <f t="shared" si="8"/>
        <v>Фамилия_1 Имя Отчество</v>
      </c>
      <c r="I47" s="370">
        <f t="shared" si="1"/>
        <v>0</v>
      </c>
      <c r="J47" s="715">
        <f t="shared" si="2"/>
        <v>0</v>
      </c>
      <c r="K47" s="370">
        <f t="shared" si="3"/>
        <v>0</v>
      </c>
      <c r="L47" s="715">
        <f t="shared" si="9"/>
        <v>0</v>
      </c>
      <c r="M47" s="716">
        <f t="shared" si="4"/>
        <v>0</v>
      </c>
      <c r="N47" s="371">
        <f t="shared" si="5"/>
        <v>0</v>
      </c>
      <c r="O47" s="717">
        <f t="shared" si="6"/>
        <v>0</v>
      </c>
      <c r="P47" s="371">
        <f t="shared" si="7"/>
        <v>0</v>
      </c>
      <c r="Q47" s="375"/>
      <c r="R47" s="718"/>
      <c r="S47" s="718"/>
      <c r="T47" s="718"/>
      <c r="U47" s="718"/>
      <c r="V47" s="373"/>
      <c r="W47" s="719"/>
      <c r="X47" s="719"/>
      <c r="Y47" s="719"/>
      <c r="Z47" s="720"/>
      <c r="AA47" s="372"/>
      <c r="AB47" s="718"/>
      <c r="AC47" s="718"/>
      <c r="AD47" s="718"/>
      <c r="AE47" s="718"/>
      <c r="AF47" s="373"/>
      <c r="AG47" s="718"/>
      <c r="AH47" s="718"/>
      <c r="AI47" s="718"/>
      <c r="AJ47" s="718"/>
      <c r="AK47" s="373"/>
      <c r="AL47" s="718"/>
      <c r="AM47" s="718"/>
      <c r="AN47" s="718"/>
      <c r="AO47" s="718"/>
      <c r="AP47" s="373"/>
      <c r="AQ47" s="718"/>
      <c r="AR47" s="718"/>
      <c r="AS47" s="718"/>
      <c r="AT47" s="718"/>
      <c r="AU47" s="373"/>
      <c r="AV47" s="718"/>
      <c r="AW47" s="718"/>
      <c r="AX47" s="718"/>
      <c r="AY47" s="718"/>
      <c r="AZ47" s="376"/>
      <c r="BA47" s="718"/>
      <c r="BB47" s="718"/>
      <c r="BC47" s="718"/>
      <c r="BD47" s="720"/>
      <c r="BE47" s="378"/>
      <c r="BF47" s="718"/>
      <c r="BG47" s="718"/>
      <c r="BH47" s="718"/>
      <c r="BI47" s="718"/>
      <c r="BJ47" s="379"/>
      <c r="BK47" s="718"/>
      <c r="BL47" s="718"/>
      <c r="BM47" s="718"/>
      <c r="BN47" s="718"/>
      <c r="BO47" s="372"/>
      <c r="BP47" s="718"/>
      <c r="BQ47" s="718"/>
      <c r="BR47" s="718"/>
      <c r="BS47" s="718"/>
      <c r="BT47" s="373"/>
      <c r="BU47" s="718"/>
      <c r="BV47" s="718"/>
      <c r="BW47" s="718"/>
      <c r="BX47" s="718"/>
      <c r="BY47" s="380"/>
      <c r="BZ47" s="718"/>
      <c r="CA47" s="718"/>
      <c r="CB47" s="718"/>
      <c r="CC47" s="718"/>
      <c r="CD47" s="382"/>
      <c r="CE47" s="718"/>
      <c r="CF47" s="718"/>
      <c r="CG47" s="718"/>
      <c r="CH47" s="718"/>
      <c r="CI47" s="372"/>
      <c r="CJ47" s="718"/>
      <c r="CK47" s="718"/>
      <c r="CL47" s="718"/>
      <c r="CM47" s="721"/>
      <c r="CN47" s="722"/>
      <c r="CO47" s="372"/>
      <c r="CP47" s="718"/>
      <c r="CQ47" s="718"/>
      <c r="CR47" s="718"/>
      <c r="CS47" s="721"/>
      <c r="CT47" s="722"/>
      <c r="CU47" s="372"/>
      <c r="CV47" s="718"/>
      <c r="CW47" s="718"/>
      <c r="CX47" s="718"/>
      <c r="CY47" s="721"/>
      <c r="CZ47" s="722"/>
      <c r="DA47" s="372"/>
      <c r="DB47" s="718"/>
      <c r="DC47" s="718"/>
      <c r="DD47" s="718"/>
      <c r="DE47" s="721"/>
      <c r="DF47" s="722"/>
      <c r="DG47" s="54"/>
      <c r="DH47" s="18" t="e">
        <f>SUMIFS(#REF!,#REF!, $C47,#REF!, $E47,#REF!, $F47)</f>
        <v>#REF!</v>
      </c>
      <c r="DI47" s="55" t="e">
        <f>COUNTIFS(#REF!, $C47,#REF!, $E47,#REF!, $F47,#REF!, "&gt;=0")</f>
        <v>#REF!</v>
      </c>
      <c r="DJ47" s="18" t="e">
        <f>COUNTIFS(#REF!, $C47,#REF!, $E47,#REF!, $F47,#REF!, "лично")</f>
        <v>#REF!</v>
      </c>
    </row>
    <row r="48" spans="1:115" ht="12" customHeight="1" x14ac:dyDescent="0.25">
      <c r="A48" s="363">
        <v>16</v>
      </c>
      <c r="B48" s="364" t="s">
        <v>76</v>
      </c>
      <c r="C48" s="365" t="s">
        <v>264</v>
      </c>
      <c r="D48" s="366"/>
      <c r="E48" s="680"/>
      <c r="F48" s="368" t="str">
        <f t="shared" si="0"/>
        <v>Сокращенное название</v>
      </c>
      <c r="G48" s="364" t="s">
        <v>624</v>
      </c>
      <c r="H48" s="369" t="str">
        <f t="shared" si="8"/>
        <v>Фамилия_1 Имя Отчество</v>
      </c>
      <c r="I48" s="370">
        <f t="shared" si="1"/>
        <v>0</v>
      </c>
      <c r="J48" s="715">
        <f t="shared" si="2"/>
        <v>0</v>
      </c>
      <c r="K48" s="370">
        <f t="shared" si="3"/>
        <v>0</v>
      </c>
      <c r="L48" s="715">
        <f t="shared" si="9"/>
        <v>0</v>
      </c>
      <c r="M48" s="716">
        <f t="shared" si="4"/>
        <v>0</v>
      </c>
      <c r="N48" s="371">
        <f t="shared" si="5"/>
        <v>0</v>
      </c>
      <c r="O48" s="717">
        <f t="shared" si="6"/>
        <v>0</v>
      </c>
      <c r="P48" s="371">
        <f t="shared" si="7"/>
        <v>0</v>
      </c>
      <c r="Q48" s="375"/>
      <c r="R48" s="718"/>
      <c r="S48" s="718"/>
      <c r="T48" s="718"/>
      <c r="U48" s="718"/>
      <c r="V48" s="373"/>
      <c r="W48" s="719"/>
      <c r="X48" s="719"/>
      <c r="Y48" s="719"/>
      <c r="Z48" s="720"/>
      <c r="AA48" s="372"/>
      <c r="AB48" s="718"/>
      <c r="AC48" s="718"/>
      <c r="AD48" s="718"/>
      <c r="AE48" s="718"/>
      <c r="AF48" s="373"/>
      <c r="AG48" s="718"/>
      <c r="AH48" s="718"/>
      <c r="AI48" s="718"/>
      <c r="AJ48" s="718"/>
      <c r="AK48" s="373"/>
      <c r="AL48" s="718"/>
      <c r="AM48" s="718"/>
      <c r="AN48" s="718"/>
      <c r="AO48" s="718"/>
      <c r="AP48" s="373"/>
      <c r="AQ48" s="718"/>
      <c r="AR48" s="718"/>
      <c r="AS48" s="718"/>
      <c r="AT48" s="718"/>
      <c r="AU48" s="373"/>
      <c r="AV48" s="718"/>
      <c r="AW48" s="718"/>
      <c r="AX48" s="718"/>
      <c r="AY48" s="718"/>
      <c r="AZ48" s="376"/>
      <c r="BA48" s="718"/>
      <c r="BB48" s="718"/>
      <c r="BC48" s="718"/>
      <c r="BD48" s="720"/>
      <c r="BE48" s="378"/>
      <c r="BF48" s="718"/>
      <c r="BG48" s="718"/>
      <c r="BH48" s="718"/>
      <c r="BI48" s="718"/>
      <c r="BJ48" s="379"/>
      <c r="BK48" s="718"/>
      <c r="BL48" s="718"/>
      <c r="BM48" s="718"/>
      <c r="BN48" s="718"/>
      <c r="BO48" s="372"/>
      <c r="BP48" s="718"/>
      <c r="BQ48" s="718"/>
      <c r="BR48" s="718"/>
      <c r="BS48" s="718"/>
      <c r="BT48" s="373"/>
      <c r="BU48" s="718"/>
      <c r="BV48" s="718"/>
      <c r="BW48" s="718"/>
      <c r="BX48" s="718"/>
      <c r="BY48" s="380"/>
      <c r="BZ48" s="718"/>
      <c r="CA48" s="718"/>
      <c r="CB48" s="718"/>
      <c r="CC48" s="718"/>
      <c r="CD48" s="382"/>
      <c r="CE48" s="718"/>
      <c r="CF48" s="718"/>
      <c r="CG48" s="718"/>
      <c r="CH48" s="718"/>
      <c r="CI48" s="372"/>
      <c r="CJ48" s="718"/>
      <c r="CK48" s="718"/>
      <c r="CL48" s="718"/>
      <c r="CM48" s="721"/>
      <c r="CN48" s="722"/>
      <c r="CO48" s="372"/>
      <c r="CP48" s="718"/>
      <c r="CQ48" s="718"/>
      <c r="CR48" s="718"/>
      <c r="CS48" s="721"/>
      <c r="CT48" s="722"/>
      <c r="CU48" s="372"/>
      <c r="CV48" s="718"/>
      <c r="CW48" s="718"/>
      <c r="CX48" s="718"/>
      <c r="CY48" s="721"/>
      <c r="CZ48" s="722"/>
      <c r="DA48" s="372"/>
      <c r="DB48" s="718"/>
      <c r="DC48" s="718"/>
      <c r="DD48" s="718"/>
      <c r="DE48" s="721"/>
      <c r="DF48" s="722"/>
      <c r="DG48" s="54"/>
      <c r="DH48" s="18" t="e">
        <f>SUMIFS(#REF!,#REF!, $C48,#REF!, $E48,#REF!, $F48)</f>
        <v>#REF!</v>
      </c>
      <c r="DI48" s="55" t="e">
        <f>COUNTIFS(#REF!, $C48,#REF!, $E48,#REF!, $F48,#REF!, "&gt;=0")</f>
        <v>#REF!</v>
      </c>
      <c r="DJ48" s="18" t="e">
        <f>COUNTIFS(#REF!, $C48,#REF!, $E48,#REF!, $F48,#REF!, "лично")</f>
        <v>#REF!</v>
      </c>
    </row>
    <row r="49" spans="1:114" ht="12" customHeight="1" x14ac:dyDescent="0.25">
      <c r="A49" s="363">
        <v>17</v>
      </c>
      <c r="B49" s="386" t="s">
        <v>100</v>
      </c>
      <c r="C49" s="365" t="s">
        <v>264</v>
      </c>
      <c r="D49" s="366"/>
      <c r="E49" s="680"/>
      <c r="F49" s="368" t="str">
        <f t="shared" si="0"/>
        <v>Сокращенное название</v>
      </c>
      <c r="G49" s="364" t="s">
        <v>624</v>
      </c>
      <c r="H49" s="369" t="str">
        <f t="shared" si="8"/>
        <v>Фамилия_1 Имя Отчество</v>
      </c>
      <c r="I49" s="370">
        <f t="shared" si="1"/>
        <v>0</v>
      </c>
      <c r="J49" s="715">
        <f t="shared" si="2"/>
        <v>0</v>
      </c>
      <c r="K49" s="370">
        <f t="shared" si="3"/>
        <v>0</v>
      </c>
      <c r="L49" s="715">
        <f t="shared" si="9"/>
        <v>0</v>
      </c>
      <c r="M49" s="716">
        <f t="shared" si="4"/>
        <v>0</v>
      </c>
      <c r="N49" s="371">
        <f t="shared" si="5"/>
        <v>0</v>
      </c>
      <c r="O49" s="717">
        <f t="shared" si="6"/>
        <v>0</v>
      </c>
      <c r="P49" s="371">
        <f t="shared" si="7"/>
        <v>0</v>
      </c>
      <c r="Q49" s="375"/>
      <c r="R49" s="718"/>
      <c r="S49" s="718"/>
      <c r="T49" s="718"/>
      <c r="U49" s="718"/>
      <c r="V49" s="373"/>
      <c r="W49" s="719"/>
      <c r="X49" s="719"/>
      <c r="Y49" s="719"/>
      <c r="Z49" s="720"/>
      <c r="AA49" s="372"/>
      <c r="AB49" s="718"/>
      <c r="AC49" s="718"/>
      <c r="AD49" s="718"/>
      <c r="AE49" s="718"/>
      <c r="AF49" s="373"/>
      <c r="AG49" s="718"/>
      <c r="AH49" s="718"/>
      <c r="AI49" s="718"/>
      <c r="AJ49" s="718"/>
      <c r="AK49" s="373"/>
      <c r="AL49" s="718"/>
      <c r="AM49" s="718"/>
      <c r="AN49" s="718"/>
      <c r="AO49" s="718"/>
      <c r="AP49" s="373"/>
      <c r="AQ49" s="718"/>
      <c r="AR49" s="718"/>
      <c r="AS49" s="718"/>
      <c r="AT49" s="718"/>
      <c r="AU49" s="373"/>
      <c r="AV49" s="718"/>
      <c r="AW49" s="718"/>
      <c r="AX49" s="718"/>
      <c r="AY49" s="718"/>
      <c r="AZ49" s="376"/>
      <c r="BA49" s="718"/>
      <c r="BB49" s="718"/>
      <c r="BC49" s="718"/>
      <c r="BD49" s="720"/>
      <c r="BE49" s="378"/>
      <c r="BF49" s="718"/>
      <c r="BG49" s="718"/>
      <c r="BH49" s="718"/>
      <c r="BI49" s="718"/>
      <c r="BJ49" s="379"/>
      <c r="BK49" s="718"/>
      <c r="BL49" s="718"/>
      <c r="BM49" s="718"/>
      <c r="BN49" s="718"/>
      <c r="BO49" s="372"/>
      <c r="BP49" s="718"/>
      <c r="BQ49" s="718"/>
      <c r="BR49" s="718"/>
      <c r="BS49" s="718"/>
      <c r="BT49" s="373"/>
      <c r="BU49" s="718"/>
      <c r="BV49" s="718"/>
      <c r="BW49" s="718"/>
      <c r="BX49" s="718"/>
      <c r="BY49" s="380"/>
      <c r="BZ49" s="718"/>
      <c r="CA49" s="718"/>
      <c r="CB49" s="718"/>
      <c r="CC49" s="718"/>
      <c r="CD49" s="382"/>
      <c r="CE49" s="718"/>
      <c r="CF49" s="718"/>
      <c r="CG49" s="718"/>
      <c r="CH49" s="718"/>
      <c r="CI49" s="372"/>
      <c r="CJ49" s="718"/>
      <c r="CK49" s="718"/>
      <c r="CL49" s="718"/>
      <c r="CM49" s="721"/>
      <c r="CN49" s="722"/>
      <c r="CO49" s="372"/>
      <c r="CP49" s="718"/>
      <c r="CQ49" s="718"/>
      <c r="CR49" s="718"/>
      <c r="CS49" s="721"/>
      <c r="CT49" s="722"/>
      <c r="CU49" s="372"/>
      <c r="CV49" s="718"/>
      <c r="CW49" s="718"/>
      <c r="CX49" s="718"/>
      <c r="CY49" s="721"/>
      <c r="CZ49" s="722"/>
      <c r="DA49" s="372"/>
      <c r="DB49" s="718"/>
      <c r="DC49" s="718"/>
      <c r="DD49" s="718"/>
      <c r="DE49" s="721"/>
      <c r="DF49" s="722"/>
      <c r="DG49" s="54"/>
      <c r="DH49" s="18" t="e">
        <f>SUMIFS(#REF!,#REF!, $C49,#REF!, $E49,#REF!, $F49)</f>
        <v>#REF!</v>
      </c>
      <c r="DI49" s="55" t="e">
        <f>COUNTIFS(#REF!, $C49,#REF!, $E49,#REF!, $F49,#REF!, "&gt;=0")</f>
        <v>#REF!</v>
      </c>
      <c r="DJ49" s="18" t="e">
        <f>COUNTIFS(#REF!, $C49,#REF!, $E49,#REF!, $F49,#REF!, "лично")</f>
        <v>#REF!</v>
      </c>
    </row>
    <row r="50" spans="1:114" ht="12" customHeight="1" x14ac:dyDescent="0.25">
      <c r="A50" s="363">
        <v>18</v>
      </c>
      <c r="B50" s="386" t="s">
        <v>117</v>
      </c>
      <c r="C50" s="365" t="s">
        <v>264</v>
      </c>
      <c r="D50" s="366"/>
      <c r="E50" s="680"/>
      <c r="F50" s="368" t="str">
        <f t="shared" si="0"/>
        <v>Сокращенное название</v>
      </c>
      <c r="G50" s="364" t="s">
        <v>624</v>
      </c>
      <c r="H50" s="369" t="str">
        <f t="shared" si="8"/>
        <v>Фамилия_1 Имя Отчество</v>
      </c>
      <c r="I50" s="370">
        <f t="shared" si="1"/>
        <v>0</v>
      </c>
      <c r="J50" s="715">
        <f t="shared" si="2"/>
        <v>0</v>
      </c>
      <c r="K50" s="370">
        <f t="shared" si="3"/>
        <v>0</v>
      </c>
      <c r="L50" s="715">
        <f t="shared" si="9"/>
        <v>0</v>
      </c>
      <c r="M50" s="716">
        <f t="shared" si="4"/>
        <v>0</v>
      </c>
      <c r="N50" s="371">
        <f t="shared" si="5"/>
        <v>0</v>
      </c>
      <c r="O50" s="717">
        <f t="shared" si="6"/>
        <v>0</v>
      </c>
      <c r="P50" s="371">
        <f t="shared" si="7"/>
        <v>0</v>
      </c>
      <c r="Q50" s="375"/>
      <c r="R50" s="718"/>
      <c r="S50" s="718"/>
      <c r="T50" s="718"/>
      <c r="U50" s="718"/>
      <c r="V50" s="373"/>
      <c r="W50" s="719"/>
      <c r="X50" s="719"/>
      <c r="Y50" s="719"/>
      <c r="Z50" s="720"/>
      <c r="AA50" s="372"/>
      <c r="AB50" s="718"/>
      <c r="AC50" s="718"/>
      <c r="AD50" s="718"/>
      <c r="AE50" s="718"/>
      <c r="AF50" s="373"/>
      <c r="AG50" s="718"/>
      <c r="AH50" s="718"/>
      <c r="AI50" s="718"/>
      <c r="AJ50" s="718"/>
      <c r="AK50" s="373"/>
      <c r="AL50" s="718"/>
      <c r="AM50" s="718"/>
      <c r="AN50" s="718"/>
      <c r="AO50" s="718"/>
      <c r="AP50" s="373"/>
      <c r="AQ50" s="718"/>
      <c r="AR50" s="718"/>
      <c r="AS50" s="718"/>
      <c r="AT50" s="718"/>
      <c r="AU50" s="373"/>
      <c r="AV50" s="718"/>
      <c r="AW50" s="718"/>
      <c r="AX50" s="718"/>
      <c r="AY50" s="718"/>
      <c r="AZ50" s="376"/>
      <c r="BA50" s="718"/>
      <c r="BB50" s="718"/>
      <c r="BC50" s="718"/>
      <c r="BD50" s="720"/>
      <c r="BE50" s="378"/>
      <c r="BF50" s="718"/>
      <c r="BG50" s="718"/>
      <c r="BH50" s="718"/>
      <c r="BI50" s="718"/>
      <c r="BJ50" s="379"/>
      <c r="BK50" s="718"/>
      <c r="BL50" s="718"/>
      <c r="BM50" s="718"/>
      <c r="BN50" s="718"/>
      <c r="BO50" s="372"/>
      <c r="BP50" s="718"/>
      <c r="BQ50" s="718"/>
      <c r="BR50" s="718"/>
      <c r="BS50" s="718"/>
      <c r="BT50" s="373"/>
      <c r="BU50" s="718"/>
      <c r="BV50" s="718"/>
      <c r="BW50" s="718"/>
      <c r="BX50" s="718"/>
      <c r="BY50" s="380"/>
      <c r="BZ50" s="718"/>
      <c r="CA50" s="718"/>
      <c r="CB50" s="718"/>
      <c r="CC50" s="718"/>
      <c r="CD50" s="382"/>
      <c r="CE50" s="718"/>
      <c r="CF50" s="718"/>
      <c r="CG50" s="718"/>
      <c r="CH50" s="718"/>
      <c r="CI50" s="372"/>
      <c r="CJ50" s="718"/>
      <c r="CK50" s="718"/>
      <c r="CL50" s="718"/>
      <c r="CM50" s="721"/>
      <c r="CN50" s="722"/>
      <c r="CO50" s="372"/>
      <c r="CP50" s="718"/>
      <c r="CQ50" s="718"/>
      <c r="CR50" s="718"/>
      <c r="CS50" s="721"/>
      <c r="CT50" s="722"/>
      <c r="CU50" s="372"/>
      <c r="CV50" s="718"/>
      <c r="CW50" s="718"/>
      <c r="CX50" s="718"/>
      <c r="CY50" s="721"/>
      <c r="CZ50" s="722"/>
      <c r="DA50" s="372"/>
      <c r="DB50" s="718"/>
      <c r="DC50" s="718"/>
      <c r="DD50" s="718"/>
      <c r="DE50" s="721"/>
      <c r="DF50" s="722"/>
      <c r="DG50" s="54"/>
      <c r="DH50" s="18" t="e">
        <f>SUMIFS(#REF!,#REF!, $C50,#REF!, $E50,#REF!, $F50)</f>
        <v>#REF!</v>
      </c>
      <c r="DI50" s="55" t="e">
        <f>COUNTIFS(#REF!, $C50,#REF!, $E50,#REF!, $F50,#REF!, "&gt;=0")</f>
        <v>#REF!</v>
      </c>
      <c r="DJ50" s="18" t="e">
        <f>COUNTIFS(#REF!, $C50,#REF!, $E50,#REF!, $F50,#REF!, "лично")</f>
        <v>#REF!</v>
      </c>
    </row>
    <row r="51" spans="1:114" ht="12" customHeight="1" x14ac:dyDescent="0.25">
      <c r="A51" s="363">
        <v>19</v>
      </c>
      <c r="B51" s="386" t="s">
        <v>158</v>
      </c>
      <c r="C51" s="365" t="s">
        <v>264</v>
      </c>
      <c r="D51" s="366"/>
      <c r="E51" s="680"/>
      <c r="F51" s="368" t="str">
        <f t="shared" si="0"/>
        <v>Сокращенное название</v>
      </c>
      <c r="G51" s="364" t="s">
        <v>624</v>
      </c>
      <c r="H51" s="369" t="str">
        <f t="shared" si="8"/>
        <v>Фамилия_1 Имя Отчество</v>
      </c>
      <c r="I51" s="370">
        <f t="shared" si="1"/>
        <v>0</v>
      </c>
      <c r="J51" s="715">
        <f t="shared" si="2"/>
        <v>0</v>
      </c>
      <c r="K51" s="370">
        <f t="shared" si="3"/>
        <v>0</v>
      </c>
      <c r="L51" s="715">
        <f t="shared" si="9"/>
        <v>0</v>
      </c>
      <c r="M51" s="716">
        <f t="shared" si="4"/>
        <v>0</v>
      </c>
      <c r="N51" s="371">
        <f t="shared" si="5"/>
        <v>0</v>
      </c>
      <c r="O51" s="717">
        <f t="shared" si="6"/>
        <v>0</v>
      </c>
      <c r="P51" s="371">
        <f t="shared" si="7"/>
        <v>0</v>
      </c>
      <c r="Q51" s="375"/>
      <c r="R51" s="718"/>
      <c r="S51" s="718"/>
      <c r="T51" s="718"/>
      <c r="U51" s="718"/>
      <c r="V51" s="373"/>
      <c r="W51" s="719"/>
      <c r="X51" s="719"/>
      <c r="Y51" s="719"/>
      <c r="Z51" s="720"/>
      <c r="AA51" s="372"/>
      <c r="AB51" s="718"/>
      <c r="AC51" s="718"/>
      <c r="AD51" s="718"/>
      <c r="AE51" s="718"/>
      <c r="AF51" s="373"/>
      <c r="AG51" s="718"/>
      <c r="AH51" s="718"/>
      <c r="AI51" s="718"/>
      <c r="AJ51" s="718"/>
      <c r="AK51" s="373"/>
      <c r="AL51" s="718"/>
      <c r="AM51" s="718"/>
      <c r="AN51" s="718"/>
      <c r="AO51" s="718"/>
      <c r="AP51" s="373"/>
      <c r="AQ51" s="718"/>
      <c r="AR51" s="718"/>
      <c r="AS51" s="718"/>
      <c r="AT51" s="718"/>
      <c r="AU51" s="373"/>
      <c r="AV51" s="718"/>
      <c r="AW51" s="718"/>
      <c r="AX51" s="718"/>
      <c r="AY51" s="718"/>
      <c r="AZ51" s="376"/>
      <c r="BA51" s="718"/>
      <c r="BB51" s="718"/>
      <c r="BC51" s="718"/>
      <c r="BD51" s="720"/>
      <c r="BE51" s="378"/>
      <c r="BF51" s="718"/>
      <c r="BG51" s="718"/>
      <c r="BH51" s="718"/>
      <c r="BI51" s="718"/>
      <c r="BJ51" s="379"/>
      <c r="BK51" s="718"/>
      <c r="BL51" s="718"/>
      <c r="BM51" s="718"/>
      <c r="BN51" s="718"/>
      <c r="BO51" s="372"/>
      <c r="BP51" s="718"/>
      <c r="BQ51" s="718"/>
      <c r="BR51" s="718"/>
      <c r="BS51" s="718"/>
      <c r="BT51" s="373"/>
      <c r="BU51" s="718"/>
      <c r="BV51" s="718"/>
      <c r="BW51" s="718"/>
      <c r="BX51" s="718"/>
      <c r="BY51" s="380"/>
      <c r="BZ51" s="718"/>
      <c r="CA51" s="718"/>
      <c r="CB51" s="718"/>
      <c r="CC51" s="718"/>
      <c r="CD51" s="382"/>
      <c r="CE51" s="718"/>
      <c r="CF51" s="718"/>
      <c r="CG51" s="718"/>
      <c r="CH51" s="718"/>
      <c r="CI51" s="372"/>
      <c r="CJ51" s="718"/>
      <c r="CK51" s="718"/>
      <c r="CL51" s="718"/>
      <c r="CM51" s="721"/>
      <c r="CN51" s="722"/>
      <c r="CO51" s="372"/>
      <c r="CP51" s="718"/>
      <c r="CQ51" s="718"/>
      <c r="CR51" s="718"/>
      <c r="CS51" s="721"/>
      <c r="CT51" s="722"/>
      <c r="CU51" s="372"/>
      <c r="CV51" s="718"/>
      <c r="CW51" s="718"/>
      <c r="CX51" s="718"/>
      <c r="CY51" s="721"/>
      <c r="CZ51" s="722"/>
      <c r="DA51" s="372"/>
      <c r="DB51" s="718"/>
      <c r="DC51" s="718"/>
      <c r="DD51" s="718"/>
      <c r="DE51" s="721"/>
      <c r="DF51" s="722"/>
      <c r="DG51" s="54"/>
      <c r="DH51" s="18" t="e">
        <f>SUMIFS(#REF!,#REF!, $C51,#REF!, $E51,#REF!, $F51)</f>
        <v>#REF!</v>
      </c>
      <c r="DI51" s="55" t="e">
        <f>COUNTIFS(#REF!, $C51,#REF!, $E51,#REF!, $F51,#REF!, "&gt;=0")</f>
        <v>#REF!</v>
      </c>
      <c r="DJ51" s="18" t="e">
        <f>COUNTIFS(#REF!, $C51,#REF!, $E51,#REF!, $F51,#REF!, "лично")</f>
        <v>#REF!</v>
      </c>
    </row>
    <row r="52" spans="1:114" ht="12" customHeight="1" x14ac:dyDescent="0.25">
      <c r="A52" s="363">
        <v>20</v>
      </c>
      <c r="B52" s="364" t="s">
        <v>261</v>
      </c>
      <c r="C52" s="365" t="s">
        <v>264</v>
      </c>
      <c r="D52" s="366"/>
      <c r="E52" s="680"/>
      <c r="F52" s="368" t="str">
        <f t="shared" si="0"/>
        <v>Сокращенное название</v>
      </c>
      <c r="G52" s="364" t="s">
        <v>624</v>
      </c>
      <c r="H52" s="369" t="str">
        <f t="shared" si="8"/>
        <v>Фамилия_1 Имя Отчество</v>
      </c>
      <c r="I52" s="370">
        <f t="shared" si="1"/>
        <v>0</v>
      </c>
      <c r="J52" s="715">
        <f t="shared" si="2"/>
        <v>0</v>
      </c>
      <c r="K52" s="370">
        <f t="shared" si="3"/>
        <v>0</v>
      </c>
      <c r="L52" s="715">
        <f t="shared" si="9"/>
        <v>0</v>
      </c>
      <c r="M52" s="716">
        <f t="shared" si="4"/>
        <v>0</v>
      </c>
      <c r="N52" s="371">
        <f t="shared" si="5"/>
        <v>0</v>
      </c>
      <c r="O52" s="717">
        <f t="shared" si="6"/>
        <v>0</v>
      </c>
      <c r="P52" s="371">
        <f t="shared" si="7"/>
        <v>0</v>
      </c>
      <c r="Q52" s="375"/>
      <c r="R52" s="718"/>
      <c r="S52" s="718"/>
      <c r="T52" s="718"/>
      <c r="U52" s="718"/>
      <c r="V52" s="373"/>
      <c r="W52" s="719"/>
      <c r="X52" s="719"/>
      <c r="Y52" s="719"/>
      <c r="Z52" s="720"/>
      <c r="AA52" s="372"/>
      <c r="AB52" s="718"/>
      <c r="AC52" s="718"/>
      <c r="AD52" s="718"/>
      <c r="AE52" s="718"/>
      <c r="AF52" s="373"/>
      <c r="AG52" s="718"/>
      <c r="AH52" s="718"/>
      <c r="AI52" s="718"/>
      <c r="AJ52" s="718"/>
      <c r="AK52" s="373"/>
      <c r="AL52" s="718"/>
      <c r="AM52" s="718"/>
      <c r="AN52" s="718"/>
      <c r="AO52" s="718"/>
      <c r="AP52" s="373"/>
      <c r="AQ52" s="718"/>
      <c r="AR52" s="718"/>
      <c r="AS52" s="718"/>
      <c r="AT52" s="718"/>
      <c r="AU52" s="373"/>
      <c r="AV52" s="718"/>
      <c r="AW52" s="718"/>
      <c r="AX52" s="718"/>
      <c r="AY52" s="718"/>
      <c r="AZ52" s="376"/>
      <c r="BA52" s="718"/>
      <c r="BB52" s="718"/>
      <c r="BC52" s="718"/>
      <c r="BD52" s="720"/>
      <c r="BE52" s="378"/>
      <c r="BF52" s="718"/>
      <c r="BG52" s="718"/>
      <c r="BH52" s="718"/>
      <c r="BI52" s="718"/>
      <c r="BJ52" s="379"/>
      <c r="BK52" s="718"/>
      <c r="BL52" s="718"/>
      <c r="BM52" s="718"/>
      <c r="BN52" s="718"/>
      <c r="BO52" s="372"/>
      <c r="BP52" s="718"/>
      <c r="BQ52" s="718"/>
      <c r="BR52" s="718"/>
      <c r="BS52" s="718"/>
      <c r="BT52" s="373"/>
      <c r="BU52" s="718"/>
      <c r="BV52" s="718"/>
      <c r="BW52" s="718"/>
      <c r="BX52" s="718"/>
      <c r="BY52" s="380"/>
      <c r="BZ52" s="718"/>
      <c r="CA52" s="718"/>
      <c r="CB52" s="718"/>
      <c r="CC52" s="718"/>
      <c r="CD52" s="382"/>
      <c r="CE52" s="718"/>
      <c r="CF52" s="718"/>
      <c r="CG52" s="718"/>
      <c r="CH52" s="718"/>
      <c r="CI52" s="372"/>
      <c r="CJ52" s="718"/>
      <c r="CK52" s="718"/>
      <c r="CL52" s="718"/>
      <c r="CM52" s="721"/>
      <c r="CN52" s="722"/>
      <c r="CO52" s="372"/>
      <c r="CP52" s="718"/>
      <c r="CQ52" s="718"/>
      <c r="CR52" s="718"/>
      <c r="CS52" s="721"/>
      <c r="CT52" s="722"/>
      <c r="CU52" s="372"/>
      <c r="CV52" s="718"/>
      <c r="CW52" s="718"/>
      <c r="CX52" s="718"/>
      <c r="CY52" s="721"/>
      <c r="CZ52" s="722"/>
      <c r="DA52" s="372"/>
      <c r="DB52" s="718"/>
      <c r="DC52" s="718"/>
      <c r="DD52" s="718"/>
      <c r="DE52" s="721"/>
      <c r="DF52" s="722"/>
      <c r="DG52" s="54"/>
      <c r="DH52" s="18" t="e">
        <f>SUMIFS(#REF!,#REF!, $C52,#REF!, $E52,#REF!, $F52)</f>
        <v>#REF!</v>
      </c>
      <c r="DI52" s="55" t="e">
        <f>COUNTIFS(#REF!, $C52,#REF!, $E52,#REF!, $F52,#REF!, "&gt;=0")</f>
        <v>#REF!</v>
      </c>
      <c r="DJ52" s="18" t="e">
        <f>COUNTIFS(#REF!, $C52,#REF!, $E52,#REF!, $F52,#REF!, "лично")</f>
        <v>#REF!</v>
      </c>
    </row>
    <row r="53" spans="1:114" ht="12" customHeight="1" x14ac:dyDescent="0.25">
      <c r="A53" s="363">
        <v>21</v>
      </c>
      <c r="B53" s="364" t="s">
        <v>262</v>
      </c>
      <c r="C53" s="365" t="s">
        <v>264</v>
      </c>
      <c r="D53" s="366"/>
      <c r="E53" s="680"/>
      <c r="F53" s="368" t="str">
        <f t="shared" si="0"/>
        <v>Сокращенное название</v>
      </c>
      <c r="G53" s="364" t="s">
        <v>624</v>
      </c>
      <c r="H53" s="369" t="str">
        <f t="shared" si="8"/>
        <v>Фамилия_1 Имя Отчество</v>
      </c>
      <c r="I53" s="370">
        <f t="shared" si="1"/>
        <v>0</v>
      </c>
      <c r="J53" s="715">
        <f t="shared" si="2"/>
        <v>0</v>
      </c>
      <c r="K53" s="370">
        <f t="shared" si="3"/>
        <v>0</v>
      </c>
      <c r="L53" s="715">
        <f t="shared" si="9"/>
        <v>0</v>
      </c>
      <c r="M53" s="716">
        <f t="shared" si="4"/>
        <v>0</v>
      </c>
      <c r="N53" s="371">
        <f t="shared" si="5"/>
        <v>0</v>
      </c>
      <c r="O53" s="717">
        <f t="shared" si="6"/>
        <v>0</v>
      </c>
      <c r="P53" s="371">
        <f t="shared" si="7"/>
        <v>0</v>
      </c>
      <c r="Q53" s="375"/>
      <c r="R53" s="718"/>
      <c r="S53" s="718"/>
      <c r="T53" s="718"/>
      <c r="U53" s="718"/>
      <c r="V53" s="373"/>
      <c r="W53" s="719"/>
      <c r="X53" s="719"/>
      <c r="Y53" s="719"/>
      <c r="Z53" s="720"/>
      <c r="AA53" s="372"/>
      <c r="AB53" s="718"/>
      <c r="AC53" s="718"/>
      <c r="AD53" s="718"/>
      <c r="AE53" s="718"/>
      <c r="AF53" s="373"/>
      <c r="AG53" s="718"/>
      <c r="AH53" s="718"/>
      <c r="AI53" s="718"/>
      <c r="AJ53" s="718"/>
      <c r="AK53" s="373"/>
      <c r="AL53" s="718"/>
      <c r="AM53" s="718"/>
      <c r="AN53" s="718"/>
      <c r="AO53" s="718"/>
      <c r="AP53" s="373"/>
      <c r="AQ53" s="718"/>
      <c r="AR53" s="718"/>
      <c r="AS53" s="718"/>
      <c r="AT53" s="718"/>
      <c r="AU53" s="373"/>
      <c r="AV53" s="718"/>
      <c r="AW53" s="718"/>
      <c r="AX53" s="718"/>
      <c r="AY53" s="718"/>
      <c r="AZ53" s="376"/>
      <c r="BA53" s="718"/>
      <c r="BB53" s="718"/>
      <c r="BC53" s="718"/>
      <c r="BD53" s="720"/>
      <c r="BE53" s="378"/>
      <c r="BF53" s="718"/>
      <c r="BG53" s="718"/>
      <c r="BH53" s="718"/>
      <c r="BI53" s="718"/>
      <c r="BJ53" s="379"/>
      <c r="BK53" s="718"/>
      <c r="BL53" s="718"/>
      <c r="BM53" s="718"/>
      <c r="BN53" s="718"/>
      <c r="BO53" s="372"/>
      <c r="BP53" s="718"/>
      <c r="BQ53" s="718"/>
      <c r="BR53" s="718"/>
      <c r="BS53" s="718"/>
      <c r="BT53" s="373"/>
      <c r="BU53" s="718"/>
      <c r="BV53" s="718"/>
      <c r="BW53" s="718"/>
      <c r="BX53" s="718"/>
      <c r="BY53" s="380"/>
      <c r="BZ53" s="718"/>
      <c r="CA53" s="718"/>
      <c r="CB53" s="718"/>
      <c r="CC53" s="718"/>
      <c r="CD53" s="382"/>
      <c r="CE53" s="718"/>
      <c r="CF53" s="718"/>
      <c r="CG53" s="718"/>
      <c r="CH53" s="718"/>
      <c r="CI53" s="372"/>
      <c r="CJ53" s="718"/>
      <c r="CK53" s="718"/>
      <c r="CL53" s="718"/>
      <c r="CM53" s="721"/>
      <c r="CN53" s="722"/>
      <c r="CO53" s="372"/>
      <c r="CP53" s="718"/>
      <c r="CQ53" s="718"/>
      <c r="CR53" s="718"/>
      <c r="CS53" s="721"/>
      <c r="CT53" s="722"/>
      <c r="CU53" s="372"/>
      <c r="CV53" s="718"/>
      <c r="CW53" s="718"/>
      <c r="CX53" s="718"/>
      <c r="CY53" s="721"/>
      <c r="CZ53" s="722"/>
      <c r="DA53" s="372"/>
      <c r="DB53" s="718"/>
      <c r="DC53" s="718"/>
      <c r="DD53" s="718"/>
      <c r="DE53" s="721"/>
      <c r="DF53" s="722"/>
      <c r="DG53" s="54"/>
      <c r="DH53" s="18" t="e">
        <f>SUMIFS(#REF!,#REF!, $C53,#REF!, $E53,#REF!, $F53)</f>
        <v>#REF!</v>
      </c>
      <c r="DI53" s="55" t="e">
        <f>COUNTIFS(#REF!, $C53,#REF!, $E53,#REF!, $F53,#REF!, "&gt;=0")</f>
        <v>#REF!</v>
      </c>
      <c r="DJ53" s="18" t="e">
        <f>COUNTIFS(#REF!, $C53,#REF!, $E53,#REF!, $F53,#REF!, "лично")</f>
        <v>#REF!</v>
      </c>
    </row>
    <row r="54" spans="1:114" ht="12" customHeight="1" x14ac:dyDescent="0.25">
      <c r="A54" s="363">
        <v>22</v>
      </c>
      <c r="B54" s="364" t="s">
        <v>76</v>
      </c>
      <c r="C54" s="365" t="s">
        <v>264</v>
      </c>
      <c r="D54" s="366"/>
      <c r="E54" s="680"/>
      <c r="F54" s="368" t="str">
        <f t="shared" si="0"/>
        <v>Сокращенное название</v>
      </c>
      <c r="G54" s="364" t="s">
        <v>624</v>
      </c>
      <c r="H54" s="369" t="str">
        <f t="shared" si="8"/>
        <v>Фамилия_1 Имя Отчество</v>
      </c>
      <c r="I54" s="370">
        <f t="shared" si="1"/>
        <v>0</v>
      </c>
      <c r="J54" s="715">
        <f t="shared" si="2"/>
        <v>0</v>
      </c>
      <c r="K54" s="370">
        <f t="shared" si="3"/>
        <v>0</v>
      </c>
      <c r="L54" s="715">
        <f t="shared" si="9"/>
        <v>0</v>
      </c>
      <c r="M54" s="716">
        <f t="shared" si="4"/>
        <v>0</v>
      </c>
      <c r="N54" s="371">
        <f t="shared" si="5"/>
        <v>0</v>
      </c>
      <c r="O54" s="717">
        <f t="shared" si="6"/>
        <v>0</v>
      </c>
      <c r="P54" s="371">
        <f t="shared" si="7"/>
        <v>0</v>
      </c>
      <c r="Q54" s="375"/>
      <c r="R54" s="718"/>
      <c r="S54" s="718"/>
      <c r="T54" s="718"/>
      <c r="U54" s="718"/>
      <c r="V54" s="373"/>
      <c r="W54" s="719"/>
      <c r="X54" s="719"/>
      <c r="Y54" s="719"/>
      <c r="Z54" s="720"/>
      <c r="AA54" s="372"/>
      <c r="AB54" s="718"/>
      <c r="AC54" s="718"/>
      <c r="AD54" s="718"/>
      <c r="AE54" s="718"/>
      <c r="AF54" s="373"/>
      <c r="AG54" s="718"/>
      <c r="AH54" s="718"/>
      <c r="AI54" s="718"/>
      <c r="AJ54" s="718"/>
      <c r="AK54" s="373"/>
      <c r="AL54" s="718"/>
      <c r="AM54" s="718"/>
      <c r="AN54" s="718"/>
      <c r="AO54" s="718"/>
      <c r="AP54" s="373"/>
      <c r="AQ54" s="718"/>
      <c r="AR54" s="718"/>
      <c r="AS54" s="718"/>
      <c r="AT54" s="718"/>
      <c r="AU54" s="373"/>
      <c r="AV54" s="718"/>
      <c r="AW54" s="718"/>
      <c r="AX54" s="718"/>
      <c r="AY54" s="718"/>
      <c r="AZ54" s="376"/>
      <c r="BA54" s="718"/>
      <c r="BB54" s="718"/>
      <c r="BC54" s="718"/>
      <c r="BD54" s="720"/>
      <c r="BE54" s="378"/>
      <c r="BF54" s="718"/>
      <c r="BG54" s="718"/>
      <c r="BH54" s="718"/>
      <c r="BI54" s="718"/>
      <c r="BJ54" s="379"/>
      <c r="BK54" s="718"/>
      <c r="BL54" s="718"/>
      <c r="BM54" s="718"/>
      <c r="BN54" s="718"/>
      <c r="BO54" s="372"/>
      <c r="BP54" s="718"/>
      <c r="BQ54" s="718"/>
      <c r="BR54" s="718"/>
      <c r="BS54" s="718"/>
      <c r="BT54" s="373"/>
      <c r="BU54" s="718"/>
      <c r="BV54" s="718"/>
      <c r="BW54" s="718"/>
      <c r="BX54" s="718"/>
      <c r="BY54" s="380"/>
      <c r="BZ54" s="718"/>
      <c r="CA54" s="718"/>
      <c r="CB54" s="718"/>
      <c r="CC54" s="718"/>
      <c r="CD54" s="382"/>
      <c r="CE54" s="718"/>
      <c r="CF54" s="718"/>
      <c r="CG54" s="718"/>
      <c r="CH54" s="718"/>
      <c r="CI54" s="372"/>
      <c r="CJ54" s="718"/>
      <c r="CK54" s="718"/>
      <c r="CL54" s="718"/>
      <c r="CM54" s="721"/>
      <c r="CN54" s="722"/>
      <c r="CO54" s="372"/>
      <c r="CP54" s="718"/>
      <c r="CQ54" s="718"/>
      <c r="CR54" s="718"/>
      <c r="CS54" s="721"/>
      <c r="CT54" s="722"/>
      <c r="CU54" s="372"/>
      <c r="CV54" s="718"/>
      <c r="CW54" s="718"/>
      <c r="CX54" s="718"/>
      <c r="CY54" s="721"/>
      <c r="CZ54" s="722"/>
      <c r="DA54" s="372"/>
      <c r="DB54" s="718"/>
      <c r="DC54" s="718"/>
      <c r="DD54" s="718"/>
      <c r="DE54" s="721"/>
      <c r="DF54" s="722"/>
      <c r="DG54" s="54"/>
      <c r="DH54" s="18" t="e">
        <f>SUMIFS(#REF!,#REF!, $C54,#REF!, $E54,#REF!, $F54)</f>
        <v>#REF!</v>
      </c>
      <c r="DI54" s="55" t="e">
        <f>COUNTIFS(#REF!, $C54,#REF!, $E54,#REF!, $F54,#REF!, "&gt;=0")</f>
        <v>#REF!</v>
      </c>
      <c r="DJ54" s="18" t="e">
        <f>COUNTIFS(#REF!, $C54,#REF!, $E54,#REF!, $F54,#REF!, "лично")</f>
        <v>#REF!</v>
      </c>
    </row>
    <row r="55" spans="1:114" ht="12" customHeight="1" x14ac:dyDescent="0.25">
      <c r="A55" s="363">
        <v>23</v>
      </c>
      <c r="B55" s="364" t="s">
        <v>262</v>
      </c>
      <c r="C55" s="365" t="s">
        <v>264</v>
      </c>
      <c r="D55" s="366"/>
      <c r="E55" s="680"/>
      <c r="F55" s="368" t="str">
        <f t="shared" si="0"/>
        <v>Сокращенное название</v>
      </c>
      <c r="G55" s="364" t="s">
        <v>624</v>
      </c>
      <c r="H55" s="369" t="str">
        <f t="shared" si="8"/>
        <v>Фамилия_1 Имя Отчество</v>
      </c>
      <c r="I55" s="370">
        <f t="shared" si="1"/>
        <v>0</v>
      </c>
      <c r="J55" s="715">
        <f t="shared" si="2"/>
        <v>0</v>
      </c>
      <c r="K55" s="370">
        <f t="shared" si="3"/>
        <v>0</v>
      </c>
      <c r="L55" s="715">
        <f t="shared" si="9"/>
        <v>0</v>
      </c>
      <c r="M55" s="716">
        <f t="shared" si="4"/>
        <v>0</v>
      </c>
      <c r="N55" s="371">
        <f t="shared" si="5"/>
        <v>0</v>
      </c>
      <c r="O55" s="717">
        <f t="shared" si="6"/>
        <v>0</v>
      </c>
      <c r="P55" s="371">
        <f t="shared" si="7"/>
        <v>0</v>
      </c>
      <c r="Q55" s="375"/>
      <c r="R55" s="718"/>
      <c r="S55" s="718"/>
      <c r="T55" s="718"/>
      <c r="U55" s="718"/>
      <c r="V55" s="373"/>
      <c r="W55" s="719"/>
      <c r="X55" s="719"/>
      <c r="Y55" s="719"/>
      <c r="Z55" s="720"/>
      <c r="AA55" s="372"/>
      <c r="AB55" s="718"/>
      <c r="AC55" s="718"/>
      <c r="AD55" s="718"/>
      <c r="AE55" s="718"/>
      <c r="AF55" s="373"/>
      <c r="AG55" s="718"/>
      <c r="AH55" s="718"/>
      <c r="AI55" s="718"/>
      <c r="AJ55" s="718"/>
      <c r="AK55" s="373"/>
      <c r="AL55" s="718"/>
      <c r="AM55" s="718"/>
      <c r="AN55" s="718"/>
      <c r="AO55" s="718"/>
      <c r="AP55" s="373"/>
      <c r="AQ55" s="718"/>
      <c r="AR55" s="718"/>
      <c r="AS55" s="718"/>
      <c r="AT55" s="718"/>
      <c r="AU55" s="373"/>
      <c r="AV55" s="718"/>
      <c r="AW55" s="718"/>
      <c r="AX55" s="718"/>
      <c r="AY55" s="718"/>
      <c r="AZ55" s="376"/>
      <c r="BA55" s="718"/>
      <c r="BB55" s="718"/>
      <c r="BC55" s="718"/>
      <c r="BD55" s="720"/>
      <c r="BE55" s="378"/>
      <c r="BF55" s="718"/>
      <c r="BG55" s="718"/>
      <c r="BH55" s="718"/>
      <c r="BI55" s="718"/>
      <c r="BJ55" s="379"/>
      <c r="BK55" s="718"/>
      <c r="BL55" s="718"/>
      <c r="BM55" s="718"/>
      <c r="BN55" s="718"/>
      <c r="BO55" s="372"/>
      <c r="BP55" s="718"/>
      <c r="BQ55" s="718"/>
      <c r="BR55" s="718"/>
      <c r="BS55" s="718"/>
      <c r="BT55" s="373"/>
      <c r="BU55" s="718"/>
      <c r="BV55" s="718"/>
      <c r="BW55" s="718"/>
      <c r="BX55" s="718"/>
      <c r="BY55" s="380"/>
      <c r="BZ55" s="718"/>
      <c r="CA55" s="718"/>
      <c r="CB55" s="718"/>
      <c r="CC55" s="718"/>
      <c r="CD55" s="382"/>
      <c r="CE55" s="718"/>
      <c r="CF55" s="718"/>
      <c r="CG55" s="718"/>
      <c r="CH55" s="718"/>
      <c r="CI55" s="372"/>
      <c r="CJ55" s="718"/>
      <c r="CK55" s="718"/>
      <c r="CL55" s="718"/>
      <c r="CM55" s="721"/>
      <c r="CN55" s="722"/>
      <c r="CO55" s="372"/>
      <c r="CP55" s="718"/>
      <c r="CQ55" s="718"/>
      <c r="CR55" s="718"/>
      <c r="CS55" s="721"/>
      <c r="CT55" s="722"/>
      <c r="CU55" s="372"/>
      <c r="CV55" s="718"/>
      <c r="CW55" s="718"/>
      <c r="CX55" s="718"/>
      <c r="CY55" s="721"/>
      <c r="CZ55" s="722"/>
      <c r="DA55" s="372"/>
      <c r="DB55" s="718"/>
      <c r="DC55" s="718"/>
      <c r="DD55" s="718"/>
      <c r="DE55" s="721"/>
      <c r="DF55" s="722"/>
      <c r="DG55" s="54"/>
      <c r="DH55" s="18" t="e">
        <f>SUMIFS(#REF!,#REF!, $C55,#REF!, $E55,#REF!, $F55)</f>
        <v>#REF!</v>
      </c>
      <c r="DI55" s="55" t="e">
        <f>COUNTIFS(#REF!, $C55,#REF!, $E55,#REF!, $F55,#REF!, "&gt;=0")</f>
        <v>#REF!</v>
      </c>
      <c r="DJ55" s="18" t="e">
        <f>COUNTIFS(#REF!, $C55,#REF!, $E55,#REF!, $F55,#REF!, "лично")</f>
        <v>#REF!</v>
      </c>
    </row>
    <row r="56" spans="1:114" ht="12" customHeight="1" x14ac:dyDescent="0.25">
      <c r="A56" s="363">
        <v>24</v>
      </c>
      <c r="B56" s="364" t="s">
        <v>76</v>
      </c>
      <c r="C56" s="365" t="s">
        <v>264</v>
      </c>
      <c r="D56" s="366"/>
      <c r="E56" s="680"/>
      <c r="F56" s="368" t="str">
        <f t="shared" si="0"/>
        <v>Сокращенное название</v>
      </c>
      <c r="G56" s="364" t="s">
        <v>624</v>
      </c>
      <c r="H56" s="369" t="str">
        <f t="shared" si="8"/>
        <v>Фамилия_1 Имя Отчество</v>
      </c>
      <c r="I56" s="370">
        <f t="shared" si="1"/>
        <v>0</v>
      </c>
      <c r="J56" s="715">
        <f t="shared" si="2"/>
        <v>0</v>
      </c>
      <c r="K56" s="370">
        <f t="shared" si="3"/>
        <v>0</v>
      </c>
      <c r="L56" s="715">
        <f t="shared" si="9"/>
        <v>0</v>
      </c>
      <c r="M56" s="716">
        <f t="shared" si="4"/>
        <v>0</v>
      </c>
      <c r="N56" s="371">
        <f t="shared" si="5"/>
        <v>0</v>
      </c>
      <c r="O56" s="717">
        <f t="shared" si="6"/>
        <v>0</v>
      </c>
      <c r="P56" s="371">
        <f t="shared" si="7"/>
        <v>0</v>
      </c>
      <c r="Q56" s="375"/>
      <c r="R56" s="718"/>
      <c r="S56" s="718"/>
      <c r="T56" s="718"/>
      <c r="U56" s="718"/>
      <c r="V56" s="373"/>
      <c r="W56" s="719"/>
      <c r="X56" s="719"/>
      <c r="Y56" s="719"/>
      <c r="Z56" s="720"/>
      <c r="AA56" s="372"/>
      <c r="AB56" s="718"/>
      <c r="AC56" s="718"/>
      <c r="AD56" s="718"/>
      <c r="AE56" s="718"/>
      <c r="AF56" s="373"/>
      <c r="AG56" s="718"/>
      <c r="AH56" s="718"/>
      <c r="AI56" s="718"/>
      <c r="AJ56" s="718"/>
      <c r="AK56" s="373"/>
      <c r="AL56" s="718"/>
      <c r="AM56" s="718"/>
      <c r="AN56" s="718"/>
      <c r="AO56" s="718"/>
      <c r="AP56" s="373"/>
      <c r="AQ56" s="718"/>
      <c r="AR56" s="718"/>
      <c r="AS56" s="718"/>
      <c r="AT56" s="718"/>
      <c r="AU56" s="373"/>
      <c r="AV56" s="718"/>
      <c r="AW56" s="718"/>
      <c r="AX56" s="718"/>
      <c r="AY56" s="718"/>
      <c r="AZ56" s="376"/>
      <c r="BA56" s="718"/>
      <c r="BB56" s="718"/>
      <c r="BC56" s="718"/>
      <c r="BD56" s="720"/>
      <c r="BE56" s="378"/>
      <c r="BF56" s="718"/>
      <c r="BG56" s="718"/>
      <c r="BH56" s="718"/>
      <c r="BI56" s="718"/>
      <c r="BJ56" s="379"/>
      <c r="BK56" s="718"/>
      <c r="BL56" s="718"/>
      <c r="BM56" s="718"/>
      <c r="BN56" s="718"/>
      <c r="BO56" s="372"/>
      <c r="BP56" s="718"/>
      <c r="BQ56" s="718"/>
      <c r="BR56" s="718"/>
      <c r="BS56" s="718"/>
      <c r="BT56" s="373"/>
      <c r="BU56" s="718"/>
      <c r="BV56" s="718"/>
      <c r="BW56" s="718"/>
      <c r="BX56" s="718"/>
      <c r="BY56" s="380"/>
      <c r="BZ56" s="718"/>
      <c r="CA56" s="718"/>
      <c r="CB56" s="718"/>
      <c r="CC56" s="718"/>
      <c r="CD56" s="382"/>
      <c r="CE56" s="718"/>
      <c r="CF56" s="718"/>
      <c r="CG56" s="718"/>
      <c r="CH56" s="718"/>
      <c r="CI56" s="372"/>
      <c r="CJ56" s="718"/>
      <c r="CK56" s="718"/>
      <c r="CL56" s="718"/>
      <c r="CM56" s="721"/>
      <c r="CN56" s="722"/>
      <c r="CO56" s="372"/>
      <c r="CP56" s="718"/>
      <c r="CQ56" s="718"/>
      <c r="CR56" s="718"/>
      <c r="CS56" s="721"/>
      <c r="CT56" s="722"/>
      <c r="CU56" s="372"/>
      <c r="CV56" s="718"/>
      <c r="CW56" s="718"/>
      <c r="CX56" s="718"/>
      <c r="CY56" s="721"/>
      <c r="CZ56" s="722"/>
      <c r="DA56" s="372"/>
      <c r="DB56" s="718"/>
      <c r="DC56" s="718"/>
      <c r="DD56" s="718"/>
      <c r="DE56" s="721"/>
      <c r="DF56" s="722"/>
      <c r="DG56" s="54"/>
      <c r="DH56" s="18" t="e">
        <f>SUMIFS(#REF!,#REF!, $C56,#REF!, $E56,#REF!, $F56)</f>
        <v>#REF!</v>
      </c>
      <c r="DI56" s="55" t="e">
        <f>COUNTIFS(#REF!, $C56,#REF!, $E56,#REF!, $F56,#REF!, "&gt;=0")</f>
        <v>#REF!</v>
      </c>
      <c r="DJ56" s="18" t="e">
        <f>COUNTIFS(#REF!, $C56,#REF!, $E56,#REF!, $F56,#REF!, "лично")</f>
        <v>#REF!</v>
      </c>
    </row>
    <row r="57" spans="1:114" ht="12.75" customHeight="1" x14ac:dyDescent="0.25">
      <c r="A57" s="435">
        <v>25</v>
      </c>
      <c r="B57" s="388" t="s">
        <v>84</v>
      </c>
      <c r="C57" s="389" t="s">
        <v>264</v>
      </c>
      <c r="D57" s="390"/>
      <c r="E57" s="681"/>
      <c r="F57" s="392" t="str">
        <f t="shared" si="0"/>
        <v>Сокращенное название</v>
      </c>
      <c r="G57" s="388" t="s">
        <v>624</v>
      </c>
      <c r="H57" s="393" t="str">
        <f t="shared" si="8"/>
        <v>Фамилия_1 Имя Отчество</v>
      </c>
      <c r="I57" s="394">
        <f t="shared" si="1"/>
        <v>0</v>
      </c>
      <c r="J57" s="723">
        <f t="shared" si="2"/>
        <v>0</v>
      </c>
      <c r="K57" s="394">
        <f t="shared" si="3"/>
        <v>0</v>
      </c>
      <c r="L57" s="715">
        <f t="shared" si="9"/>
        <v>0</v>
      </c>
      <c r="M57" s="724">
        <f t="shared" si="4"/>
        <v>0</v>
      </c>
      <c r="N57" s="395">
        <f t="shared" si="5"/>
        <v>0</v>
      </c>
      <c r="O57" s="725">
        <f t="shared" si="6"/>
        <v>0</v>
      </c>
      <c r="P57" s="395">
        <f t="shared" si="7"/>
        <v>0</v>
      </c>
      <c r="Q57" s="399"/>
      <c r="R57" s="726"/>
      <c r="S57" s="726"/>
      <c r="T57" s="726"/>
      <c r="U57" s="726"/>
      <c r="V57" s="397"/>
      <c r="W57" s="727"/>
      <c r="X57" s="727"/>
      <c r="Y57" s="727"/>
      <c r="Z57" s="623"/>
      <c r="AA57" s="396"/>
      <c r="AB57" s="726"/>
      <c r="AC57" s="726"/>
      <c r="AD57" s="726"/>
      <c r="AE57" s="726"/>
      <c r="AF57" s="397"/>
      <c r="AG57" s="726"/>
      <c r="AH57" s="726"/>
      <c r="AI57" s="726"/>
      <c r="AJ57" s="726"/>
      <c r="AK57" s="397"/>
      <c r="AL57" s="726"/>
      <c r="AM57" s="726"/>
      <c r="AN57" s="726"/>
      <c r="AO57" s="726"/>
      <c r="AP57" s="397"/>
      <c r="AQ57" s="726"/>
      <c r="AR57" s="726"/>
      <c r="AS57" s="726"/>
      <c r="AT57" s="726"/>
      <c r="AU57" s="397"/>
      <c r="AV57" s="726"/>
      <c r="AW57" s="726"/>
      <c r="AX57" s="726"/>
      <c r="AY57" s="726"/>
      <c r="AZ57" s="400"/>
      <c r="BA57" s="726"/>
      <c r="BB57" s="726"/>
      <c r="BC57" s="726"/>
      <c r="BD57" s="623"/>
      <c r="BE57" s="402"/>
      <c r="BF57" s="726"/>
      <c r="BG57" s="726"/>
      <c r="BH57" s="726"/>
      <c r="BI57" s="726"/>
      <c r="BJ57" s="403"/>
      <c r="BK57" s="726"/>
      <c r="BL57" s="726"/>
      <c r="BM57" s="726"/>
      <c r="BN57" s="726"/>
      <c r="BO57" s="396"/>
      <c r="BP57" s="726"/>
      <c r="BQ57" s="726"/>
      <c r="BR57" s="726"/>
      <c r="BS57" s="726"/>
      <c r="BT57" s="397"/>
      <c r="BU57" s="726"/>
      <c r="BV57" s="726"/>
      <c r="BW57" s="726"/>
      <c r="BX57" s="726"/>
      <c r="BY57" s="404"/>
      <c r="BZ57" s="726"/>
      <c r="CA57" s="726"/>
      <c r="CB57" s="726"/>
      <c r="CC57" s="726"/>
      <c r="CD57" s="406"/>
      <c r="CE57" s="726"/>
      <c r="CF57" s="726"/>
      <c r="CG57" s="726"/>
      <c r="CH57" s="726"/>
      <c r="CI57" s="396"/>
      <c r="CJ57" s="726"/>
      <c r="CK57" s="726"/>
      <c r="CL57" s="726"/>
      <c r="CM57" s="728"/>
      <c r="CN57" s="729"/>
      <c r="CO57" s="396"/>
      <c r="CP57" s="726"/>
      <c r="CQ57" s="726"/>
      <c r="CR57" s="726"/>
      <c r="CS57" s="728"/>
      <c r="CT57" s="729"/>
      <c r="CU57" s="396"/>
      <c r="CV57" s="726"/>
      <c r="CW57" s="726"/>
      <c r="CX57" s="726"/>
      <c r="CY57" s="728"/>
      <c r="CZ57" s="729"/>
      <c r="DA57" s="396"/>
      <c r="DB57" s="726"/>
      <c r="DC57" s="726"/>
      <c r="DD57" s="726"/>
      <c r="DE57" s="728"/>
      <c r="DF57" s="729"/>
      <c r="DG57" s="54"/>
      <c r="DH57" s="18" t="e">
        <f>SUMIFS(#REF!,#REF!, $C57,#REF!, $E57,#REF!, $F57)</f>
        <v>#REF!</v>
      </c>
      <c r="DI57" s="55" t="e">
        <f>COUNTIFS(#REF!, $C57,#REF!, $E57,#REF!, $F57,#REF!, "&gt;=0")</f>
        <v>#REF!</v>
      </c>
      <c r="DJ57" s="18" t="e">
        <f>COUNTIFS(#REF!, $C57,#REF!, $E57,#REF!, $F57,#REF!, "лично")</f>
        <v>#REF!</v>
      </c>
    </row>
    <row r="58" spans="1:114" ht="12" customHeight="1" x14ac:dyDescent="0.25">
      <c r="A58" s="410">
        <f t="shared" ref="A58:A82" si="10">A57+1</f>
        <v>26</v>
      </c>
      <c r="B58" s="411" t="s">
        <v>158</v>
      </c>
      <c r="C58" s="412" t="s">
        <v>265</v>
      </c>
      <c r="D58" s="413"/>
      <c r="E58" s="682"/>
      <c r="F58" s="415" t="str">
        <f t="shared" si="0"/>
        <v>Сокращенное название</v>
      </c>
      <c r="G58" s="416" t="s">
        <v>625</v>
      </c>
      <c r="H58" s="417" t="str">
        <f t="shared" si="8"/>
        <v>Фамилия_1 Имя Отчество</v>
      </c>
      <c r="I58" s="418">
        <f t="shared" si="1"/>
        <v>0</v>
      </c>
      <c r="J58" s="703">
        <f t="shared" si="2"/>
        <v>0</v>
      </c>
      <c r="K58" s="418">
        <f t="shared" si="3"/>
        <v>0</v>
      </c>
      <c r="L58" s="715">
        <f t="shared" si="9"/>
        <v>0</v>
      </c>
      <c r="M58" s="704">
        <f t="shared" si="4"/>
        <v>0</v>
      </c>
      <c r="N58" s="419">
        <f t="shared" si="5"/>
        <v>0</v>
      </c>
      <c r="O58" s="705">
        <f t="shared" si="6"/>
        <v>0</v>
      </c>
      <c r="P58" s="419">
        <f t="shared" si="7"/>
        <v>0</v>
      </c>
      <c r="Q58" s="428"/>
      <c r="R58" s="706"/>
      <c r="S58" s="706"/>
      <c r="T58" s="706"/>
      <c r="U58" s="706"/>
      <c r="V58" s="429"/>
      <c r="W58" s="707"/>
      <c r="X58" s="707"/>
      <c r="Y58" s="707"/>
      <c r="Z58" s="708"/>
      <c r="AA58" s="427"/>
      <c r="AB58" s="706"/>
      <c r="AC58" s="706"/>
      <c r="AD58" s="706"/>
      <c r="AE58" s="706"/>
      <c r="AF58" s="429"/>
      <c r="AG58" s="706"/>
      <c r="AH58" s="706"/>
      <c r="AI58" s="706"/>
      <c r="AJ58" s="706"/>
      <c r="AK58" s="429"/>
      <c r="AL58" s="706"/>
      <c r="AM58" s="706"/>
      <c r="AN58" s="706"/>
      <c r="AO58" s="706"/>
      <c r="AP58" s="429"/>
      <c r="AQ58" s="706"/>
      <c r="AR58" s="706"/>
      <c r="AS58" s="706"/>
      <c r="AT58" s="706"/>
      <c r="AU58" s="429"/>
      <c r="AV58" s="706"/>
      <c r="AW58" s="706"/>
      <c r="AX58" s="706"/>
      <c r="AY58" s="706"/>
      <c r="AZ58" s="429"/>
      <c r="BA58" s="706"/>
      <c r="BB58" s="706"/>
      <c r="BC58" s="706"/>
      <c r="BD58" s="708"/>
      <c r="BE58" s="424"/>
      <c r="BF58" s="706"/>
      <c r="BG58" s="706"/>
      <c r="BH58" s="706"/>
      <c r="BI58" s="706"/>
      <c r="BJ58" s="425"/>
      <c r="BK58" s="706"/>
      <c r="BL58" s="706"/>
      <c r="BM58" s="706"/>
      <c r="BN58" s="706"/>
      <c r="BO58" s="427"/>
      <c r="BP58" s="706"/>
      <c r="BQ58" s="706"/>
      <c r="BR58" s="706"/>
      <c r="BS58" s="706"/>
      <c r="BT58" s="429"/>
      <c r="BU58" s="706"/>
      <c r="BV58" s="706"/>
      <c r="BW58" s="706"/>
      <c r="BX58" s="706"/>
      <c r="BY58" s="426"/>
      <c r="BZ58" s="706"/>
      <c r="CA58" s="706"/>
      <c r="CB58" s="706"/>
      <c r="CC58" s="706"/>
      <c r="CD58" s="432"/>
      <c r="CE58" s="706"/>
      <c r="CF58" s="706"/>
      <c r="CG58" s="706"/>
      <c r="CH58" s="706"/>
      <c r="CI58" s="427"/>
      <c r="CJ58" s="706"/>
      <c r="CK58" s="706"/>
      <c r="CL58" s="706"/>
      <c r="CM58" s="713"/>
      <c r="CN58" s="714"/>
      <c r="CO58" s="427"/>
      <c r="CP58" s="706"/>
      <c r="CQ58" s="706"/>
      <c r="CR58" s="706"/>
      <c r="CS58" s="713"/>
      <c r="CT58" s="714"/>
      <c r="CU58" s="427"/>
      <c r="CV58" s="706"/>
      <c r="CW58" s="706"/>
      <c r="CX58" s="706"/>
      <c r="CY58" s="713"/>
      <c r="CZ58" s="714"/>
      <c r="DA58" s="427"/>
      <c r="DB58" s="706"/>
      <c r="DC58" s="706"/>
      <c r="DD58" s="706"/>
      <c r="DE58" s="713"/>
      <c r="DF58" s="714"/>
      <c r="DG58" s="54"/>
      <c r="DH58" s="18" t="e">
        <f>SUMIFS(#REF!,#REF!, $C58,#REF!, $E58,#REF!, $F58)</f>
        <v>#REF!</v>
      </c>
      <c r="DI58" s="55" t="e">
        <f>COUNTIFS(#REF!, $C58,#REF!, $E58,#REF!, $F58,#REF!, "&gt;=0")</f>
        <v>#REF!</v>
      </c>
      <c r="DJ58" s="18" t="e">
        <f>COUNTIFS(#REF!, $C58,#REF!, $E58,#REF!, $F58,#REF!, "лично")</f>
        <v>#REF!</v>
      </c>
    </row>
    <row r="59" spans="1:114" ht="12" customHeight="1" x14ac:dyDescent="0.25">
      <c r="A59" s="363">
        <f t="shared" si="10"/>
        <v>27</v>
      </c>
      <c r="B59" s="364" t="s">
        <v>84</v>
      </c>
      <c r="C59" s="365" t="s">
        <v>265</v>
      </c>
      <c r="D59" s="366"/>
      <c r="E59" s="680"/>
      <c r="F59" s="369" t="str">
        <f t="shared" si="0"/>
        <v>Сокращенное название</v>
      </c>
      <c r="G59" s="364" t="s">
        <v>625</v>
      </c>
      <c r="H59" s="369" t="str">
        <f t="shared" si="8"/>
        <v>Фамилия_1 Имя Отчество</v>
      </c>
      <c r="I59" s="370">
        <f t="shared" si="1"/>
        <v>0</v>
      </c>
      <c r="J59" s="715">
        <f t="shared" si="2"/>
        <v>0</v>
      </c>
      <c r="K59" s="370">
        <f t="shared" si="3"/>
        <v>0</v>
      </c>
      <c r="L59" s="715">
        <f t="shared" si="9"/>
        <v>0</v>
      </c>
      <c r="M59" s="716">
        <f t="shared" si="4"/>
        <v>0</v>
      </c>
      <c r="N59" s="371">
        <f t="shared" si="5"/>
        <v>0</v>
      </c>
      <c r="O59" s="717">
        <f t="shared" si="6"/>
        <v>0</v>
      </c>
      <c r="P59" s="371">
        <f t="shared" si="7"/>
        <v>0</v>
      </c>
      <c r="Q59" s="375"/>
      <c r="R59" s="718"/>
      <c r="S59" s="718"/>
      <c r="T59" s="718"/>
      <c r="U59" s="718"/>
      <c r="V59" s="373"/>
      <c r="W59" s="719"/>
      <c r="X59" s="719"/>
      <c r="Y59" s="719"/>
      <c r="Z59" s="720"/>
      <c r="AA59" s="372"/>
      <c r="AB59" s="718"/>
      <c r="AC59" s="718"/>
      <c r="AD59" s="718"/>
      <c r="AE59" s="718"/>
      <c r="AF59" s="373"/>
      <c r="AG59" s="718"/>
      <c r="AH59" s="718"/>
      <c r="AI59" s="718"/>
      <c r="AJ59" s="718"/>
      <c r="AK59" s="373"/>
      <c r="AL59" s="718"/>
      <c r="AM59" s="718"/>
      <c r="AN59" s="718"/>
      <c r="AO59" s="718"/>
      <c r="AP59" s="373"/>
      <c r="AQ59" s="718"/>
      <c r="AR59" s="718"/>
      <c r="AS59" s="718"/>
      <c r="AT59" s="718"/>
      <c r="AU59" s="373"/>
      <c r="AV59" s="718"/>
      <c r="AW59" s="718"/>
      <c r="AX59" s="718"/>
      <c r="AY59" s="718"/>
      <c r="AZ59" s="373"/>
      <c r="BA59" s="718"/>
      <c r="BB59" s="718"/>
      <c r="BC59" s="718"/>
      <c r="BD59" s="720"/>
      <c r="BE59" s="378"/>
      <c r="BF59" s="718"/>
      <c r="BG59" s="718"/>
      <c r="BH59" s="718"/>
      <c r="BI59" s="718"/>
      <c r="BJ59" s="379"/>
      <c r="BK59" s="718"/>
      <c r="BL59" s="718"/>
      <c r="BM59" s="718"/>
      <c r="BN59" s="718"/>
      <c r="BO59" s="372"/>
      <c r="BP59" s="718"/>
      <c r="BQ59" s="718"/>
      <c r="BR59" s="718"/>
      <c r="BS59" s="718"/>
      <c r="BT59" s="373"/>
      <c r="BU59" s="718"/>
      <c r="BV59" s="718"/>
      <c r="BW59" s="718"/>
      <c r="BX59" s="718"/>
      <c r="BY59" s="380"/>
      <c r="BZ59" s="718"/>
      <c r="CA59" s="718"/>
      <c r="CB59" s="718"/>
      <c r="CC59" s="718"/>
      <c r="CD59" s="382"/>
      <c r="CE59" s="718"/>
      <c r="CF59" s="718"/>
      <c r="CG59" s="718"/>
      <c r="CH59" s="718"/>
      <c r="CI59" s="372"/>
      <c r="CJ59" s="718"/>
      <c r="CK59" s="718"/>
      <c r="CL59" s="718"/>
      <c r="CM59" s="721"/>
      <c r="CN59" s="722"/>
      <c r="CO59" s="372"/>
      <c r="CP59" s="718"/>
      <c r="CQ59" s="718"/>
      <c r="CR59" s="718"/>
      <c r="CS59" s="721"/>
      <c r="CT59" s="722"/>
      <c r="CU59" s="372"/>
      <c r="CV59" s="718"/>
      <c r="CW59" s="718"/>
      <c r="CX59" s="718"/>
      <c r="CY59" s="721"/>
      <c r="CZ59" s="722"/>
      <c r="DA59" s="372"/>
      <c r="DB59" s="718"/>
      <c r="DC59" s="718"/>
      <c r="DD59" s="718"/>
      <c r="DE59" s="721"/>
      <c r="DF59" s="722"/>
      <c r="DG59" s="54"/>
      <c r="DH59" s="18" t="e">
        <f>SUMIFS(#REF!,#REF!, $C59,#REF!, $E59,#REF!, $F59)</f>
        <v>#REF!</v>
      </c>
      <c r="DI59" s="55" t="e">
        <f>COUNTIFS(#REF!, $C59,#REF!, $E59,#REF!, $F59,#REF!, "&gt;=0")</f>
        <v>#REF!</v>
      </c>
      <c r="DJ59" s="18" t="e">
        <f>COUNTIFS(#REF!, $C59,#REF!, $E59,#REF!, $F59,#REF!, "лично")</f>
        <v>#REF!</v>
      </c>
    </row>
    <row r="60" spans="1:114" ht="12" customHeight="1" x14ac:dyDescent="0.25">
      <c r="A60" s="363">
        <f t="shared" si="10"/>
        <v>28</v>
      </c>
      <c r="B60" s="364" t="s">
        <v>260</v>
      </c>
      <c r="C60" s="365" t="s">
        <v>265</v>
      </c>
      <c r="D60" s="366"/>
      <c r="E60" s="680"/>
      <c r="F60" s="369" t="str">
        <f t="shared" si="0"/>
        <v>Сокращенное название</v>
      </c>
      <c r="G60" s="364" t="s">
        <v>625</v>
      </c>
      <c r="H60" s="369" t="str">
        <f t="shared" si="8"/>
        <v>Фамилия_1 Имя Отчество</v>
      </c>
      <c r="I60" s="370">
        <f t="shared" si="1"/>
        <v>0</v>
      </c>
      <c r="J60" s="715">
        <f t="shared" si="2"/>
        <v>0</v>
      </c>
      <c r="K60" s="370">
        <f t="shared" si="3"/>
        <v>0</v>
      </c>
      <c r="L60" s="715">
        <f t="shared" si="9"/>
        <v>0</v>
      </c>
      <c r="M60" s="716">
        <f t="shared" si="4"/>
        <v>0</v>
      </c>
      <c r="N60" s="371">
        <f t="shared" si="5"/>
        <v>0</v>
      </c>
      <c r="O60" s="717">
        <f t="shared" si="6"/>
        <v>0</v>
      </c>
      <c r="P60" s="371">
        <f t="shared" si="7"/>
        <v>0</v>
      </c>
      <c r="Q60" s="375"/>
      <c r="R60" s="718"/>
      <c r="S60" s="718"/>
      <c r="T60" s="718"/>
      <c r="U60" s="718"/>
      <c r="V60" s="373"/>
      <c r="W60" s="719"/>
      <c r="X60" s="719"/>
      <c r="Y60" s="719"/>
      <c r="Z60" s="720"/>
      <c r="AA60" s="372"/>
      <c r="AB60" s="718"/>
      <c r="AC60" s="718"/>
      <c r="AD60" s="718"/>
      <c r="AE60" s="718"/>
      <c r="AF60" s="373"/>
      <c r="AG60" s="718"/>
      <c r="AH60" s="718"/>
      <c r="AI60" s="718"/>
      <c r="AJ60" s="718"/>
      <c r="AK60" s="373"/>
      <c r="AL60" s="718"/>
      <c r="AM60" s="718"/>
      <c r="AN60" s="718"/>
      <c r="AO60" s="718"/>
      <c r="AP60" s="373"/>
      <c r="AQ60" s="718"/>
      <c r="AR60" s="718"/>
      <c r="AS60" s="718"/>
      <c r="AT60" s="718"/>
      <c r="AU60" s="373"/>
      <c r="AV60" s="718"/>
      <c r="AW60" s="718"/>
      <c r="AX60" s="718"/>
      <c r="AY60" s="718"/>
      <c r="AZ60" s="373"/>
      <c r="BA60" s="718"/>
      <c r="BB60" s="718"/>
      <c r="BC60" s="718"/>
      <c r="BD60" s="720"/>
      <c r="BE60" s="378"/>
      <c r="BF60" s="718"/>
      <c r="BG60" s="718"/>
      <c r="BH60" s="718"/>
      <c r="BI60" s="718"/>
      <c r="BJ60" s="379"/>
      <c r="BK60" s="718"/>
      <c r="BL60" s="718"/>
      <c r="BM60" s="718"/>
      <c r="BN60" s="718"/>
      <c r="BO60" s="372"/>
      <c r="BP60" s="718"/>
      <c r="BQ60" s="718"/>
      <c r="BR60" s="718"/>
      <c r="BS60" s="718"/>
      <c r="BT60" s="373"/>
      <c r="BU60" s="718"/>
      <c r="BV60" s="718"/>
      <c r="BW60" s="718"/>
      <c r="BX60" s="718"/>
      <c r="BY60" s="380"/>
      <c r="BZ60" s="718"/>
      <c r="CA60" s="718"/>
      <c r="CB60" s="718"/>
      <c r="CC60" s="718"/>
      <c r="CD60" s="382"/>
      <c r="CE60" s="718"/>
      <c r="CF60" s="718"/>
      <c r="CG60" s="718"/>
      <c r="CH60" s="718"/>
      <c r="CI60" s="372"/>
      <c r="CJ60" s="718"/>
      <c r="CK60" s="718"/>
      <c r="CL60" s="718"/>
      <c r="CM60" s="721"/>
      <c r="CN60" s="722"/>
      <c r="CO60" s="372"/>
      <c r="CP60" s="718"/>
      <c r="CQ60" s="718"/>
      <c r="CR60" s="718"/>
      <c r="CS60" s="721"/>
      <c r="CT60" s="722"/>
      <c r="CU60" s="372"/>
      <c r="CV60" s="718"/>
      <c r="CW60" s="718"/>
      <c r="CX60" s="718"/>
      <c r="CY60" s="721"/>
      <c r="CZ60" s="722"/>
      <c r="DA60" s="372"/>
      <c r="DB60" s="718"/>
      <c r="DC60" s="718"/>
      <c r="DD60" s="718"/>
      <c r="DE60" s="721"/>
      <c r="DF60" s="722"/>
      <c r="DG60" s="54"/>
      <c r="DH60" s="18" t="e">
        <f>SUMIFS(#REF!,#REF!, $C60,#REF!, $E60,#REF!, $F60)</f>
        <v>#REF!</v>
      </c>
      <c r="DI60" s="55" t="e">
        <f>COUNTIFS(#REF!, $C60,#REF!, $E60,#REF!, $F60,#REF!, "&gt;=0")</f>
        <v>#REF!</v>
      </c>
      <c r="DJ60" s="18" t="e">
        <f>COUNTIFS(#REF!, $C60,#REF!, $E60,#REF!, $F60,#REF!, "лично")</f>
        <v>#REF!</v>
      </c>
    </row>
    <row r="61" spans="1:114" ht="12" customHeight="1" x14ac:dyDescent="0.25">
      <c r="A61" s="363">
        <f t="shared" si="10"/>
        <v>29</v>
      </c>
      <c r="B61" s="364" t="s">
        <v>261</v>
      </c>
      <c r="C61" s="365" t="s">
        <v>265</v>
      </c>
      <c r="D61" s="366"/>
      <c r="E61" s="680"/>
      <c r="F61" s="369" t="str">
        <f t="shared" si="0"/>
        <v>Сокращенное название</v>
      </c>
      <c r="G61" s="364" t="s">
        <v>625</v>
      </c>
      <c r="H61" s="369" t="str">
        <f t="shared" si="8"/>
        <v>Фамилия_1 Имя Отчество</v>
      </c>
      <c r="I61" s="370">
        <f t="shared" si="1"/>
        <v>0</v>
      </c>
      <c r="J61" s="715">
        <f t="shared" si="2"/>
        <v>0</v>
      </c>
      <c r="K61" s="370">
        <f t="shared" si="3"/>
        <v>0</v>
      </c>
      <c r="L61" s="715">
        <f t="shared" si="9"/>
        <v>0</v>
      </c>
      <c r="M61" s="716">
        <f t="shared" si="4"/>
        <v>0</v>
      </c>
      <c r="N61" s="371">
        <f t="shared" si="5"/>
        <v>0</v>
      </c>
      <c r="O61" s="717">
        <f t="shared" si="6"/>
        <v>0</v>
      </c>
      <c r="P61" s="371">
        <f t="shared" si="7"/>
        <v>0</v>
      </c>
      <c r="Q61" s="375"/>
      <c r="R61" s="718"/>
      <c r="S61" s="718"/>
      <c r="T61" s="718"/>
      <c r="U61" s="718"/>
      <c r="V61" s="373"/>
      <c r="W61" s="719"/>
      <c r="X61" s="719"/>
      <c r="Y61" s="719"/>
      <c r="Z61" s="720"/>
      <c r="AA61" s="372"/>
      <c r="AB61" s="718"/>
      <c r="AC61" s="718"/>
      <c r="AD61" s="718"/>
      <c r="AE61" s="718"/>
      <c r="AF61" s="373"/>
      <c r="AG61" s="718"/>
      <c r="AH61" s="718"/>
      <c r="AI61" s="718"/>
      <c r="AJ61" s="718"/>
      <c r="AK61" s="373"/>
      <c r="AL61" s="718"/>
      <c r="AM61" s="718"/>
      <c r="AN61" s="718"/>
      <c r="AO61" s="718"/>
      <c r="AP61" s="373"/>
      <c r="AQ61" s="718"/>
      <c r="AR61" s="718"/>
      <c r="AS61" s="718"/>
      <c r="AT61" s="718"/>
      <c r="AU61" s="373"/>
      <c r="AV61" s="718"/>
      <c r="AW61" s="718"/>
      <c r="AX61" s="718"/>
      <c r="AY61" s="718"/>
      <c r="AZ61" s="373"/>
      <c r="BA61" s="718"/>
      <c r="BB61" s="718"/>
      <c r="BC61" s="718"/>
      <c r="BD61" s="720"/>
      <c r="BE61" s="378"/>
      <c r="BF61" s="718"/>
      <c r="BG61" s="718"/>
      <c r="BH61" s="718"/>
      <c r="BI61" s="718"/>
      <c r="BJ61" s="379"/>
      <c r="BK61" s="718"/>
      <c r="BL61" s="718"/>
      <c r="BM61" s="718"/>
      <c r="BN61" s="718"/>
      <c r="BO61" s="372"/>
      <c r="BP61" s="718"/>
      <c r="BQ61" s="718"/>
      <c r="BR61" s="718"/>
      <c r="BS61" s="718"/>
      <c r="BT61" s="373"/>
      <c r="BU61" s="718"/>
      <c r="BV61" s="718"/>
      <c r="BW61" s="718"/>
      <c r="BX61" s="718"/>
      <c r="BY61" s="380"/>
      <c r="BZ61" s="718"/>
      <c r="CA61" s="718"/>
      <c r="CB61" s="718"/>
      <c r="CC61" s="718"/>
      <c r="CD61" s="382"/>
      <c r="CE61" s="718"/>
      <c r="CF61" s="718"/>
      <c r="CG61" s="718"/>
      <c r="CH61" s="718"/>
      <c r="CI61" s="372"/>
      <c r="CJ61" s="718"/>
      <c r="CK61" s="718"/>
      <c r="CL61" s="718"/>
      <c r="CM61" s="721"/>
      <c r="CN61" s="722"/>
      <c r="CO61" s="372"/>
      <c r="CP61" s="718"/>
      <c r="CQ61" s="718"/>
      <c r="CR61" s="718"/>
      <c r="CS61" s="721"/>
      <c r="CT61" s="722"/>
      <c r="CU61" s="372"/>
      <c r="CV61" s="718"/>
      <c r="CW61" s="718"/>
      <c r="CX61" s="718"/>
      <c r="CY61" s="721"/>
      <c r="CZ61" s="722"/>
      <c r="DA61" s="372"/>
      <c r="DB61" s="718"/>
      <c r="DC61" s="718"/>
      <c r="DD61" s="718"/>
      <c r="DE61" s="721"/>
      <c r="DF61" s="722"/>
      <c r="DG61" s="54"/>
      <c r="DH61" s="18" t="e">
        <f>SUMIFS(#REF!,#REF!, $C61,#REF!, $E61,#REF!, $F61)</f>
        <v>#REF!</v>
      </c>
      <c r="DI61" s="55" t="e">
        <f>COUNTIFS(#REF!, $C61,#REF!, $E61,#REF!, $F61,#REF!, "&gt;=0")</f>
        <v>#REF!</v>
      </c>
      <c r="DJ61" s="18" t="e">
        <f>COUNTIFS(#REF!, $C61,#REF!, $E61,#REF!, $F61,#REF!, "лично")</f>
        <v>#REF!</v>
      </c>
    </row>
    <row r="62" spans="1:114" ht="12" customHeight="1" x14ac:dyDescent="0.25">
      <c r="A62" s="363">
        <f t="shared" si="10"/>
        <v>30</v>
      </c>
      <c r="B62" s="364" t="s">
        <v>262</v>
      </c>
      <c r="C62" s="365" t="s">
        <v>265</v>
      </c>
      <c r="D62" s="366"/>
      <c r="E62" s="680"/>
      <c r="F62" s="369" t="str">
        <f t="shared" si="0"/>
        <v>Сокращенное название</v>
      </c>
      <c r="G62" s="364" t="s">
        <v>625</v>
      </c>
      <c r="H62" s="369" t="str">
        <f t="shared" si="8"/>
        <v>Фамилия_1 Имя Отчество</v>
      </c>
      <c r="I62" s="370">
        <f t="shared" si="1"/>
        <v>0</v>
      </c>
      <c r="J62" s="715">
        <f t="shared" si="2"/>
        <v>0</v>
      </c>
      <c r="K62" s="370">
        <f t="shared" si="3"/>
        <v>0</v>
      </c>
      <c r="L62" s="715">
        <f t="shared" si="9"/>
        <v>0</v>
      </c>
      <c r="M62" s="716">
        <f t="shared" si="4"/>
        <v>0</v>
      </c>
      <c r="N62" s="371">
        <f t="shared" si="5"/>
        <v>0</v>
      </c>
      <c r="O62" s="717">
        <f t="shared" si="6"/>
        <v>0</v>
      </c>
      <c r="P62" s="371">
        <f t="shared" si="7"/>
        <v>0</v>
      </c>
      <c r="Q62" s="375"/>
      <c r="R62" s="718"/>
      <c r="S62" s="718"/>
      <c r="T62" s="718"/>
      <c r="U62" s="718"/>
      <c r="V62" s="373"/>
      <c r="W62" s="719"/>
      <c r="X62" s="719"/>
      <c r="Y62" s="719"/>
      <c r="Z62" s="720"/>
      <c r="AA62" s="372"/>
      <c r="AB62" s="718"/>
      <c r="AC62" s="718"/>
      <c r="AD62" s="718"/>
      <c r="AE62" s="718"/>
      <c r="AF62" s="373"/>
      <c r="AG62" s="718"/>
      <c r="AH62" s="718"/>
      <c r="AI62" s="718"/>
      <c r="AJ62" s="718"/>
      <c r="AK62" s="373"/>
      <c r="AL62" s="718"/>
      <c r="AM62" s="718"/>
      <c r="AN62" s="718"/>
      <c r="AO62" s="718"/>
      <c r="AP62" s="373"/>
      <c r="AQ62" s="718"/>
      <c r="AR62" s="718"/>
      <c r="AS62" s="718"/>
      <c r="AT62" s="718"/>
      <c r="AU62" s="373"/>
      <c r="AV62" s="718"/>
      <c r="AW62" s="718"/>
      <c r="AX62" s="718"/>
      <c r="AY62" s="718"/>
      <c r="AZ62" s="373"/>
      <c r="BA62" s="718"/>
      <c r="BB62" s="718"/>
      <c r="BC62" s="718"/>
      <c r="BD62" s="720"/>
      <c r="BE62" s="378"/>
      <c r="BF62" s="718"/>
      <c r="BG62" s="718"/>
      <c r="BH62" s="718"/>
      <c r="BI62" s="718"/>
      <c r="BJ62" s="379"/>
      <c r="BK62" s="718"/>
      <c r="BL62" s="718"/>
      <c r="BM62" s="718"/>
      <c r="BN62" s="718"/>
      <c r="BO62" s="372"/>
      <c r="BP62" s="718"/>
      <c r="BQ62" s="718"/>
      <c r="BR62" s="718"/>
      <c r="BS62" s="718"/>
      <c r="BT62" s="373"/>
      <c r="BU62" s="718"/>
      <c r="BV62" s="718"/>
      <c r="BW62" s="718"/>
      <c r="BX62" s="718"/>
      <c r="BY62" s="380"/>
      <c r="BZ62" s="718"/>
      <c r="CA62" s="718"/>
      <c r="CB62" s="718"/>
      <c r="CC62" s="718"/>
      <c r="CD62" s="382"/>
      <c r="CE62" s="718"/>
      <c r="CF62" s="718"/>
      <c r="CG62" s="718"/>
      <c r="CH62" s="718"/>
      <c r="CI62" s="372"/>
      <c r="CJ62" s="718"/>
      <c r="CK62" s="718"/>
      <c r="CL62" s="718"/>
      <c r="CM62" s="721"/>
      <c r="CN62" s="722"/>
      <c r="CO62" s="372"/>
      <c r="CP62" s="718"/>
      <c r="CQ62" s="718"/>
      <c r="CR62" s="718"/>
      <c r="CS62" s="721"/>
      <c r="CT62" s="722"/>
      <c r="CU62" s="372"/>
      <c r="CV62" s="718"/>
      <c r="CW62" s="718"/>
      <c r="CX62" s="718"/>
      <c r="CY62" s="721"/>
      <c r="CZ62" s="722"/>
      <c r="DA62" s="372"/>
      <c r="DB62" s="718"/>
      <c r="DC62" s="718"/>
      <c r="DD62" s="718"/>
      <c r="DE62" s="721"/>
      <c r="DF62" s="722"/>
      <c r="DG62" s="54"/>
      <c r="DH62" s="18" t="e">
        <f>SUMIFS(#REF!,#REF!, $C62,#REF!, $E62,#REF!, $F62)</f>
        <v>#REF!</v>
      </c>
      <c r="DI62" s="55" t="e">
        <f>COUNTIFS(#REF!, $C62,#REF!, $E62,#REF!, $F62,#REF!, "&gt;=0")</f>
        <v>#REF!</v>
      </c>
      <c r="DJ62" s="18" t="e">
        <f>COUNTIFS(#REF!, $C62,#REF!, $E62,#REF!, $F62,#REF!, "лично")</f>
        <v>#REF!</v>
      </c>
    </row>
    <row r="63" spans="1:114" ht="12" customHeight="1" x14ac:dyDescent="0.25">
      <c r="A63" s="363">
        <f t="shared" si="10"/>
        <v>31</v>
      </c>
      <c r="B63" s="364" t="s">
        <v>79</v>
      </c>
      <c r="C63" s="365" t="s">
        <v>265</v>
      </c>
      <c r="D63" s="366"/>
      <c r="E63" s="680"/>
      <c r="F63" s="369" t="str">
        <f t="shared" si="0"/>
        <v>Сокращенное название</v>
      </c>
      <c r="G63" s="364" t="s">
        <v>625</v>
      </c>
      <c r="H63" s="369" t="str">
        <f t="shared" si="8"/>
        <v>Фамилия_1 Имя Отчество</v>
      </c>
      <c r="I63" s="370">
        <f t="shared" si="1"/>
        <v>0</v>
      </c>
      <c r="J63" s="715">
        <f t="shared" si="2"/>
        <v>0</v>
      </c>
      <c r="K63" s="370">
        <f t="shared" si="3"/>
        <v>0</v>
      </c>
      <c r="L63" s="715">
        <f t="shared" si="9"/>
        <v>0</v>
      </c>
      <c r="M63" s="716">
        <f t="shared" si="4"/>
        <v>0</v>
      </c>
      <c r="N63" s="371">
        <f t="shared" si="5"/>
        <v>0</v>
      </c>
      <c r="O63" s="717">
        <f t="shared" si="6"/>
        <v>0</v>
      </c>
      <c r="P63" s="371">
        <f t="shared" si="7"/>
        <v>0</v>
      </c>
      <c r="Q63" s="375"/>
      <c r="R63" s="718"/>
      <c r="S63" s="718"/>
      <c r="T63" s="718"/>
      <c r="U63" s="718"/>
      <c r="V63" s="373"/>
      <c r="W63" s="719"/>
      <c r="X63" s="719"/>
      <c r="Y63" s="719"/>
      <c r="Z63" s="720"/>
      <c r="AA63" s="372"/>
      <c r="AB63" s="718"/>
      <c r="AC63" s="718"/>
      <c r="AD63" s="718"/>
      <c r="AE63" s="718"/>
      <c r="AF63" s="373"/>
      <c r="AG63" s="718"/>
      <c r="AH63" s="718"/>
      <c r="AI63" s="718"/>
      <c r="AJ63" s="718"/>
      <c r="AK63" s="373"/>
      <c r="AL63" s="718"/>
      <c r="AM63" s="718"/>
      <c r="AN63" s="718"/>
      <c r="AO63" s="718"/>
      <c r="AP63" s="373"/>
      <c r="AQ63" s="718"/>
      <c r="AR63" s="718"/>
      <c r="AS63" s="718"/>
      <c r="AT63" s="718"/>
      <c r="AU63" s="373"/>
      <c r="AV63" s="718"/>
      <c r="AW63" s="718"/>
      <c r="AX63" s="718"/>
      <c r="AY63" s="718"/>
      <c r="AZ63" s="373"/>
      <c r="BA63" s="718"/>
      <c r="BB63" s="718"/>
      <c r="BC63" s="718"/>
      <c r="BD63" s="720"/>
      <c r="BE63" s="378"/>
      <c r="BF63" s="718"/>
      <c r="BG63" s="718"/>
      <c r="BH63" s="718"/>
      <c r="BI63" s="718"/>
      <c r="BJ63" s="379"/>
      <c r="BK63" s="718"/>
      <c r="BL63" s="718"/>
      <c r="BM63" s="718"/>
      <c r="BN63" s="718"/>
      <c r="BO63" s="372"/>
      <c r="BP63" s="718"/>
      <c r="BQ63" s="718"/>
      <c r="BR63" s="718"/>
      <c r="BS63" s="718"/>
      <c r="BT63" s="373"/>
      <c r="BU63" s="718"/>
      <c r="BV63" s="718"/>
      <c r="BW63" s="718"/>
      <c r="BX63" s="718"/>
      <c r="BY63" s="380"/>
      <c r="BZ63" s="718"/>
      <c r="CA63" s="718"/>
      <c r="CB63" s="718"/>
      <c r="CC63" s="718"/>
      <c r="CD63" s="382"/>
      <c r="CE63" s="718"/>
      <c r="CF63" s="718"/>
      <c r="CG63" s="718"/>
      <c r="CH63" s="718"/>
      <c r="CI63" s="372"/>
      <c r="CJ63" s="718"/>
      <c r="CK63" s="718"/>
      <c r="CL63" s="718"/>
      <c r="CM63" s="721"/>
      <c r="CN63" s="722"/>
      <c r="CO63" s="372"/>
      <c r="CP63" s="718"/>
      <c r="CQ63" s="718"/>
      <c r="CR63" s="718"/>
      <c r="CS63" s="721"/>
      <c r="CT63" s="722"/>
      <c r="CU63" s="372"/>
      <c r="CV63" s="718"/>
      <c r="CW63" s="718"/>
      <c r="CX63" s="718"/>
      <c r="CY63" s="721"/>
      <c r="CZ63" s="722"/>
      <c r="DA63" s="372"/>
      <c r="DB63" s="718"/>
      <c r="DC63" s="718"/>
      <c r="DD63" s="718"/>
      <c r="DE63" s="721"/>
      <c r="DF63" s="722"/>
      <c r="DG63" s="54"/>
      <c r="DH63" s="18" t="e">
        <f>SUMIFS(#REF!,#REF!, $C63,#REF!, $E63,#REF!, $F63)</f>
        <v>#REF!</v>
      </c>
      <c r="DI63" s="55" t="e">
        <f>COUNTIFS(#REF!, $C63,#REF!, $E63,#REF!, $F63,#REF!, "&gt;=0")</f>
        <v>#REF!</v>
      </c>
      <c r="DJ63" s="18" t="e">
        <f>COUNTIFS(#REF!, $C63,#REF!, $E63,#REF!, $F63,#REF!, "лично")</f>
        <v>#REF!</v>
      </c>
    </row>
    <row r="64" spans="1:114" ht="12" customHeight="1" x14ac:dyDescent="0.25">
      <c r="A64" s="363">
        <f t="shared" si="10"/>
        <v>32</v>
      </c>
      <c r="B64" s="364" t="s">
        <v>79</v>
      </c>
      <c r="C64" s="365" t="s">
        <v>265</v>
      </c>
      <c r="D64" s="366"/>
      <c r="E64" s="680"/>
      <c r="F64" s="369" t="str">
        <f t="shared" si="0"/>
        <v>Сокращенное название</v>
      </c>
      <c r="G64" s="364" t="s">
        <v>625</v>
      </c>
      <c r="H64" s="369" t="str">
        <f t="shared" si="8"/>
        <v>Фамилия_1 Имя Отчество</v>
      </c>
      <c r="I64" s="370">
        <f t="shared" si="1"/>
        <v>0</v>
      </c>
      <c r="J64" s="715">
        <f t="shared" si="2"/>
        <v>0</v>
      </c>
      <c r="K64" s="370">
        <f t="shared" si="3"/>
        <v>0</v>
      </c>
      <c r="L64" s="715">
        <f t="shared" si="9"/>
        <v>0</v>
      </c>
      <c r="M64" s="716">
        <f t="shared" si="4"/>
        <v>0</v>
      </c>
      <c r="N64" s="371">
        <f t="shared" si="5"/>
        <v>0</v>
      </c>
      <c r="O64" s="717">
        <f t="shared" si="6"/>
        <v>0</v>
      </c>
      <c r="P64" s="371">
        <f t="shared" si="7"/>
        <v>0</v>
      </c>
      <c r="Q64" s="375"/>
      <c r="R64" s="718"/>
      <c r="S64" s="718"/>
      <c r="T64" s="718"/>
      <c r="U64" s="718"/>
      <c r="V64" s="373"/>
      <c r="W64" s="719"/>
      <c r="X64" s="719"/>
      <c r="Y64" s="719"/>
      <c r="Z64" s="720"/>
      <c r="AA64" s="372"/>
      <c r="AB64" s="718"/>
      <c r="AC64" s="718"/>
      <c r="AD64" s="718"/>
      <c r="AE64" s="718"/>
      <c r="AF64" s="373"/>
      <c r="AG64" s="718"/>
      <c r="AH64" s="718"/>
      <c r="AI64" s="718"/>
      <c r="AJ64" s="718"/>
      <c r="AK64" s="373"/>
      <c r="AL64" s="718"/>
      <c r="AM64" s="718"/>
      <c r="AN64" s="718"/>
      <c r="AO64" s="718"/>
      <c r="AP64" s="373"/>
      <c r="AQ64" s="718"/>
      <c r="AR64" s="718"/>
      <c r="AS64" s="718"/>
      <c r="AT64" s="718"/>
      <c r="AU64" s="373"/>
      <c r="AV64" s="718"/>
      <c r="AW64" s="718"/>
      <c r="AX64" s="718"/>
      <c r="AY64" s="718"/>
      <c r="AZ64" s="373"/>
      <c r="BA64" s="718"/>
      <c r="BB64" s="718"/>
      <c r="BC64" s="718"/>
      <c r="BD64" s="720"/>
      <c r="BE64" s="378"/>
      <c r="BF64" s="718"/>
      <c r="BG64" s="718"/>
      <c r="BH64" s="718"/>
      <c r="BI64" s="718"/>
      <c r="BJ64" s="379"/>
      <c r="BK64" s="718"/>
      <c r="BL64" s="718"/>
      <c r="BM64" s="718"/>
      <c r="BN64" s="718"/>
      <c r="BO64" s="372"/>
      <c r="BP64" s="718"/>
      <c r="BQ64" s="718"/>
      <c r="BR64" s="718"/>
      <c r="BS64" s="718"/>
      <c r="BT64" s="373"/>
      <c r="BU64" s="718"/>
      <c r="BV64" s="718"/>
      <c r="BW64" s="718"/>
      <c r="BX64" s="718"/>
      <c r="BY64" s="380"/>
      <c r="BZ64" s="718"/>
      <c r="CA64" s="718"/>
      <c r="CB64" s="718"/>
      <c r="CC64" s="718"/>
      <c r="CD64" s="382"/>
      <c r="CE64" s="718"/>
      <c r="CF64" s="718"/>
      <c r="CG64" s="718"/>
      <c r="CH64" s="718"/>
      <c r="CI64" s="372"/>
      <c r="CJ64" s="718"/>
      <c r="CK64" s="718"/>
      <c r="CL64" s="718"/>
      <c r="CM64" s="721"/>
      <c r="CN64" s="722"/>
      <c r="CO64" s="372"/>
      <c r="CP64" s="718"/>
      <c r="CQ64" s="718"/>
      <c r="CR64" s="718"/>
      <c r="CS64" s="721"/>
      <c r="CT64" s="722"/>
      <c r="CU64" s="372"/>
      <c r="CV64" s="718"/>
      <c r="CW64" s="718"/>
      <c r="CX64" s="718"/>
      <c r="CY64" s="721"/>
      <c r="CZ64" s="722"/>
      <c r="DA64" s="372"/>
      <c r="DB64" s="718"/>
      <c r="DC64" s="718"/>
      <c r="DD64" s="718"/>
      <c r="DE64" s="721"/>
      <c r="DF64" s="722"/>
      <c r="DG64" s="54"/>
      <c r="DH64" s="18" t="e">
        <f>SUMIFS(#REF!,#REF!, $C64,#REF!, $E64,#REF!, $F64)</f>
        <v>#REF!</v>
      </c>
      <c r="DI64" s="55" t="e">
        <f>COUNTIFS(#REF!, $C64,#REF!, $E64,#REF!, $F64,#REF!, "&gt;=0")</f>
        <v>#REF!</v>
      </c>
      <c r="DJ64" s="18" t="e">
        <f>COUNTIFS(#REF!, $C64,#REF!, $E64,#REF!, $F64,#REF!, "лично")</f>
        <v>#REF!</v>
      </c>
    </row>
    <row r="65" spans="1:114" ht="12" customHeight="1" x14ac:dyDescent="0.25">
      <c r="A65" s="363">
        <f t="shared" si="10"/>
        <v>33</v>
      </c>
      <c r="B65" s="364" t="s">
        <v>79</v>
      </c>
      <c r="C65" s="365" t="s">
        <v>265</v>
      </c>
      <c r="D65" s="366"/>
      <c r="E65" s="680"/>
      <c r="F65" s="369" t="str">
        <f t="shared" ref="F65:F82" si="11">$E$28</f>
        <v>Сокращенное название</v>
      </c>
      <c r="G65" s="364" t="s">
        <v>625</v>
      </c>
      <c r="H65" s="369" t="str">
        <f t="shared" si="8"/>
        <v>Фамилия_1 Имя Отчество</v>
      </c>
      <c r="I65" s="370">
        <f t="shared" ref="I65:I82" si="12">COUNTIF(N65:CA65, "&gt;1")-M65</f>
        <v>0</v>
      </c>
      <c r="J65" s="715">
        <f t="shared" ref="J65:J82" si="13">COUNTIF(O65:CB65, "&gt;1")-N65</f>
        <v>0</v>
      </c>
      <c r="K65" s="370">
        <f t="shared" ref="K65:K82" si="14">COUNTIF(P65:CC65, "&gt;1")-O65</f>
        <v>0</v>
      </c>
      <c r="L65" s="715">
        <f t="shared" si="9"/>
        <v>0</v>
      </c>
      <c r="M65" s="716">
        <f t="shared" ref="M65:M82" si="15">COUNTIF(R65, "л")+COUNTIF(W65, "л")+COUNTIF(AB65, "л")+COUNTIF(AG65, "л")+COUNTIF(AL65, "л")+COUNTIF(AQ65, "л")+COUNTIF(AV65, "л")+COUNTIF(BA65, "л")+COUNTIF(BF65, "л")+COUNTIF(BK65, "л")+COUNTIF(BP65, "л")+COUNTIF(BU65, "л")+COUNTIF(BZ65, "л")+COUNTIF(CE65, "л")</f>
        <v>0</v>
      </c>
      <c r="N65" s="371">
        <f t="shared" ref="N65:N82" si="16">COUNTIF(S65, "л")+COUNTIF(X65, "л")+COUNTIF(AC65, "л")+COUNTIF(AH65, "л")+COUNTIF(AM65, "л")+COUNTIF(AR65, "л")+COUNTIF(AW65, "л")+COUNTIF(BB65, "л")+COUNTIF(BG65, "л")+COUNTIF(BL65, "л")+COUNTIF(BQ65, "л")+COUNTIF(BV65, "л")+COUNTIF(CA65, "л")+COUNTIF(CF65, "л")</f>
        <v>0</v>
      </c>
      <c r="O65" s="717">
        <f t="shared" ref="O65:O82" si="17">COUNTIF(T65, "л")+COUNTIF(Y65, "л")+COUNTIF(AD65, "л")+COUNTIF(AI65, "л")+COUNTIF(AN65, "л")+COUNTIF(AS65, "л")+COUNTIF(AX65, "л")+COUNTIF(BC65, "л")+COUNTIF(BH65, "л")+COUNTIF(BM65, "л")+COUNTIF(BR65, "л")+COUNTIF(BW65, "л")+COUNTIF(CB65, "л")+COUNTIF(CG65, "л")</f>
        <v>0</v>
      </c>
      <c r="P65" s="371">
        <f t="shared" ref="P65:P82" si="18">COUNTIF(U65, "л")+COUNTIF(Z65, "л")+COUNTIF(AE65, "л")+COUNTIF(AJ65, "л")+COUNTIF(AO65, "л")+COUNTIF(AT65, "л")+COUNTIF(AY65, "л")+COUNTIF(BD65, "л")+COUNTIF(BI65, "л")+COUNTIF(BN65, "л")+COUNTIF(BS65, "л")+COUNTIF(BX65, "л")+COUNTIF(CC65, "л")+COUNTIF(CH65, "л")</f>
        <v>0</v>
      </c>
      <c r="Q65" s="375"/>
      <c r="R65" s="718"/>
      <c r="S65" s="718"/>
      <c r="T65" s="718"/>
      <c r="U65" s="718"/>
      <c r="V65" s="373"/>
      <c r="W65" s="719"/>
      <c r="X65" s="719"/>
      <c r="Y65" s="719"/>
      <c r="Z65" s="720"/>
      <c r="AA65" s="372"/>
      <c r="AB65" s="718"/>
      <c r="AC65" s="718"/>
      <c r="AD65" s="718"/>
      <c r="AE65" s="718"/>
      <c r="AF65" s="373"/>
      <c r="AG65" s="718"/>
      <c r="AH65" s="718"/>
      <c r="AI65" s="718"/>
      <c r="AJ65" s="718"/>
      <c r="AK65" s="373"/>
      <c r="AL65" s="718"/>
      <c r="AM65" s="718"/>
      <c r="AN65" s="718"/>
      <c r="AO65" s="718"/>
      <c r="AP65" s="373"/>
      <c r="AQ65" s="718"/>
      <c r="AR65" s="718"/>
      <c r="AS65" s="718"/>
      <c r="AT65" s="718"/>
      <c r="AU65" s="373"/>
      <c r="AV65" s="718"/>
      <c r="AW65" s="718"/>
      <c r="AX65" s="718"/>
      <c r="AY65" s="718"/>
      <c r="AZ65" s="373"/>
      <c r="BA65" s="718"/>
      <c r="BB65" s="718"/>
      <c r="BC65" s="718"/>
      <c r="BD65" s="720"/>
      <c r="BE65" s="378"/>
      <c r="BF65" s="718"/>
      <c r="BG65" s="718"/>
      <c r="BH65" s="718"/>
      <c r="BI65" s="718"/>
      <c r="BJ65" s="379"/>
      <c r="BK65" s="718"/>
      <c r="BL65" s="718"/>
      <c r="BM65" s="718"/>
      <c r="BN65" s="718"/>
      <c r="BO65" s="372"/>
      <c r="BP65" s="718"/>
      <c r="BQ65" s="718"/>
      <c r="BR65" s="718"/>
      <c r="BS65" s="718"/>
      <c r="BT65" s="373"/>
      <c r="BU65" s="718"/>
      <c r="BV65" s="718"/>
      <c r="BW65" s="718"/>
      <c r="BX65" s="718"/>
      <c r="BY65" s="380"/>
      <c r="BZ65" s="718"/>
      <c r="CA65" s="718"/>
      <c r="CB65" s="718"/>
      <c r="CC65" s="718"/>
      <c r="CD65" s="382"/>
      <c r="CE65" s="718"/>
      <c r="CF65" s="718"/>
      <c r="CG65" s="718"/>
      <c r="CH65" s="718"/>
      <c r="CI65" s="372"/>
      <c r="CJ65" s="718"/>
      <c r="CK65" s="718"/>
      <c r="CL65" s="718"/>
      <c r="CM65" s="721"/>
      <c r="CN65" s="722"/>
      <c r="CO65" s="372"/>
      <c r="CP65" s="718"/>
      <c r="CQ65" s="718"/>
      <c r="CR65" s="718"/>
      <c r="CS65" s="721"/>
      <c r="CT65" s="722"/>
      <c r="CU65" s="372"/>
      <c r="CV65" s="718"/>
      <c r="CW65" s="718"/>
      <c r="CX65" s="718"/>
      <c r="CY65" s="721"/>
      <c r="CZ65" s="722"/>
      <c r="DA65" s="372"/>
      <c r="DB65" s="718"/>
      <c r="DC65" s="718"/>
      <c r="DD65" s="718"/>
      <c r="DE65" s="721"/>
      <c r="DF65" s="722"/>
      <c r="DG65" s="54"/>
      <c r="DH65" s="18" t="e">
        <f>SUMIFS(#REF!,#REF!, $C65,#REF!, $E65,#REF!, $F65)</f>
        <v>#REF!</v>
      </c>
      <c r="DI65" s="55" t="e">
        <f>COUNTIFS(#REF!, $C65,#REF!, $E65,#REF!, $F65,#REF!, "&gt;=0")</f>
        <v>#REF!</v>
      </c>
      <c r="DJ65" s="18" t="e">
        <f>COUNTIFS(#REF!, $C65,#REF!, $E65,#REF!, $F65,#REF!, "лично")</f>
        <v>#REF!</v>
      </c>
    </row>
    <row r="66" spans="1:114" ht="12" customHeight="1" x14ac:dyDescent="0.25">
      <c r="A66" s="363">
        <f t="shared" si="10"/>
        <v>34</v>
      </c>
      <c r="B66" s="364" t="s">
        <v>260</v>
      </c>
      <c r="C66" s="365" t="s">
        <v>265</v>
      </c>
      <c r="D66" s="366"/>
      <c r="E66" s="680"/>
      <c r="F66" s="369" t="str">
        <f t="shared" si="11"/>
        <v>Сокращенное название</v>
      </c>
      <c r="G66" s="364" t="s">
        <v>625</v>
      </c>
      <c r="H66" s="369" t="str">
        <f t="shared" ref="H66:H82" si="19">H65</f>
        <v>Фамилия_1 Имя Отчество</v>
      </c>
      <c r="I66" s="370">
        <f t="shared" si="12"/>
        <v>0</v>
      </c>
      <c r="J66" s="715">
        <f t="shared" si="13"/>
        <v>0</v>
      </c>
      <c r="K66" s="370">
        <f t="shared" si="14"/>
        <v>0</v>
      </c>
      <c r="L66" s="715">
        <f t="shared" si="9"/>
        <v>0</v>
      </c>
      <c r="M66" s="716">
        <f t="shared" si="15"/>
        <v>0</v>
      </c>
      <c r="N66" s="371">
        <f t="shared" si="16"/>
        <v>0</v>
      </c>
      <c r="O66" s="717">
        <f t="shared" si="17"/>
        <v>0</v>
      </c>
      <c r="P66" s="371">
        <f t="shared" si="18"/>
        <v>0</v>
      </c>
      <c r="Q66" s="375"/>
      <c r="R66" s="718"/>
      <c r="S66" s="718"/>
      <c r="T66" s="718"/>
      <c r="U66" s="718"/>
      <c r="V66" s="373"/>
      <c r="W66" s="719"/>
      <c r="X66" s="719"/>
      <c r="Y66" s="719"/>
      <c r="Z66" s="720"/>
      <c r="AA66" s="372"/>
      <c r="AB66" s="718"/>
      <c r="AC66" s="718"/>
      <c r="AD66" s="718"/>
      <c r="AE66" s="718"/>
      <c r="AF66" s="373"/>
      <c r="AG66" s="718"/>
      <c r="AH66" s="718"/>
      <c r="AI66" s="718"/>
      <c r="AJ66" s="718"/>
      <c r="AK66" s="373"/>
      <c r="AL66" s="718"/>
      <c r="AM66" s="718"/>
      <c r="AN66" s="718"/>
      <c r="AO66" s="718"/>
      <c r="AP66" s="373"/>
      <c r="AQ66" s="718"/>
      <c r="AR66" s="718"/>
      <c r="AS66" s="718"/>
      <c r="AT66" s="718"/>
      <c r="AU66" s="373"/>
      <c r="AV66" s="718"/>
      <c r="AW66" s="718"/>
      <c r="AX66" s="718"/>
      <c r="AY66" s="718"/>
      <c r="AZ66" s="373"/>
      <c r="BA66" s="718"/>
      <c r="BB66" s="718"/>
      <c r="BC66" s="718"/>
      <c r="BD66" s="720"/>
      <c r="BE66" s="378"/>
      <c r="BF66" s="718"/>
      <c r="BG66" s="718"/>
      <c r="BH66" s="718"/>
      <c r="BI66" s="718"/>
      <c r="BJ66" s="379"/>
      <c r="BK66" s="718"/>
      <c r="BL66" s="718"/>
      <c r="BM66" s="718"/>
      <c r="BN66" s="718"/>
      <c r="BO66" s="372"/>
      <c r="BP66" s="718"/>
      <c r="BQ66" s="718"/>
      <c r="BR66" s="718"/>
      <c r="BS66" s="718"/>
      <c r="BT66" s="373"/>
      <c r="BU66" s="718"/>
      <c r="BV66" s="718"/>
      <c r="BW66" s="718"/>
      <c r="BX66" s="718"/>
      <c r="BY66" s="380"/>
      <c r="BZ66" s="718"/>
      <c r="CA66" s="718"/>
      <c r="CB66" s="718"/>
      <c r="CC66" s="718"/>
      <c r="CD66" s="382"/>
      <c r="CE66" s="718"/>
      <c r="CF66" s="718"/>
      <c r="CG66" s="718"/>
      <c r="CH66" s="718"/>
      <c r="CI66" s="372"/>
      <c r="CJ66" s="718"/>
      <c r="CK66" s="718"/>
      <c r="CL66" s="718"/>
      <c r="CM66" s="721"/>
      <c r="CN66" s="722"/>
      <c r="CO66" s="372"/>
      <c r="CP66" s="718"/>
      <c r="CQ66" s="718"/>
      <c r="CR66" s="718"/>
      <c r="CS66" s="721"/>
      <c r="CT66" s="722"/>
      <c r="CU66" s="372"/>
      <c r="CV66" s="718"/>
      <c r="CW66" s="718"/>
      <c r="CX66" s="718"/>
      <c r="CY66" s="721"/>
      <c r="CZ66" s="722"/>
      <c r="DA66" s="372"/>
      <c r="DB66" s="718"/>
      <c r="DC66" s="718"/>
      <c r="DD66" s="718"/>
      <c r="DE66" s="721"/>
      <c r="DF66" s="722"/>
      <c r="DG66" s="54"/>
      <c r="DH66" s="18" t="e">
        <f>SUMIFS(#REF!,#REF!, $C66,#REF!, $E66,#REF!, $F66)</f>
        <v>#REF!</v>
      </c>
      <c r="DI66" s="55" t="e">
        <f>COUNTIFS(#REF!, $C66,#REF!, $E66,#REF!, $F66,#REF!, "&gt;=0")</f>
        <v>#REF!</v>
      </c>
      <c r="DJ66" s="18" t="e">
        <f>COUNTIFS(#REF!, $C66,#REF!, $E66,#REF!, $F66,#REF!, "лично")</f>
        <v>#REF!</v>
      </c>
    </row>
    <row r="67" spans="1:114" ht="12" customHeight="1" x14ac:dyDescent="0.25">
      <c r="A67" s="363">
        <f t="shared" si="10"/>
        <v>35</v>
      </c>
      <c r="B67" s="364" t="s">
        <v>261</v>
      </c>
      <c r="C67" s="365" t="s">
        <v>265</v>
      </c>
      <c r="D67" s="366"/>
      <c r="E67" s="680"/>
      <c r="F67" s="369" t="str">
        <f t="shared" si="11"/>
        <v>Сокращенное название</v>
      </c>
      <c r="G67" s="364" t="s">
        <v>625</v>
      </c>
      <c r="H67" s="369" t="str">
        <f t="shared" si="19"/>
        <v>Фамилия_1 Имя Отчество</v>
      </c>
      <c r="I67" s="370">
        <f t="shared" si="12"/>
        <v>0</v>
      </c>
      <c r="J67" s="715">
        <f t="shared" si="13"/>
        <v>0</v>
      </c>
      <c r="K67" s="370">
        <f t="shared" si="14"/>
        <v>0</v>
      </c>
      <c r="L67" s="715">
        <f t="shared" si="9"/>
        <v>0</v>
      </c>
      <c r="M67" s="716">
        <f t="shared" si="15"/>
        <v>0</v>
      </c>
      <c r="N67" s="371">
        <f t="shared" si="16"/>
        <v>0</v>
      </c>
      <c r="O67" s="717">
        <f t="shared" si="17"/>
        <v>0</v>
      </c>
      <c r="P67" s="371">
        <f t="shared" si="18"/>
        <v>0</v>
      </c>
      <c r="Q67" s="375"/>
      <c r="R67" s="718"/>
      <c r="S67" s="718"/>
      <c r="T67" s="718"/>
      <c r="U67" s="718"/>
      <c r="V67" s="373"/>
      <c r="W67" s="719"/>
      <c r="X67" s="719"/>
      <c r="Y67" s="719"/>
      <c r="Z67" s="720"/>
      <c r="AA67" s="372"/>
      <c r="AB67" s="718"/>
      <c r="AC67" s="718"/>
      <c r="AD67" s="718"/>
      <c r="AE67" s="718"/>
      <c r="AF67" s="373"/>
      <c r="AG67" s="718"/>
      <c r="AH67" s="718"/>
      <c r="AI67" s="718"/>
      <c r="AJ67" s="718"/>
      <c r="AK67" s="373"/>
      <c r="AL67" s="718"/>
      <c r="AM67" s="718"/>
      <c r="AN67" s="718"/>
      <c r="AO67" s="718"/>
      <c r="AP67" s="373"/>
      <c r="AQ67" s="718"/>
      <c r="AR67" s="718"/>
      <c r="AS67" s="718"/>
      <c r="AT67" s="718"/>
      <c r="AU67" s="373"/>
      <c r="AV67" s="718"/>
      <c r="AW67" s="718"/>
      <c r="AX67" s="718"/>
      <c r="AY67" s="718"/>
      <c r="AZ67" s="373"/>
      <c r="BA67" s="718"/>
      <c r="BB67" s="718"/>
      <c r="BC67" s="718"/>
      <c r="BD67" s="720"/>
      <c r="BE67" s="378"/>
      <c r="BF67" s="718"/>
      <c r="BG67" s="718"/>
      <c r="BH67" s="718"/>
      <c r="BI67" s="718"/>
      <c r="BJ67" s="379"/>
      <c r="BK67" s="718"/>
      <c r="BL67" s="718"/>
      <c r="BM67" s="718"/>
      <c r="BN67" s="718"/>
      <c r="BO67" s="372"/>
      <c r="BP67" s="718"/>
      <c r="BQ67" s="718"/>
      <c r="BR67" s="718"/>
      <c r="BS67" s="718"/>
      <c r="BT67" s="373"/>
      <c r="BU67" s="718"/>
      <c r="BV67" s="718"/>
      <c r="BW67" s="718"/>
      <c r="BX67" s="718"/>
      <c r="BY67" s="380"/>
      <c r="BZ67" s="718"/>
      <c r="CA67" s="718"/>
      <c r="CB67" s="718"/>
      <c r="CC67" s="718"/>
      <c r="CD67" s="382"/>
      <c r="CE67" s="718"/>
      <c r="CF67" s="718"/>
      <c r="CG67" s="718"/>
      <c r="CH67" s="718"/>
      <c r="CI67" s="372"/>
      <c r="CJ67" s="718"/>
      <c r="CK67" s="718"/>
      <c r="CL67" s="718"/>
      <c r="CM67" s="721"/>
      <c r="CN67" s="722"/>
      <c r="CO67" s="372"/>
      <c r="CP67" s="718"/>
      <c r="CQ67" s="718"/>
      <c r="CR67" s="718"/>
      <c r="CS67" s="721"/>
      <c r="CT67" s="722"/>
      <c r="CU67" s="372"/>
      <c r="CV67" s="718"/>
      <c r="CW67" s="718"/>
      <c r="CX67" s="718"/>
      <c r="CY67" s="721"/>
      <c r="CZ67" s="722"/>
      <c r="DA67" s="372"/>
      <c r="DB67" s="718"/>
      <c r="DC67" s="718"/>
      <c r="DD67" s="718"/>
      <c r="DE67" s="721"/>
      <c r="DF67" s="722"/>
      <c r="DG67" s="54"/>
      <c r="DH67" s="18" t="e">
        <f>SUMIFS(#REF!,#REF!, $C67,#REF!, $E67,#REF!, $F67)</f>
        <v>#REF!</v>
      </c>
      <c r="DI67" s="55" t="e">
        <f>COUNTIFS(#REF!, $C67,#REF!, $E67,#REF!, $F67,#REF!, "&gt;=0")</f>
        <v>#REF!</v>
      </c>
      <c r="DJ67" s="18" t="e">
        <f>COUNTIFS(#REF!, $C67,#REF!, $E67,#REF!, $F67,#REF!, "лично")</f>
        <v>#REF!</v>
      </c>
    </row>
    <row r="68" spans="1:114" ht="12" customHeight="1" x14ac:dyDescent="0.25">
      <c r="A68" s="363">
        <f t="shared" si="10"/>
        <v>36</v>
      </c>
      <c r="B68" s="364" t="s">
        <v>262</v>
      </c>
      <c r="C68" s="365" t="s">
        <v>265</v>
      </c>
      <c r="D68" s="366"/>
      <c r="E68" s="680"/>
      <c r="F68" s="369" t="str">
        <f t="shared" si="11"/>
        <v>Сокращенное название</v>
      </c>
      <c r="G68" s="364" t="s">
        <v>625</v>
      </c>
      <c r="H68" s="369" t="str">
        <f t="shared" si="19"/>
        <v>Фамилия_1 Имя Отчество</v>
      </c>
      <c r="I68" s="370">
        <f t="shared" si="12"/>
        <v>0</v>
      </c>
      <c r="J68" s="715">
        <f t="shared" si="13"/>
        <v>0</v>
      </c>
      <c r="K68" s="370">
        <f t="shared" si="14"/>
        <v>0</v>
      </c>
      <c r="L68" s="715">
        <f t="shared" si="9"/>
        <v>0</v>
      </c>
      <c r="M68" s="716">
        <f t="shared" si="15"/>
        <v>0</v>
      </c>
      <c r="N68" s="371">
        <f t="shared" si="16"/>
        <v>0</v>
      </c>
      <c r="O68" s="717">
        <f t="shared" si="17"/>
        <v>0</v>
      </c>
      <c r="P68" s="371">
        <f t="shared" si="18"/>
        <v>0</v>
      </c>
      <c r="Q68" s="375"/>
      <c r="R68" s="718"/>
      <c r="S68" s="718"/>
      <c r="T68" s="718"/>
      <c r="U68" s="718"/>
      <c r="V68" s="373"/>
      <c r="W68" s="719"/>
      <c r="X68" s="719"/>
      <c r="Y68" s="719"/>
      <c r="Z68" s="720"/>
      <c r="AA68" s="372"/>
      <c r="AB68" s="718"/>
      <c r="AC68" s="718"/>
      <c r="AD68" s="718"/>
      <c r="AE68" s="718"/>
      <c r="AF68" s="373"/>
      <c r="AG68" s="718"/>
      <c r="AH68" s="718"/>
      <c r="AI68" s="718"/>
      <c r="AJ68" s="718"/>
      <c r="AK68" s="373"/>
      <c r="AL68" s="718"/>
      <c r="AM68" s="718"/>
      <c r="AN68" s="718"/>
      <c r="AO68" s="718"/>
      <c r="AP68" s="373"/>
      <c r="AQ68" s="718"/>
      <c r="AR68" s="718"/>
      <c r="AS68" s="718"/>
      <c r="AT68" s="718"/>
      <c r="AU68" s="373"/>
      <c r="AV68" s="718"/>
      <c r="AW68" s="718"/>
      <c r="AX68" s="718"/>
      <c r="AY68" s="718"/>
      <c r="AZ68" s="373"/>
      <c r="BA68" s="718"/>
      <c r="BB68" s="718"/>
      <c r="BC68" s="718"/>
      <c r="BD68" s="720"/>
      <c r="BE68" s="378"/>
      <c r="BF68" s="718"/>
      <c r="BG68" s="718"/>
      <c r="BH68" s="718"/>
      <c r="BI68" s="718"/>
      <c r="BJ68" s="379"/>
      <c r="BK68" s="718"/>
      <c r="BL68" s="718"/>
      <c r="BM68" s="718"/>
      <c r="BN68" s="718"/>
      <c r="BO68" s="372"/>
      <c r="BP68" s="718"/>
      <c r="BQ68" s="718"/>
      <c r="BR68" s="718"/>
      <c r="BS68" s="718"/>
      <c r="BT68" s="373"/>
      <c r="BU68" s="718"/>
      <c r="BV68" s="718"/>
      <c r="BW68" s="718"/>
      <c r="BX68" s="718"/>
      <c r="BY68" s="380"/>
      <c r="BZ68" s="718"/>
      <c r="CA68" s="718"/>
      <c r="CB68" s="718"/>
      <c r="CC68" s="718"/>
      <c r="CD68" s="382"/>
      <c r="CE68" s="718"/>
      <c r="CF68" s="718"/>
      <c r="CG68" s="718"/>
      <c r="CH68" s="718"/>
      <c r="CI68" s="372"/>
      <c r="CJ68" s="718"/>
      <c r="CK68" s="718"/>
      <c r="CL68" s="718"/>
      <c r="CM68" s="721"/>
      <c r="CN68" s="722"/>
      <c r="CO68" s="372"/>
      <c r="CP68" s="718"/>
      <c r="CQ68" s="718"/>
      <c r="CR68" s="718"/>
      <c r="CS68" s="721"/>
      <c r="CT68" s="722"/>
      <c r="CU68" s="372"/>
      <c r="CV68" s="718"/>
      <c r="CW68" s="718"/>
      <c r="CX68" s="718"/>
      <c r="CY68" s="721"/>
      <c r="CZ68" s="722"/>
      <c r="DA68" s="372"/>
      <c r="DB68" s="718"/>
      <c r="DC68" s="718"/>
      <c r="DD68" s="718"/>
      <c r="DE68" s="721"/>
      <c r="DF68" s="722"/>
      <c r="DG68" s="54"/>
      <c r="DH68" s="18" t="e">
        <f>SUMIFS(#REF!,#REF!, $C68,#REF!, $E68,#REF!, $F68)</f>
        <v>#REF!</v>
      </c>
      <c r="DI68" s="55" t="e">
        <f>COUNTIFS(#REF!, $C68,#REF!, $E68,#REF!, $F68,#REF!, "&gt;=0")</f>
        <v>#REF!</v>
      </c>
      <c r="DJ68" s="18" t="e">
        <f>COUNTIFS(#REF!, $C68,#REF!, $E68,#REF!, $F68,#REF!, "лично")</f>
        <v>#REF!</v>
      </c>
    </row>
    <row r="69" spans="1:114" ht="12" customHeight="1" x14ac:dyDescent="0.25">
      <c r="A69" s="363">
        <f t="shared" si="10"/>
        <v>37</v>
      </c>
      <c r="B69" s="364" t="s">
        <v>79</v>
      </c>
      <c r="C69" s="365" t="s">
        <v>265</v>
      </c>
      <c r="D69" s="366"/>
      <c r="E69" s="680"/>
      <c r="F69" s="369" t="str">
        <f t="shared" si="11"/>
        <v>Сокращенное название</v>
      </c>
      <c r="G69" s="364" t="s">
        <v>625</v>
      </c>
      <c r="H69" s="369" t="str">
        <f t="shared" si="19"/>
        <v>Фамилия_1 Имя Отчество</v>
      </c>
      <c r="I69" s="370">
        <f t="shared" si="12"/>
        <v>0</v>
      </c>
      <c r="J69" s="715">
        <f t="shared" si="13"/>
        <v>0</v>
      </c>
      <c r="K69" s="370">
        <f t="shared" si="14"/>
        <v>0</v>
      </c>
      <c r="L69" s="715">
        <f t="shared" si="9"/>
        <v>0</v>
      </c>
      <c r="M69" s="716">
        <f t="shared" si="15"/>
        <v>0</v>
      </c>
      <c r="N69" s="371">
        <f t="shared" si="16"/>
        <v>0</v>
      </c>
      <c r="O69" s="717">
        <f t="shared" si="17"/>
        <v>0</v>
      </c>
      <c r="P69" s="371">
        <f t="shared" si="18"/>
        <v>0</v>
      </c>
      <c r="Q69" s="375"/>
      <c r="R69" s="718"/>
      <c r="S69" s="718"/>
      <c r="T69" s="718"/>
      <c r="U69" s="718"/>
      <c r="V69" s="373"/>
      <c r="W69" s="719"/>
      <c r="X69" s="719"/>
      <c r="Y69" s="719"/>
      <c r="Z69" s="720"/>
      <c r="AA69" s="372"/>
      <c r="AB69" s="718"/>
      <c r="AC69" s="718"/>
      <c r="AD69" s="718"/>
      <c r="AE69" s="718"/>
      <c r="AF69" s="373"/>
      <c r="AG69" s="718"/>
      <c r="AH69" s="718"/>
      <c r="AI69" s="718"/>
      <c r="AJ69" s="718"/>
      <c r="AK69" s="373"/>
      <c r="AL69" s="718"/>
      <c r="AM69" s="718"/>
      <c r="AN69" s="718"/>
      <c r="AO69" s="718"/>
      <c r="AP69" s="373"/>
      <c r="AQ69" s="718"/>
      <c r="AR69" s="718"/>
      <c r="AS69" s="718"/>
      <c r="AT69" s="718"/>
      <c r="AU69" s="373"/>
      <c r="AV69" s="718"/>
      <c r="AW69" s="718"/>
      <c r="AX69" s="718"/>
      <c r="AY69" s="718"/>
      <c r="AZ69" s="373"/>
      <c r="BA69" s="718"/>
      <c r="BB69" s="718"/>
      <c r="BC69" s="718"/>
      <c r="BD69" s="720"/>
      <c r="BE69" s="378"/>
      <c r="BF69" s="718"/>
      <c r="BG69" s="718"/>
      <c r="BH69" s="718"/>
      <c r="BI69" s="718"/>
      <c r="BJ69" s="379"/>
      <c r="BK69" s="718"/>
      <c r="BL69" s="718"/>
      <c r="BM69" s="718"/>
      <c r="BN69" s="718"/>
      <c r="BO69" s="372"/>
      <c r="BP69" s="718"/>
      <c r="BQ69" s="718"/>
      <c r="BR69" s="718"/>
      <c r="BS69" s="718"/>
      <c r="BT69" s="373"/>
      <c r="BU69" s="718"/>
      <c r="BV69" s="718"/>
      <c r="BW69" s="718"/>
      <c r="BX69" s="718"/>
      <c r="BY69" s="380"/>
      <c r="BZ69" s="718"/>
      <c r="CA69" s="718"/>
      <c r="CB69" s="718"/>
      <c r="CC69" s="718"/>
      <c r="CD69" s="382"/>
      <c r="CE69" s="718"/>
      <c r="CF69" s="718"/>
      <c r="CG69" s="718"/>
      <c r="CH69" s="718"/>
      <c r="CI69" s="372"/>
      <c r="CJ69" s="718"/>
      <c r="CK69" s="718"/>
      <c r="CL69" s="718"/>
      <c r="CM69" s="721"/>
      <c r="CN69" s="722"/>
      <c r="CO69" s="372"/>
      <c r="CP69" s="718"/>
      <c r="CQ69" s="718"/>
      <c r="CR69" s="718"/>
      <c r="CS69" s="721"/>
      <c r="CT69" s="722"/>
      <c r="CU69" s="372"/>
      <c r="CV69" s="718"/>
      <c r="CW69" s="718"/>
      <c r="CX69" s="718"/>
      <c r="CY69" s="721"/>
      <c r="CZ69" s="722"/>
      <c r="DA69" s="372"/>
      <c r="DB69" s="718"/>
      <c r="DC69" s="718"/>
      <c r="DD69" s="718"/>
      <c r="DE69" s="721"/>
      <c r="DF69" s="722"/>
      <c r="DG69" s="54"/>
      <c r="DH69" s="18" t="e">
        <f>SUMIFS(#REF!,#REF!, $C69,#REF!, $E69,#REF!, $F69)</f>
        <v>#REF!</v>
      </c>
      <c r="DI69" s="55" t="e">
        <f>COUNTIFS(#REF!, $C69,#REF!, $E69,#REF!, $F69,#REF!, "&gt;=0")</f>
        <v>#REF!</v>
      </c>
      <c r="DJ69" s="18" t="e">
        <f>COUNTIFS(#REF!, $C69,#REF!, $E69,#REF!, $F69,#REF!, "лично")</f>
        <v>#REF!</v>
      </c>
    </row>
    <row r="70" spans="1:114" ht="12" customHeight="1" x14ac:dyDescent="0.25">
      <c r="A70" s="363">
        <f t="shared" si="10"/>
        <v>38</v>
      </c>
      <c r="B70" s="364" t="s">
        <v>79</v>
      </c>
      <c r="C70" s="365" t="s">
        <v>265</v>
      </c>
      <c r="D70" s="366"/>
      <c r="E70" s="680"/>
      <c r="F70" s="369" t="str">
        <f t="shared" si="11"/>
        <v>Сокращенное название</v>
      </c>
      <c r="G70" s="364" t="s">
        <v>625</v>
      </c>
      <c r="H70" s="369" t="str">
        <f t="shared" si="19"/>
        <v>Фамилия_1 Имя Отчество</v>
      </c>
      <c r="I70" s="370">
        <f t="shared" si="12"/>
        <v>0</v>
      </c>
      <c r="J70" s="715">
        <f t="shared" si="13"/>
        <v>0</v>
      </c>
      <c r="K70" s="370">
        <f t="shared" si="14"/>
        <v>0</v>
      </c>
      <c r="L70" s="715">
        <f t="shared" si="9"/>
        <v>0</v>
      </c>
      <c r="M70" s="716">
        <f t="shared" si="15"/>
        <v>0</v>
      </c>
      <c r="N70" s="371">
        <f t="shared" si="16"/>
        <v>0</v>
      </c>
      <c r="O70" s="717">
        <f t="shared" si="17"/>
        <v>0</v>
      </c>
      <c r="P70" s="371">
        <f t="shared" si="18"/>
        <v>0</v>
      </c>
      <c r="Q70" s="375"/>
      <c r="R70" s="718"/>
      <c r="S70" s="718"/>
      <c r="T70" s="718"/>
      <c r="U70" s="718"/>
      <c r="V70" s="373"/>
      <c r="W70" s="719"/>
      <c r="X70" s="719"/>
      <c r="Y70" s="719"/>
      <c r="Z70" s="720"/>
      <c r="AA70" s="372"/>
      <c r="AB70" s="718"/>
      <c r="AC70" s="718"/>
      <c r="AD70" s="718"/>
      <c r="AE70" s="718"/>
      <c r="AF70" s="373"/>
      <c r="AG70" s="718"/>
      <c r="AH70" s="718"/>
      <c r="AI70" s="718"/>
      <c r="AJ70" s="718"/>
      <c r="AK70" s="373"/>
      <c r="AL70" s="718"/>
      <c r="AM70" s="718"/>
      <c r="AN70" s="718"/>
      <c r="AO70" s="718"/>
      <c r="AP70" s="373"/>
      <c r="AQ70" s="718"/>
      <c r="AR70" s="718"/>
      <c r="AS70" s="718"/>
      <c r="AT70" s="718"/>
      <c r="AU70" s="373"/>
      <c r="AV70" s="718"/>
      <c r="AW70" s="718"/>
      <c r="AX70" s="718"/>
      <c r="AY70" s="718"/>
      <c r="AZ70" s="373"/>
      <c r="BA70" s="718"/>
      <c r="BB70" s="718"/>
      <c r="BC70" s="718"/>
      <c r="BD70" s="720"/>
      <c r="BE70" s="378"/>
      <c r="BF70" s="718"/>
      <c r="BG70" s="718"/>
      <c r="BH70" s="718"/>
      <c r="BI70" s="718"/>
      <c r="BJ70" s="379"/>
      <c r="BK70" s="718"/>
      <c r="BL70" s="718"/>
      <c r="BM70" s="718"/>
      <c r="BN70" s="718"/>
      <c r="BO70" s="372"/>
      <c r="BP70" s="718"/>
      <c r="BQ70" s="718"/>
      <c r="BR70" s="718"/>
      <c r="BS70" s="718"/>
      <c r="BT70" s="373"/>
      <c r="BU70" s="718"/>
      <c r="BV70" s="718"/>
      <c r="BW70" s="718"/>
      <c r="BX70" s="718"/>
      <c r="BY70" s="380"/>
      <c r="BZ70" s="718"/>
      <c r="CA70" s="718"/>
      <c r="CB70" s="718"/>
      <c r="CC70" s="718"/>
      <c r="CD70" s="382"/>
      <c r="CE70" s="718"/>
      <c r="CF70" s="718"/>
      <c r="CG70" s="718"/>
      <c r="CH70" s="718"/>
      <c r="CI70" s="372"/>
      <c r="CJ70" s="718"/>
      <c r="CK70" s="718"/>
      <c r="CL70" s="718"/>
      <c r="CM70" s="721"/>
      <c r="CN70" s="722"/>
      <c r="CO70" s="372"/>
      <c r="CP70" s="718"/>
      <c r="CQ70" s="718"/>
      <c r="CR70" s="718"/>
      <c r="CS70" s="721"/>
      <c r="CT70" s="722"/>
      <c r="CU70" s="372"/>
      <c r="CV70" s="718"/>
      <c r="CW70" s="718"/>
      <c r="CX70" s="718"/>
      <c r="CY70" s="721"/>
      <c r="CZ70" s="722"/>
      <c r="DA70" s="372"/>
      <c r="DB70" s="718"/>
      <c r="DC70" s="718"/>
      <c r="DD70" s="718"/>
      <c r="DE70" s="721"/>
      <c r="DF70" s="722"/>
      <c r="DG70" s="54"/>
      <c r="DH70" s="18" t="e">
        <f>SUMIFS(#REF!,#REF!, $C70,#REF!, $E70,#REF!, $F70)</f>
        <v>#REF!</v>
      </c>
      <c r="DI70" s="55" t="e">
        <f>COUNTIFS(#REF!, $C70,#REF!, $E70,#REF!, $F70,#REF!, "&gt;=0")</f>
        <v>#REF!</v>
      </c>
      <c r="DJ70" s="18" t="e">
        <f>COUNTIFS(#REF!, $C70,#REF!, $E70,#REF!, $F70,#REF!, "лично")</f>
        <v>#REF!</v>
      </c>
    </row>
    <row r="71" spans="1:114" ht="12" customHeight="1" x14ac:dyDescent="0.25">
      <c r="A71" s="363">
        <f t="shared" si="10"/>
        <v>39</v>
      </c>
      <c r="B71" s="364" t="s">
        <v>79</v>
      </c>
      <c r="C71" s="365" t="s">
        <v>265</v>
      </c>
      <c r="D71" s="366"/>
      <c r="E71" s="680"/>
      <c r="F71" s="369" t="str">
        <f t="shared" si="11"/>
        <v>Сокращенное название</v>
      </c>
      <c r="G71" s="364" t="s">
        <v>625</v>
      </c>
      <c r="H71" s="369" t="str">
        <f t="shared" si="19"/>
        <v>Фамилия_1 Имя Отчество</v>
      </c>
      <c r="I71" s="370">
        <f t="shared" si="12"/>
        <v>0</v>
      </c>
      <c r="J71" s="715">
        <f t="shared" si="13"/>
        <v>0</v>
      </c>
      <c r="K71" s="370">
        <f t="shared" si="14"/>
        <v>0</v>
      </c>
      <c r="L71" s="715">
        <f t="shared" si="9"/>
        <v>0</v>
      </c>
      <c r="M71" s="716">
        <f t="shared" si="15"/>
        <v>0</v>
      </c>
      <c r="N71" s="371">
        <f t="shared" si="16"/>
        <v>0</v>
      </c>
      <c r="O71" s="717">
        <f t="shared" si="17"/>
        <v>0</v>
      </c>
      <c r="P71" s="371">
        <f t="shared" si="18"/>
        <v>0</v>
      </c>
      <c r="Q71" s="375"/>
      <c r="R71" s="718"/>
      <c r="S71" s="718"/>
      <c r="T71" s="718"/>
      <c r="U71" s="718"/>
      <c r="V71" s="373"/>
      <c r="W71" s="719"/>
      <c r="X71" s="719"/>
      <c r="Y71" s="719"/>
      <c r="Z71" s="720"/>
      <c r="AA71" s="372"/>
      <c r="AB71" s="718"/>
      <c r="AC71" s="718"/>
      <c r="AD71" s="718"/>
      <c r="AE71" s="718"/>
      <c r="AF71" s="373"/>
      <c r="AG71" s="718"/>
      <c r="AH71" s="718"/>
      <c r="AI71" s="718"/>
      <c r="AJ71" s="718"/>
      <c r="AK71" s="373"/>
      <c r="AL71" s="718"/>
      <c r="AM71" s="718"/>
      <c r="AN71" s="718"/>
      <c r="AO71" s="718"/>
      <c r="AP71" s="373"/>
      <c r="AQ71" s="718"/>
      <c r="AR71" s="718"/>
      <c r="AS71" s="718"/>
      <c r="AT71" s="718"/>
      <c r="AU71" s="373"/>
      <c r="AV71" s="718"/>
      <c r="AW71" s="718"/>
      <c r="AX71" s="718"/>
      <c r="AY71" s="718"/>
      <c r="AZ71" s="373"/>
      <c r="BA71" s="718"/>
      <c r="BB71" s="718"/>
      <c r="BC71" s="718"/>
      <c r="BD71" s="720"/>
      <c r="BE71" s="378"/>
      <c r="BF71" s="718"/>
      <c r="BG71" s="718"/>
      <c r="BH71" s="718"/>
      <c r="BI71" s="718"/>
      <c r="BJ71" s="379"/>
      <c r="BK71" s="718"/>
      <c r="BL71" s="718"/>
      <c r="BM71" s="718"/>
      <c r="BN71" s="718"/>
      <c r="BO71" s="372"/>
      <c r="BP71" s="718"/>
      <c r="BQ71" s="718"/>
      <c r="BR71" s="718"/>
      <c r="BS71" s="718"/>
      <c r="BT71" s="373"/>
      <c r="BU71" s="718"/>
      <c r="BV71" s="718"/>
      <c r="BW71" s="718"/>
      <c r="BX71" s="718"/>
      <c r="BY71" s="380"/>
      <c r="BZ71" s="718"/>
      <c r="CA71" s="718"/>
      <c r="CB71" s="718"/>
      <c r="CC71" s="718"/>
      <c r="CD71" s="382"/>
      <c r="CE71" s="718"/>
      <c r="CF71" s="718"/>
      <c r="CG71" s="718"/>
      <c r="CH71" s="718"/>
      <c r="CI71" s="372"/>
      <c r="CJ71" s="718"/>
      <c r="CK71" s="718"/>
      <c r="CL71" s="718"/>
      <c r="CM71" s="721"/>
      <c r="CN71" s="722"/>
      <c r="CO71" s="372"/>
      <c r="CP71" s="718"/>
      <c r="CQ71" s="718"/>
      <c r="CR71" s="718"/>
      <c r="CS71" s="721"/>
      <c r="CT71" s="722"/>
      <c r="CU71" s="372"/>
      <c r="CV71" s="718"/>
      <c r="CW71" s="718"/>
      <c r="CX71" s="718"/>
      <c r="CY71" s="721"/>
      <c r="CZ71" s="722"/>
      <c r="DA71" s="372"/>
      <c r="DB71" s="718"/>
      <c r="DC71" s="718"/>
      <c r="DD71" s="718"/>
      <c r="DE71" s="721"/>
      <c r="DF71" s="722"/>
      <c r="DG71" s="54"/>
      <c r="DH71" s="18" t="e">
        <f>SUMIFS(#REF!,#REF!, $C71,#REF!, $E71,#REF!, $F71)</f>
        <v>#REF!</v>
      </c>
      <c r="DI71" s="55" t="e">
        <f>COUNTIFS(#REF!, $C71,#REF!, $E71,#REF!, $F71,#REF!, "&gt;=0")</f>
        <v>#REF!</v>
      </c>
      <c r="DJ71" s="18" t="e">
        <f>COUNTIFS(#REF!, $C71,#REF!, $E71,#REF!, $F71,#REF!, "лично")</f>
        <v>#REF!</v>
      </c>
    </row>
    <row r="72" spans="1:114" ht="12" customHeight="1" x14ac:dyDescent="0.25">
      <c r="A72" s="363">
        <f t="shared" si="10"/>
        <v>40</v>
      </c>
      <c r="B72" s="364" t="s">
        <v>79</v>
      </c>
      <c r="C72" s="365" t="s">
        <v>265</v>
      </c>
      <c r="D72" s="366"/>
      <c r="E72" s="680"/>
      <c r="F72" s="369" t="str">
        <f t="shared" si="11"/>
        <v>Сокращенное название</v>
      </c>
      <c r="G72" s="364" t="s">
        <v>625</v>
      </c>
      <c r="H72" s="369" t="str">
        <f t="shared" si="19"/>
        <v>Фамилия_1 Имя Отчество</v>
      </c>
      <c r="I72" s="370">
        <f t="shared" si="12"/>
        <v>0</v>
      </c>
      <c r="J72" s="715">
        <f t="shared" si="13"/>
        <v>0</v>
      </c>
      <c r="K72" s="370">
        <f t="shared" si="14"/>
        <v>0</v>
      </c>
      <c r="L72" s="715">
        <f t="shared" si="9"/>
        <v>0</v>
      </c>
      <c r="M72" s="716">
        <f t="shared" si="15"/>
        <v>0</v>
      </c>
      <c r="N72" s="371">
        <f t="shared" si="16"/>
        <v>0</v>
      </c>
      <c r="O72" s="717">
        <f t="shared" si="17"/>
        <v>0</v>
      </c>
      <c r="P72" s="371">
        <f t="shared" si="18"/>
        <v>0</v>
      </c>
      <c r="Q72" s="375"/>
      <c r="R72" s="718"/>
      <c r="S72" s="718"/>
      <c r="T72" s="718"/>
      <c r="U72" s="718"/>
      <c r="V72" s="373"/>
      <c r="W72" s="719"/>
      <c r="X72" s="719"/>
      <c r="Y72" s="719"/>
      <c r="Z72" s="720"/>
      <c r="AA72" s="372"/>
      <c r="AB72" s="718"/>
      <c r="AC72" s="718"/>
      <c r="AD72" s="718"/>
      <c r="AE72" s="718"/>
      <c r="AF72" s="373"/>
      <c r="AG72" s="718"/>
      <c r="AH72" s="718"/>
      <c r="AI72" s="718"/>
      <c r="AJ72" s="718"/>
      <c r="AK72" s="373"/>
      <c r="AL72" s="718"/>
      <c r="AM72" s="718"/>
      <c r="AN72" s="718"/>
      <c r="AO72" s="718"/>
      <c r="AP72" s="373"/>
      <c r="AQ72" s="718"/>
      <c r="AR72" s="718"/>
      <c r="AS72" s="718"/>
      <c r="AT72" s="718"/>
      <c r="AU72" s="373"/>
      <c r="AV72" s="718"/>
      <c r="AW72" s="718"/>
      <c r="AX72" s="718"/>
      <c r="AY72" s="718"/>
      <c r="AZ72" s="373"/>
      <c r="BA72" s="718"/>
      <c r="BB72" s="718"/>
      <c r="BC72" s="718"/>
      <c r="BD72" s="720"/>
      <c r="BE72" s="378"/>
      <c r="BF72" s="718"/>
      <c r="BG72" s="718"/>
      <c r="BH72" s="718"/>
      <c r="BI72" s="718"/>
      <c r="BJ72" s="379"/>
      <c r="BK72" s="718"/>
      <c r="BL72" s="718"/>
      <c r="BM72" s="718"/>
      <c r="BN72" s="718"/>
      <c r="BO72" s="372"/>
      <c r="BP72" s="718"/>
      <c r="BQ72" s="718"/>
      <c r="BR72" s="718"/>
      <c r="BS72" s="718"/>
      <c r="BT72" s="373"/>
      <c r="BU72" s="718"/>
      <c r="BV72" s="718"/>
      <c r="BW72" s="718"/>
      <c r="BX72" s="718"/>
      <c r="BY72" s="380"/>
      <c r="BZ72" s="718"/>
      <c r="CA72" s="718"/>
      <c r="CB72" s="718"/>
      <c r="CC72" s="718"/>
      <c r="CD72" s="382"/>
      <c r="CE72" s="718"/>
      <c r="CF72" s="718"/>
      <c r="CG72" s="718"/>
      <c r="CH72" s="718"/>
      <c r="CI72" s="372"/>
      <c r="CJ72" s="718"/>
      <c r="CK72" s="718"/>
      <c r="CL72" s="718"/>
      <c r="CM72" s="721"/>
      <c r="CN72" s="722"/>
      <c r="CO72" s="372"/>
      <c r="CP72" s="718"/>
      <c r="CQ72" s="718"/>
      <c r="CR72" s="718"/>
      <c r="CS72" s="721"/>
      <c r="CT72" s="722"/>
      <c r="CU72" s="372"/>
      <c r="CV72" s="718"/>
      <c r="CW72" s="718"/>
      <c r="CX72" s="718"/>
      <c r="CY72" s="721"/>
      <c r="CZ72" s="722"/>
      <c r="DA72" s="372"/>
      <c r="DB72" s="718"/>
      <c r="DC72" s="718"/>
      <c r="DD72" s="718"/>
      <c r="DE72" s="721"/>
      <c r="DF72" s="722"/>
      <c r="DG72" s="54"/>
      <c r="DH72" s="18" t="e">
        <f>SUMIFS(#REF!,#REF!, $C72,#REF!, $E72,#REF!, $F72)</f>
        <v>#REF!</v>
      </c>
      <c r="DI72" s="55" t="e">
        <f>COUNTIFS(#REF!, $C72,#REF!, $E72,#REF!, $F72,#REF!, "&gt;=0")</f>
        <v>#REF!</v>
      </c>
      <c r="DJ72" s="18" t="e">
        <f>COUNTIFS(#REF!, $C72,#REF!, $E72,#REF!, $F72,#REF!, "лично")</f>
        <v>#REF!</v>
      </c>
    </row>
    <row r="73" spans="1:114" ht="12" customHeight="1" x14ac:dyDescent="0.25">
      <c r="A73" s="363">
        <f t="shared" si="10"/>
        <v>41</v>
      </c>
      <c r="B73" s="364" t="s">
        <v>79</v>
      </c>
      <c r="C73" s="365" t="s">
        <v>265</v>
      </c>
      <c r="D73" s="366"/>
      <c r="E73" s="680"/>
      <c r="F73" s="369" t="str">
        <f t="shared" si="11"/>
        <v>Сокращенное название</v>
      </c>
      <c r="G73" s="364" t="s">
        <v>625</v>
      </c>
      <c r="H73" s="369" t="str">
        <f t="shared" si="19"/>
        <v>Фамилия_1 Имя Отчество</v>
      </c>
      <c r="I73" s="370">
        <f t="shared" si="12"/>
        <v>0</v>
      </c>
      <c r="J73" s="715">
        <f t="shared" si="13"/>
        <v>0</v>
      </c>
      <c r="K73" s="370">
        <f t="shared" si="14"/>
        <v>0</v>
      </c>
      <c r="L73" s="715">
        <f t="shared" si="9"/>
        <v>0</v>
      </c>
      <c r="M73" s="716">
        <f t="shared" si="15"/>
        <v>0</v>
      </c>
      <c r="N73" s="371">
        <f t="shared" si="16"/>
        <v>0</v>
      </c>
      <c r="O73" s="717">
        <f t="shared" si="17"/>
        <v>0</v>
      </c>
      <c r="P73" s="371">
        <f t="shared" si="18"/>
        <v>0</v>
      </c>
      <c r="Q73" s="375"/>
      <c r="R73" s="718"/>
      <c r="S73" s="718"/>
      <c r="T73" s="718"/>
      <c r="U73" s="718"/>
      <c r="V73" s="373"/>
      <c r="W73" s="719"/>
      <c r="X73" s="719"/>
      <c r="Y73" s="719"/>
      <c r="Z73" s="720"/>
      <c r="AA73" s="372"/>
      <c r="AB73" s="718"/>
      <c r="AC73" s="718"/>
      <c r="AD73" s="718"/>
      <c r="AE73" s="718"/>
      <c r="AF73" s="373"/>
      <c r="AG73" s="718"/>
      <c r="AH73" s="718"/>
      <c r="AI73" s="718"/>
      <c r="AJ73" s="718"/>
      <c r="AK73" s="373"/>
      <c r="AL73" s="718"/>
      <c r="AM73" s="718"/>
      <c r="AN73" s="718"/>
      <c r="AO73" s="718"/>
      <c r="AP73" s="373"/>
      <c r="AQ73" s="718"/>
      <c r="AR73" s="718"/>
      <c r="AS73" s="718"/>
      <c r="AT73" s="718"/>
      <c r="AU73" s="373"/>
      <c r="AV73" s="718"/>
      <c r="AW73" s="718"/>
      <c r="AX73" s="718"/>
      <c r="AY73" s="718"/>
      <c r="AZ73" s="373"/>
      <c r="BA73" s="718"/>
      <c r="BB73" s="718"/>
      <c r="BC73" s="718"/>
      <c r="BD73" s="720"/>
      <c r="BE73" s="378"/>
      <c r="BF73" s="718"/>
      <c r="BG73" s="718"/>
      <c r="BH73" s="718"/>
      <c r="BI73" s="718"/>
      <c r="BJ73" s="379"/>
      <c r="BK73" s="718"/>
      <c r="BL73" s="718"/>
      <c r="BM73" s="718"/>
      <c r="BN73" s="718"/>
      <c r="BO73" s="372"/>
      <c r="BP73" s="718"/>
      <c r="BQ73" s="718"/>
      <c r="BR73" s="718"/>
      <c r="BS73" s="718"/>
      <c r="BT73" s="373"/>
      <c r="BU73" s="718"/>
      <c r="BV73" s="718"/>
      <c r="BW73" s="718"/>
      <c r="BX73" s="718"/>
      <c r="BY73" s="380"/>
      <c r="BZ73" s="718"/>
      <c r="CA73" s="718"/>
      <c r="CB73" s="718"/>
      <c r="CC73" s="718"/>
      <c r="CD73" s="382"/>
      <c r="CE73" s="718"/>
      <c r="CF73" s="718"/>
      <c r="CG73" s="718"/>
      <c r="CH73" s="718"/>
      <c r="CI73" s="372"/>
      <c r="CJ73" s="718"/>
      <c r="CK73" s="718"/>
      <c r="CL73" s="718"/>
      <c r="CM73" s="721"/>
      <c r="CN73" s="722"/>
      <c r="CO73" s="372"/>
      <c r="CP73" s="718"/>
      <c r="CQ73" s="718"/>
      <c r="CR73" s="718"/>
      <c r="CS73" s="721"/>
      <c r="CT73" s="722"/>
      <c r="CU73" s="372"/>
      <c r="CV73" s="718"/>
      <c r="CW73" s="718"/>
      <c r="CX73" s="718"/>
      <c r="CY73" s="721"/>
      <c r="CZ73" s="722"/>
      <c r="DA73" s="372"/>
      <c r="DB73" s="718"/>
      <c r="DC73" s="718"/>
      <c r="DD73" s="718"/>
      <c r="DE73" s="721"/>
      <c r="DF73" s="722"/>
      <c r="DG73" s="54"/>
      <c r="DH73" s="18" t="e">
        <f>SUMIFS(#REF!,#REF!, $C73,#REF!, $E73,#REF!, $F73)</f>
        <v>#REF!</v>
      </c>
      <c r="DI73" s="55" t="e">
        <f>COUNTIFS(#REF!, $C73,#REF!, $E73,#REF!, $F73,#REF!, "&gt;=0")</f>
        <v>#REF!</v>
      </c>
      <c r="DJ73" s="18" t="e">
        <f>COUNTIFS(#REF!, $C73,#REF!, $E73,#REF!, $F73,#REF!, "лично")</f>
        <v>#REF!</v>
      </c>
    </row>
    <row r="74" spans="1:114" ht="12" customHeight="1" x14ac:dyDescent="0.25">
      <c r="A74" s="363">
        <f t="shared" si="10"/>
        <v>42</v>
      </c>
      <c r="B74" s="364" t="s">
        <v>79</v>
      </c>
      <c r="C74" s="365" t="s">
        <v>265</v>
      </c>
      <c r="D74" s="366"/>
      <c r="E74" s="680"/>
      <c r="F74" s="369" t="str">
        <f t="shared" si="11"/>
        <v>Сокращенное название</v>
      </c>
      <c r="G74" s="364" t="s">
        <v>625</v>
      </c>
      <c r="H74" s="369" t="str">
        <f t="shared" si="19"/>
        <v>Фамилия_1 Имя Отчество</v>
      </c>
      <c r="I74" s="370">
        <f t="shared" si="12"/>
        <v>0</v>
      </c>
      <c r="J74" s="715">
        <f t="shared" si="13"/>
        <v>0</v>
      </c>
      <c r="K74" s="370">
        <f t="shared" si="14"/>
        <v>0</v>
      </c>
      <c r="L74" s="715">
        <f t="shared" si="9"/>
        <v>0</v>
      </c>
      <c r="M74" s="716">
        <f t="shared" si="15"/>
        <v>0</v>
      </c>
      <c r="N74" s="371">
        <f t="shared" si="16"/>
        <v>0</v>
      </c>
      <c r="O74" s="717">
        <f t="shared" si="17"/>
        <v>0</v>
      </c>
      <c r="P74" s="371">
        <f t="shared" si="18"/>
        <v>0</v>
      </c>
      <c r="Q74" s="375"/>
      <c r="R74" s="718"/>
      <c r="S74" s="718"/>
      <c r="T74" s="718"/>
      <c r="U74" s="718"/>
      <c r="V74" s="373"/>
      <c r="W74" s="719"/>
      <c r="X74" s="719"/>
      <c r="Y74" s="719"/>
      <c r="Z74" s="720"/>
      <c r="AA74" s="372"/>
      <c r="AB74" s="718"/>
      <c r="AC74" s="718"/>
      <c r="AD74" s="718"/>
      <c r="AE74" s="718"/>
      <c r="AF74" s="373"/>
      <c r="AG74" s="718"/>
      <c r="AH74" s="718"/>
      <c r="AI74" s="718"/>
      <c r="AJ74" s="718"/>
      <c r="AK74" s="373"/>
      <c r="AL74" s="718"/>
      <c r="AM74" s="718"/>
      <c r="AN74" s="718"/>
      <c r="AO74" s="718"/>
      <c r="AP74" s="373"/>
      <c r="AQ74" s="718"/>
      <c r="AR74" s="718"/>
      <c r="AS74" s="718"/>
      <c r="AT74" s="718"/>
      <c r="AU74" s="373"/>
      <c r="AV74" s="718"/>
      <c r="AW74" s="718"/>
      <c r="AX74" s="718"/>
      <c r="AY74" s="718"/>
      <c r="AZ74" s="373"/>
      <c r="BA74" s="718"/>
      <c r="BB74" s="718"/>
      <c r="BC74" s="718"/>
      <c r="BD74" s="720"/>
      <c r="BE74" s="378"/>
      <c r="BF74" s="718"/>
      <c r="BG74" s="718"/>
      <c r="BH74" s="718"/>
      <c r="BI74" s="718"/>
      <c r="BJ74" s="379"/>
      <c r="BK74" s="718"/>
      <c r="BL74" s="718"/>
      <c r="BM74" s="718"/>
      <c r="BN74" s="718"/>
      <c r="BO74" s="372"/>
      <c r="BP74" s="718"/>
      <c r="BQ74" s="718"/>
      <c r="BR74" s="718"/>
      <c r="BS74" s="718"/>
      <c r="BT74" s="373"/>
      <c r="BU74" s="718"/>
      <c r="BV74" s="718"/>
      <c r="BW74" s="718"/>
      <c r="BX74" s="718"/>
      <c r="BY74" s="380"/>
      <c r="BZ74" s="718"/>
      <c r="CA74" s="718"/>
      <c r="CB74" s="718"/>
      <c r="CC74" s="718"/>
      <c r="CD74" s="382"/>
      <c r="CE74" s="718"/>
      <c r="CF74" s="718"/>
      <c r="CG74" s="718"/>
      <c r="CH74" s="718"/>
      <c r="CI74" s="372"/>
      <c r="CJ74" s="718"/>
      <c r="CK74" s="718"/>
      <c r="CL74" s="718"/>
      <c r="CM74" s="721"/>
      <c r="CN74" s="722"/>
      <c r="CO74" s="372"/>
      <c r="CP74" s="718"/>
      <c r="CQ74" s="718"/>
      <c r="CR74" s="718"/>
      <c r="CS74" s="721"/>
      <c r="CT74" s="722"/>
      <c r="CU74" s="372"/>
      <c r="CV74" s="718"/>
      <c r="CW74" s="718"/>
      <c r="CX74" s="718"/>
      <c r="CY74" s="721"/>
      <c r="CZ74" s="722"/>
      <c r="DA74" s="372"/>
      <c r="DB74" s="718"/>
      <c r="DC74" s="718"/>
      <c r="DD74" s="718"/>
      <c r="DE74" s="721"/>
      <c r="DF74" s="722"/>
      <c r="DG74" s="54"/>
      <c r="DH74" s="18" t="e">
        <f>SUMIFS(#REF!,#REF!, $C74,#REF!, $E74,#REF!, $F74)</f>
        <v>#REF!</v>
      </c>
      <c r="DI74" s="55" t="e">
        <f>COUNTIFS(#REF!, $C74,#REF!, $E74,#REF!, $F74,#REF!, "&gt;=0")</f>
        <v>#REF!</v>
      </c>
      <c r="DJ74" s="18" t="e">
        <f>COUNTIFS(#REF!, $C74,#REF!, $E74,#REF!, $F74,#REF!, "лично")</f>
        <v>#REF!</v>
      </c>
    </row>
    <row r="75" spans="1:114" ht="12" customHeight="1" x14ac:dyDescent="0.25">
      <c r="A75" s="363">
        <f t="shared" si="10"/>
        <v>43</v>
      </c>
      <c r="B75" s="364" t="s">
        <v>79</v>
      </c>
      <c r="C75" s="365" t="s">
        <v>265</v>
      </c>
      <c r="D75" s="366"/>
      <c r="E75" s="680"/>
      <c r="F75" s="369" t="str">
        <f t="shared" si="11"/>
        <v>Сокращенное название</v>
      </c>
      <c r="G75" s="364" t="s">
        <v>625</v>
      </c>
      <c r="H75" s="369" t="str">
        <f t="shared" si="19"/>
        <v>Фамилия_1 Имя Отчество</v>
      </c>
      <c r="I75" s="370">
        <f t="shared" si="12"/>
        <v>0</v>
      </c>
      <c r="J75" s="715">
        <f t="shared" si="13"/>
        <v>0</v>
      </c>
      <c r="K75" s="370">
        <f t="shared" si="14"/>
        <v>0</v>
      </c>
      <c r="L75" s="715">
        <f t="shared" si="9"/>
        <v>0</v>
      </c>
      <c r="M75" s="716">
        <f t="shared" si="15"/>
        <v>0</v>
      </c>
      <c r="N75" s="371">
        <f t="shared" si="16"/>
        <v>0</v>
      </c>
      <c r="O75" s="717">
        <f t="shared" si="17"/>
        <v>0</v>
      </c>
      <c r="P75" s="371">
        <f t="shared" si="18"/>
        <v>0</v>
      </c>
      <c r="Q75" s="375"/>
      <c r="R75" s="718"/>
      <c r="S75" s="718"/>
      <c r="T75" s="718"/>
      <c r="U75" s="718"/>
      <c r="V75" s="373"/>
      <c r="W75" s="719"/>
      <c r="X75" s="719"/>
      <c r="Y75" s="719"/>
      <c r="Z75" s="720"/>
      <c r="AA75" s="372"/>
      <c r="AB75" s="718"/>
      <c r="AC75" s="718"/>
      <c r="AD75" s="718"/>
      <c r="AE75" s="718"/>
      <c r="AF75" s="373"/>
      <c r="AG75" s="718"/>
      <c r="AH75" s="718"/>
      <c r="AI75" s="718"/>
      <c r="AJ75" s="718"/>
      <c r="AK75" s="373"/>
      <c r="AL75" s="718"/>
      <c r="AM75" s="718"/>
      <c r="AN75" s="718"/>
      <c r="AO75" s="718"/>
      <c r="AP75" s="373"/>
      <c r="AQ75" s="718"/>
      <c r="AR75" s="718"/>
      <c r="AS75" s="718"/>
      <c r="AT75" s="718"/>
      <c r="AU75" s="373"/>
      <c r="AV75" s="718"/>
      <c r="AW75" s="718"/>
      <c r="AX75" s="718"/>
      <c r="AY75" s="718"/>
      <c r="AZ75" s="373"/>
      <c r="BA75" s="718"/>
      <c r="BB75" s="718"/>
      <c r="BC75" s="718"/>
      <c r="BD75" s="720"/>
      <c r="BE75" s="378"/>
      <c r="BF75" s="718"/>
      <c r="BG75" s="718"/>
      <c r="BH75" s="718"/>
      <c r="BI75" s="718"/>
      <c r="BJ75" s="379"/>
      <c r="BK75" s="718"/>
      <c r="BL75" s="718"/>
      <c r="BM75" s="718"/>
      <c r="BN75" s="718"/>
      <c r="BO75" s="372"/>
      <c r="BP75" s="718"/>
      <c r="BQ75" s="718"/>
      <c r="BR75" s="718"/>
      <c r="BS75" s="718"/>
      <c r="BT75" s="373"/>
      <c r="BU75" s="718"/>
      <c r="BV75" s="718"/>
      <c r="BW75" s="718"/>
      <c r="BX75" s="718"/>
      <c r="BY75" s="380"/>
      <c r="BZ75" s="718"/>
      <c r="CA75" s="718"/>
      <c r="CB75" s="718"/>
      <c r="CC75" s="718"/>
      <c r="CD75" s="382"/>
      <c r="CE75" s="718"/>
      <c r="CF75" s="718"/>
      <c r="CG75" s="718"/>
      <c r="CH75" s="718"/>
      <c r="CI75" s="372"/>
      <c r="CJ75" s="718"/>
      <c r="CK75" s="718"/>
      <c r="CL75" s="718"/>
      <c r="CM75" s="721"/>
      <c r="CN75" s="722"/>
      <c r="CO75" s="372"/>
      <c r="CP75" s="718"/>
      <c r="CQ75" s="718"/>
      <c r="CR75" s="718"/>
      <c r="CS75" s="721"/>
      <c r="CT75" s="722"/>
      <c r="CU75" s="372"/>
      <c r="CV75" s="718"/>
      <c r="CW75" s="718"/>
      <c r="CX75" s="718"/>
      <c r="CY75" s="721"/>
      <c r="CZ75" s="722"/>
      <c r="DA75" s="372"/>
      <c r="DB75" s="718"/>
      <c r="DC75" s="718"/>
      <c r="DD75" s="718"/>
      <c r="DE75" s="721"/>
      <c r="DF75" s="722"/>
      <c r="DG75" s="54"/>
      <c r="DH75" s="18" t="e">
        <f>SUMIFS(#REF!,#REF!, $C75,#REF!, $E75,#REF!, $F75)</f>
        <v>#REF!</v>
      </c>
      <c r="DI75" s="55" t="e">
        <f>COUNTIFS(#REF!, $C75,#REF!, $E75,#REF!, $F75,#REF!, "&gt;=0")</f>
        <v>#REF!</v>
      </c>
      <c r="DJ75" s="18" t="e">
        <f>COUNTIFS(#REF!, $C75,#REF!, $E75,#REF!, $F75,#REF!, "лично")</f>
        <v>#REF!</v>
      </c>
    </row>
    <row r="76" spans="1:114" ht="12" customHeight="1" x14ac:dyDescent="0.25">
      <c r="A76" s="363">
        <f t="shared" si="10"/>
        <v>44</v>
      </c>
      <c r="B76" s="364" t="s">
        <v>79</v>
      </c>
      <c r="C76" s="365" t="s">
        <v>265</v>
      </c>
      <c r="D76" s="366"/>
      <c r="E76" s="680"/>
      <c r="F76" s="369" t="str">
        <f t="shared" si="11"/>
        <v>Сокращенное название</v>
      </c>
      <c r="G76" s="364" t="s">
        <v>625</v>
      </c>
      <c r="H76" s="369" t="str">
        <f t="shared" si="19"/>
        <v>Фамилия_1 Имя Отчество</v>
      </c>
      <c r="I76" s="370">
        <f t="shared" si="12"/>
        <v>0</v>
      </c>
      <c r="J76" s="715">
        <f t="shared" si="13"/>
        <v>0</v>
      </c>
      <c r="K76" s="370">
        <f t="shared" si="14"/>
        <v>0</v>
      </c>
      <c r="L76" s="715">
        <f t="shared" si="9"/>
        <v>0</v>
      </c>
      <c r="M76" s="716">
        <f t="shared" si="15"/>
        <v>0</v>
      </c>
      <c r="N76" s="371">
        <f t="shared" si="16"/>
        <v>0</v>
      </c>
      <c r="O76" s="717">
        <f t="shared" si="17"/>
        <v>0</v>
      </c>
      <c r="P76" s="371">
        <f t="shared" si="18"/>
        <v>0</v>
      </c>
      <c r="Q76" s="375"/>
      <c r="R76" s="718"/>
      <c r="S76" s="718"/>
      <c r="T76" s="718"/>
      <c r="U76" s="718"/>
      <c r="V76" s="373"/>
      <c r="W76" s="719"/>
      <c r="X76" s="719"/>
      <c r="Y76" s="719"/>
      <c r="Z76" s="720"/>
      <c r="AA76" s="372"/>
      <c r="AB76" s="718"/>
      <c r="AC76" s="718"/>
      <c r="AD76" s="718"/>
      <c r="AE76" s="718"/>
      <c r="AF76" s="373"/>
      <c r="AG76" s="718"/>
      <c r="AH76" s="718"/>
      <c r="AI76" s="718"/>
      <c r="AJ76" s="718"/>
      <c r="AK76" s="373"/>
      <c r="AL76" s="718"/>
      <c r="AM76" s="718"/>
      <c r="AN76" s="718"/>
      <c r="AO76" s="718"/>
      <c r="AP76" s="373"/>
      <c r="AQ76" s="718"/>
      <c r="AR76" s="718"/>
      <c r="AS76" s="718"/>
      <c r="AT76" s="718"/>
      <c r="AU76" s="373"/>
      <c r="AV76" s="718"/>
      <c r="AW76" s="718"/>
      <c r="AX76" s="718"/>
      <c r="AY76" s="718"/>
      <c r="AZ76" s="373"/>
      <c r="BA76" s="718"/>
      <c r="BB76" s="718"/>
      <c r="BC76" s="718"/>
      <c r="BD76" s="720"/>
      <c r="BE76" s="378"/>
      <c r="BF76" s="718"/>
      <c r="BG76" s="718"/>
      <c r="BH76" s="718"/>
      <c r="BI76" s="718"/>
      <c r="BJ76" s="379"/>
      <c r="BK76" s="718"/>
      <c r="BL76" s="718"/>
      <c r="BM76" s="718"/>
      <c r="BN76" s="718"/>
      <c r="BO76" s="372"/>
      <c r="BP76" s="718"/>
      <c r="BQ76" s="718"/>
      <c r="BR76" s="718"/>
      <c r="BS76" s="718"/>
      <c r="BT76" s="373"/>
      <c r="BU76" s="718"/>
      <c r="BV76" s="718"/>
      <c r="BW76" s="718"/>
      <c r="BX76" s="718"/>
      <c r="BY76" s="380"/>
      <c r="BZ76" s="718"/>
      <c r="CA76" s="718"/>
      <c r="CB76" s="718"/>
      <c r="CC76" s="718"/>
      <c r="CD76" s="382"/>
      <c r="CE76" s="718"/>
      <c r="CF76" s="718"/>
      <c r="CG76" s="718"/>
      <c r="CH76" s="718"/>
      <c r="CI76" s="372"/>
      <c r="CJ76" s="718"/>
      <c r="CK76" s="718"/>
      <c r="CL76" s="718"/>
      <c r="CM76" s="721"/>
      <c r="CN76" s="722"/>
      <c r="CO76" s="372"/>
      <c r="CP76" s="718"/>
      <c r="CQ76" s="718"/>
      <c r="CR76" s="718"/>
      <c r="CS76" s="721"/>
      <c r="CT76" s="722"/>
      <c r="CU76" s="372"/>
      <c r="CV76" s="718"/>
      <c r="CW76" s="718"/>
      <c r="CX76" s="718"/>
      <c r="CY76" s="721"/>
      <c r="CZ76" s="722"/>
      <c r="DA76" s="372"/>
      <c r="DB76" s="718"/>
      <c r="DC76" s="718"/>
      <c r="DD76" s="718"/>
      <c r="DE76" s="721"/>
      <c r="DF76" s="722"/>
      <c r="DG76" s="54"/>
      <c r="DH76" s="18" t="e">
        <f>SUMIFS(#REF!,#REF!, $C76,#REF!, $E76,#REF!, $F76)</f>
        <v>#REF!</v>
      </c>
      <c r="DI76" s="55" t="e">
        <f>COUNTIFS(#REF!, $C76,#REF!, $E76,#REF!, $F76,#REF!, "&gt;=0")</f>
        <v>#REF!</v>
      </c>
      <c r="DJ76" s="18" t="e">
        <f>COUNTIFS(#REF!, $C76,#REF!, $E76,#REF!, $F76,#REF!, "лично")</f>
        <v>#REF!</v>
      </c>
    </row>
    <row r="77" spans="1:114" ht="12" customHeight="1" x14ac:dyDescent="0.25">
      <c r="A77" s="363">
        <f t="shared" si="10"/>
        <v>45</v>
      </c>
      <c r="B77" s="386" t="s">
        <v>117</v>
      </c>
      <c r="C77" s="365" t="s">
        <v>265</v>
      </c>
      <c r="D77" s="366"/>
      <c r="E77" s="680"/>
      <c r="F77" s="369" t="str">
        <f t="shared" si="11"/>
        <v>Сокращенное название</v>
      </c>
      <c r="G77" s="364" t="s">
        <v>625</v>
      </c>
      <c r="H77" s="369" t="str">
        <f t="shared" si="19"/>
        <v>Фамилия_1 Имя Отчество</v>
      </c>
      <c r="I77" s="370">
        <f t="shared" si="12"/>
        <v>0</v>
      </c>
      <c r="J77" s="715">
        <f t="shared" si="13"/>
        <v>0</v>
      </c>
      <c r="K77" s="370">
        <f t="shared" si="14"/>
        <v>0</v>
      </c>
      <c r="L77" s="715">
        <f t="shared" si="9"/>
        <v>0</v>
      </c>
      <c r="M77" s="716">
        <f t="shared" si="15"/>
        <v>0</v>
      </c>
      <c r="N77" s="371">
        <f t="shared" si="16"/>
        <v>0</v>
      </c>
      <c r="O77" s="717">
        <f t="shared" si="17"/>
        <v>0</v>
      </c>
      <c r="P77" s="371">
        <f t="shared" si="18"/>
        <v>0</v>
      </c>
      <c r="Q77" s="375"/>
      <c r="R77" s="718"/>
      <c r="S77" s="718"/>
      <c r="T77" s="718"/>
      <c r="U77" s="718"/>
      <c r="V77" s="373"/>
      <c r="W77" s="719"/>
      <c r="X77" s="719"/>
      <c r="Y77" s="719"/>
      <c r="Z77" s="720"/>
      <c r="AA77" s="372"/>
      <c r="AB77" s="718"/>
      <c r="AC77" s="718"/>
      <c r="AD77" s="718"/>
      <c r="AE77" s="718"/>
      <c r="AF77" s="373"/>
      <c r="AG77" s="718"/>
      <c r="AH77" s="718"/>
      <c r="AI77" s="718"/>
      <c r="AJ77" s="718"/>
      <c r="AK77" s="373"/>
      <c r="AL77" s="718"/>
      <c r="AM77" s="718"/>
      <c r="AN77" s="718"/>
      <c r="AO77" s="718"/>
      <c r="AP77" s="373"/>
      <c r="AQ77" s="718"/>
      <c r="AR77" s="718"/>
      <c r="AS77" s="718"/>
      <c r="AT77" s="718"/>
      <c r="AU77" s="373"/>
      <c r="AV77" s="718"/>
      <c r="AW77" s="718"/>
      <c r="AX77" s="718"/>
      <c r="AY77" s="718"/>
      <c r="AZ77" s="373"/>
      <c r="BA77" s="718"/>
      <c r="BB77" s="718"/>
      <c r="BC77" s="718"/>
      <c r="BD77" s="720"/>
      <c r="BE77" s="378"/>
      <c r="BF77" s="718"/>
      <c r="BG77" s="718"/>
      <c r="BH77" s="718"/>
      <c r="BI77" s="718"/>
      <c r="BJ77" s="379"/>
      <c r="BK77" s="718"/>
      <c r="BL77" s="718"/>
      <c r="BM77" s="718"/>
      <c r="BN77" s="718"/>
      <c r="BO77" s="372"/>
      <c r="BP77" s="718"/>
      <c r="BQ77" s="718"/>
      <c r="BR77" s="718"/>
      <c r="BS77" s="718"/>
      <c r="BT77" s="373"/>
      <c r="BU77" s="718"/>
      <c r="BV77" s="718"/>
      <c r="BW77" s="718"/>
      <c r="BX77" s="718"/>
      <c r="BY77" s="380"/>
      <c r="BZ77" s="718"/>
      <c r="CA77" s="718"/>
      <c r="CB77" s="718"/>
      <c r="CC77" s="718"/>
      <c r="CD77" s="382"/>
      <c r="CE77" s="718"/>
      <c r="CF77" s="718"/>
      <c r="CG77" s="718"/>
      <c r="CH77" s="718"/>
      <c r="CI77" s="372"/>
      <c r="CJ77" s="718"/>
      <c r="CK77" s="718"/>
      <c r="CL77" s="718"/>
      <c r="CM77" s="721"/>
      <c r="CN77" s="722"/>
      <c r="CO77" s="372"/>
      <c r="CP77" s="718"/>
      <c r="CQ77" s="718"/>
      <c r="CR77" s="718"/>
      <c r="CS77" s="721"/>
      <c r="CT77" s="722"/>
      <c r="CU77" s="372"/>
      <c r="CV77" s="718"/>
      <c r="CW77" s="718"/>
      <c r="CX77" s="718"/>
      <c r="CY77" s="721"/>
      <c r="CZ77" s="722"/>
      <c r="DA77" s="372"/>
      <c r="DB77" s="718"/>
      <c r="DC77" s="718"/>
      <c r="DD77" s="718"/>
      <c r="DE77" s="721"/>
      <c r="DF77" s="722"/>
      <c r="DG77" s="54"/>
      <c r="DH77" s="18" t="e">
        <f>SUMIFS(#REF!,#REF!, $C77,#REF!, $E77,#REF!, $F77)</f>
        <v>#REF!</v>
      </c>
      <c r="DI77" s="55" t="e">
        <f>COUNTIFS(#REF!, $C77,#REF!, $E77,#REF!, $F77,#REF!, "&gt;=0")</f>
        <v>#REF!</v>
      </c>
      <c r="DJ77" s="18" t="e">
        <f>COUNTIFS(#REF!, $C77,#REF!, $E77,#REF!, $F77,#REF!, "лично")</f>
        <v>#REF!</v>
      </c>
    </row>
    <row r="78" spans="1:114" ht="12" customHeight="1" x14ac:dyDescent="0.25">
      <c r="A78" s="363">
        <f t="shared" si="10"/>
        <v>46</v>
      </c>
      <c r="B78" s="386" t="s">
        <v>158</v>
      </c>
      <c r="C78" s="365" t="s">
        <v>265</v>
      </c>
      <c r="D78" s="366"/>
      <c r="E78" s="680"/>
      <c r="F78" s="369" t="str">
        <f t="shared" si="11"/>
        <v>Сокращенное название</v>
      </c>
      <c r="G78" s="364" t="s">
        <v>625</v>
      </c>
      <c r="H78" s="369" t="str">
        <f t="shared" si="19"/>
        <v>Фамилия_1 Имя Отчество</v>
      </c>
      <c r="I78" s="370">
        <f t="shared" si="12"/>
        <v>0</v>
      </c>
      <c r="J78" s="715">
        <f t="shared" si="13"/>
        <v>0</v>
      </c>
      <c r="K78" s="370">
        <f t="shared" si="14"/>
        <v>0</v>
      </c>
      <c r="L78" s="715">
        <f t="shared" si="9"/>
        <v>0</v>
      </c>
      <c r="M78" s="716">
        <f t="shared" si="15"/>
        <v>0</v>
      </c>
      <c r="N78" s="371">
        <f t="shared" si="16"/>
        <v>0</v>
      </c>
      <c r="O78" s="717">
        <f t="shared" si="17"/>
        <v>0</v>
      </c>
      <c r="P78" s="371">
        <f t="shared" si="18"/>
        <v>0</v>
      </c>
      <c r="Q78" s="375"/>
      <c r="R78" s="718"/>
      <c r="S78" s="718"/>
      <c r="T78" s="718"/>
      <c r="U78" s="718"/>
      <c r="V78" s="373"/>
      <c r="W78" s="719"/>
      <c r="X78" s="719"/>
      <c r="Y78" s="719"/>
      <c r="Z78" s="720"/>
      <c r="AA78" s="372"/>
      <c r="AB78" s="718"/>
      <c r="AC78" s="718"/>
      <c r="AD78" s="718"/>
      <c r="AE78" s="718"/>
      <c r="AF78" s="373"/>
      <c r="AG78" s="718"/>
      <c r="AH78" s="718"/>
      <c r="AI78" s="718"/>
      <c r="AJ78" s="718"/>
      <c r="AK78" s="373"/>
      <c r="AL78" s="718"/>
      <c r="AM78" s="718"/>
      <c r="AN78" s="718"/>
      <c r="AO78" s="718"/>
      <c r="AP78" s="373"/>
      <c r="AQ78" s="718"/>
      <c r="AR78" s="718"/>
      <c r="AS78" s="718"/>
      <c r="AT78" s="718"/>
      <c r="AU78" s="373"/>
      <c r="AV78" s="718"/>
      <c r="AW78" s="718"/>
      <c r="AX78" s="718"/>
      <c r="AY78" s="718"/>
      <c r="AZ78" s="373"/>
      <c r="BA78" s="718"/>
      <c r="BB78" s="718"/>
      <c r="BC78" s="718"/>
      <c r="BD78" s="720"/>
      <c r="BE78" s="378"/>
      <c r="BF78" s="718"/>
      <c r="BG78" s="718"/>
      <c r="BH78" s="718"/>
      <c r="BI78" s="718"/>
      <c r="BJ78" s="379"/>
      <c r="BK78" s="718"/>
      <c r="BL78" s="718"/>
      <c r="BM78" s="718"/>
      <c r="BN78" s="718"/>
      <c r="BO78" s="372"/>
      <c r="BP78" s="718"/>
      <c r="BQ78" s="718"/>
      <c r="BR78" s="718"/>
      <c r="BS78" s="718"/>
      <c r="BT78" s="373"/>
      <c r="BU78" s="718"/>
      <c r="BV78" s="718"/>
      <c r="BW78" s="718"/>
      <c r="BX78" s="718"/>
      <c r="BY78" s="380"/>
      <c r="BZ78" s="718"/>
      <c r="CA78" s="718"/>
      <c r="CB78" s="718"/>
      <c r="CC78" s="718"/>
      <c r="CD78" s="382"/>
      <c r="CE78" s="718"/>
      <c r="CF78" s="718"/>
      <c r="CG78" s="718"/>
      <c r="CH78" s="718"/>
      <c r="CI78" s="372"/>
      <c r="CJ78" s="718"/>
      <c r="CK78" s="718"/>
      <c r="CL78" s="718"/>
      <c r="CM78" s="721"/>
      <c r="CN78" s="722"/>
      <c r="CO78" s="372"/>
      <c r="CP78" s="718"/>
      <c r="CQ78" s="718"/>
      <c r="CR78" s="718"/>
      <c r="CS78" s="721"/>
      <c r="CT78" s="722"/>
      <c r="CU78" s="372"/>
      <c r="CV78" s="718"/>
      <c r="CW78" s="718"/>
      <c r="CX78" s="718"/>
      <c r="CY78" s="721"/>
      <c r="CZ78" s="722"/>
      <c r="DA78" s="372"/>
      <c r="DB78" s="718"/>
      <c r="DC78" s="718"/>
      <c r="DD78" s="718"/>
      <c r="DE78" s="721"/>
      <c r="DF78" s="722"/>
      <c r="DG78" s="54"/>
      <c r="DH78" s="18" t="e">
        <f>SUMIFS(#REF!,#REF!, $C78,#REF!, $E78,#REF!, $F78)</f>
        <v>#REF!</v>
      </c>
      <c r="DI78" s="55" t="e">
        <f>COUNTIFS(#REF!, $C78,#REF!, $E78,#REF!, $F78,#REF!, "&gt;=0")</f>
        <v>#REF!</v>
      </c>
      <c r="DJ78" s="18" t="e">
        <f>COUNTIFS(#REF!, $C78,#REF!, $E78,#REF!, $F78,#REF!, "лично")</f>
        <v>#REF!</v>
      </c>
    </row>
    <row r="79" spans="1:114" ht="12" customHeight="1" x14ac:dyDescent="0.25">
      <c r="A79" s="363">
        <f t="shared" si="10"/>
        <v>47</v>
      </c>
      <c r="B79" s="386" t="s">
        <v>100</v>
      </c>
      <c r="C79" s="365" t="s">
        <v>265</v>
      </c>
      <c r="D79" s="366"/>
      <c r="E79" s="680"/>
      <c r="F79" s="369" t="str">
        <f t="shared" si="11"/>
        <v>Сокращенное название</v>
      </c>
      <c r="G79" s="364" t="s">
        <v>625</v>
      </c>
      <c r="H79" s="369" t="str">
        <f t="shared" si="19"/>
        <v>Фамилия_1 Имя Отчество</v>
      </c>
      <c r="I79" s="370">
        <f t="shared" si="12"/>
        <v>0</v>
      </c>
      <c r="J79" s="715">
        <f t="shared" si="13"/>
        <v>0</v>
      </c>
      <c r="K79" s="370">
        <f t="shared" si="14"/>
        <v>0</v>
      </c>
      <c r="L79" s="715">
        <f t="shared" si="9"/>
        <v>0</v>
      </c>
      <c r="M79" s="716">
        <f t="shared" si="15"/>
        <v>0</v>
      </c>
      <c r="N79" s="371">
        <f t="shared" si="16"/>
        <v>0</v>
      </c>
      <c r="O79" s="717">
        <f t="shared" si="17"/>
        <v>0</v>
      </c>
      <c r="P79" s="371">
        <f t="shared" si="18"/>
        <v>0</v>
      </c>
      <c r="Q79" s="375"/>
      <c r="R79" s="718"/>
      <c r="S79" s="718"/>
      <c r="T79" s="718"/>
      <c r="U79" s="718"/>
      <c r="V79" s="373"/>
      <c r="W79" s="719"/>
      <c r="X79" s="719"/>
      <c r="Y79" s="719"/>
      <c r="Z79" s="720"/>
      <c r="AA79" s="372"/>
      <c r="AB79" s="718"/>
      <c r="AC79" s="718"/>
      <c r="AD79" s="718"/>
      <c r="AE79" s="718"/>
      <c r="AF79" s="373"/>
      <c r="AG79" s="718"/>
      <c r="AH79" s="718"/>
      <c r="AI79" s="718"/>
      <c r="AJ79" s="718"/>
      <c r="AK79" s="373"/>
      <c r="AL79" s="718"/>
      <c r="AM79" s="718"/>
      <c r="AN79" s="718"/>
      <c r="AO79" s="718"/>
      <c r="AP79" s="373"/>
      <c r="AQ79" s="718"/>
      <c r="AR79" s="718"/>
      <c r="AS79" s="718"/>
      <c r="AT79" s="718"/>
      <c r="AU79" s="373"/>
      <c r="AV79" s="718"/>
      <c r="AW79" s="718"/>
      <c r="AX79" s="718"/>
      <c r="AY79" s="718"/>
      <c r="AZ79" s="373"/>
      <c r="BA79" s="718"/>
      <c r="BB79" s="718"/>
      <c r="BC79" s="718"/>
      <c r="BD79" s="720"/>
      <c r="BE79" s="378"/>
      <c r="BF79" s="718"/>
      <c r="BG79" s="718"/>
      <c r="BH79" s="718"/>
      <c r="BI79" s="718"/>
      <c r="BJ79" s="379"/>
      <c r="BK79" s="718"/>
      <c r="BL79" s="718"/>
      <c r="BM79" s="718"/>
      <c r="BN79" s="718"/>
      <c r="BO79" s="372"/>
      <c r="BP79" s="718"/>
      <c r="BQ79" s="718"/>
      <c r="BR79" s="718"/>
      <c r="BS79" s="718"/>
      <c r="BT79" s="373"/>
      <c r="BU79" s="718"/>
      <c r="BV79" s="718"/>
      <c r="BW79" s="718"/>
      <c r="BX79" s="718"/>
      <c r="BY79" s="380"/>
      <c r="BZ79" s="718"/>
      <c r="CA79" s="718"/>
      <c r="CB79" s="718"/>
      <c r="CC79" s="718"/>
      <c r="CD79" s="382"/>
      <c r="CE79" s="718"/>
      <c r="CF79" s="718"/>
      <c r="CG79" s="718"/>
      <c r="CH79" s="718"/>
      <c r="CI79" s="372"/>
      <c r="CJ79" s="718"/>
      <c r="CK79" s="718"/>
      <c r="CL79" s="718"/>
      <c r="CM79" s="721"/>
      <c r="CN79" s="722"/>
      <c r="CO79" s="372"/>
      <c r="CP79" s="718"/>
      <c r="CQ79" s="718"/>
      <c r="CR79" s="718"/>
      <c r="CS79" s="721"/>
      <c r="CT79" s="722"/>
      <c r="CU79" s="372"/>
      <c r="CV79" s="718"/>
      <c r="CW79" s="718"/>
      <c r="CX79" s="718"/>
      <c r="CY79" s="721"/>
      <c r="CZ79" s="722"/>
      <c r="DA79" s="372"/>
      <c r="DB79" s="718"/>
      <c r="DC79" s="718"/>
      <c r="DD79" s="718"/>
      <c r="DE79" s="721"/>
      <c r="DF79" s="722"/>
      <c r="DG79" s="54"/>
      <c r="DH79" s="18" t="e">
        <f>SUMIFS(#REF!,#REF!, $C79,#REF!, $E79,#REF!, $F79)</f>
        <v>#REF!</v>
      </c>
      <c r="DI79" s="55" t="e">
        <f>COUNTIFS(#REF!, $C79,#REF!, $E79,#REF!, $F79,#REF!, "&gt;=0")</f>
        <v>#REF!</v>
      </c>
      <c r="DJ79" s="18" t="e">
        <f>COUNTIFS(#REF!, $C79,#REF!, $E79,#REF!, $F79,#REF!, "лично")</f>
        <v>#REF!</v>
      </c>
    </row>
    <row r="80" spans="1:114" ht="12" customHeight="1" x14ac:dyDescent="0.25">
      <c r="A80" s="363">
        <f t="shared" si="10"/>
        <v>48</v>
      </c>
      <c r="B80" s="364" t="s">
        <v>94</v>
      </c>
      <c r="C80" s="365" t="s">
        <v>265</v>
      </c>
      <c r="D80" s="366"/>
      <c r="E80" s="680"/>
      <c r="F80" s="369" t="str">
        <f t="shared" si="11"/>
        <v>Сокращенное название</v>
      </c>
      <c r="G80" s="364" t="s">
        <v>625</v>
      </c>
      <c r="H80" s="369" t="str">
        <f t="shared" si="19"/>
        <v>Фамилия_1 Имя Отчество</v>
      </c>
      <c r="I80" s="370">
        <f t="shared" si="12"/>
        <v>0</v>
      </c>
      <c r="J80" s="715">
        <f t="shared" si="13"/>
        <v>0</v>
      </c>
      <c r="K80" s="370">
        <f t="shared" si="14"/>
        <v>0</v>
      </c>
      <c r="L80" s="715">
        <f t="shared" si="9"/>
        <v>0</v>
      </c>
      <c r="M80" s="716">
        <f t="shared" si="15"/>
        <v>0</v>
      </c>
      <c r="N80" s="371">
        <f t="shared" si="16"/>
        <v>0</v>
      </c>
      <c r="O80" s="717">
        <f t="shared" si="17"/>
        <v>0</v>
      </c>
      <c r="P80" s="371">
        <f t="shared" si="18"/>
        <v>0</v>
      </c>
      <c r="Q80" s="375"/>
      <c r="R80" s="718"/>
      <c r="S80" s="718"/>
      <c r="T80" s="718"/>
      <c r="U80" s="718"/>
      <c r="V80" s="373"/>
      <c r="W80" s="719"/>
      <c r="X80" s="719"/>
      <c r="Y80" s="719"/>
      <c r="Z80" s="720"/>
      <c r="AA80" s="372"/>
      <c r="AB80" s="718"/>
      <c r="AC80" s="718"/>
      <c r="AD80" s="718"/>
      <c r="AE80" s="718"/>
      <c r="AF80" s="373"/>
      <c r="AG80" s="718"/>
      <c r="AH80" s="718"/>
      <c r="AI80" s="718"/>
      <c r="AJ80" s="718"/>
      <c r="AK80" s="373"/>
      <c r="AL80" s="718"/>
      <c r="AM80" s="718"/>
      <c r="AN80" s="718"/>
      <c r="AO80" s="718"/>
      <c r="AP80" s="373"/>
      <c r="AQ80" s="718"/>
      <c r="AR80" s="718"/>
      <c r="AS80" s="718"/>
      <c r="AT80" s="718"/>
      <c r="AU80" s="373"/>
      <c r="AV80" s="718"/>
      <c r="AW80" s="718"/>
      <c r="AX80" s="718"/>
      <c r="AY80" s="718"/>
      <c r="AZ80" s="373"/>
      <c r="BA80" s="718"/>
      <c r="BB80" s="718"/>
      <c r="BC80" s="718"/>
      <c r="BD80" s="720"/>
      <c r="BE80" s="378"/>
      <c r="BF80" s="718"/>
      <c r="BG80" s="718"/>
      <c r="BH80" s="718"/>
      <c r="BI80" s="718"/>
      <c r="BJ80" s="379"/>
      <c r="BK80" s="718"/>
      <c r="BL80" s="718"/>
      <c r="BM80" s="718"/>
      <c r="BN80" s="718"/>
      <c r="BO80" s="372"/>
      <c r="BP80" s="718"/>
      <c r="BQ80" s="718"/>
      <c r="BR80" s="718"/>
      <c r="BS80" s="718"/>
      <c r="BT80" s="373"/>
      <c r="BU80" s="718"/>
      <c r="BV80" s="718"/>
      <c r="BW80" s="718"/>
      <c r="BX80" s="718"/>
      <c r="BY80" s="380"/>
      <c r="BZ80" s="718"/>
      <c r="CA80" s="718"/>
      <c r="CB80" s="718"/>
      <c r="CC80" s="718"/>
      <c r="CD80" s="382"/>
      <c r="CE80" s="718"/>
      <c r="CF80" s="718"/>
      <c r="CG80" s="718"/>
      <c r="CH80" s="718"/>
      <c r="CI80" s="372"/>
      <c r="CJ80" s="718"/>
      <c r="CK80" s="718"/>
      <c r="CL80" s="718"/>
      <c r="CM80" s="721"/>
      <c r="CN80" s="722"/>
      <c r="CO80" s="372"/>
      <c r="CP80" s="718"/>
      <c r="CQ80" s="718"/>
      <c r="CR80" s="718"/>
      <c r="CS80" s="721"/>
      <c r="CT80" s="722"/>
      <c r="CU80" s="372"/>
      <c r="CV80" s="718"/>
      <c r="CW80" s="718"/>
      <c r="CX80" s="718"/>
      <c r="CY80" s="721"/>
      <c r="CZ80" s="722"/>
      <c r="DA80" s="372"/>
      <c r="DB80" s="718"/>
      <c r="DC80" s="718"/>
      <c r="DD80" s="718"/>
      <c r="DE80" s="721"/>
      <c r="DF80" s="722"/>
      <c r="DG80" s="54"/>
      <c r="DH80" s="18" t="e">
        <f>SUMIFS(#REF!,#REF!, $C80,#REF!, $E80,#REF!, $F80)</f>
        <v>#REF!</v>
      </c>
      <c r="DI80" s="55" t="e">
        <f>COUNTIFS(#REF!, $C80,#REF!, $E80,#REF!, $F80,#REF!, "&gt;=0")</f>
        <v>#REF!</v>
      </c>
      <c r="DJ80" s="18" t="e">
        <f>COUNTIFS(#REF!, $C80,#REF!, $E80,#REF!, $F80,#REF!, "лично")</f>
        <v>#REF!</v>
      </c>
    </row>
    <row r="81" spans="1:114" ht="12" customHeight="1" x14ac:dyDescent="0.25">
      <c r="A81" s="363">
        <f t="shared" si="10"/>
        <v>49</v>
      </c>
      <c r="B81" s="386" t="s">
        <v>100</v>
      </c>
      <c r="C81" s="365" t="s">
        <v>265</v>
      </c>
      <c r="D81" s="366"/>
      <c r="E81" s="680"/>
      <c r="F81" s="369" t="str">
        <f t="shared" si="11"/>
        <v>Сокращенное название</v>
      </c>
      <c r="G81" s="364" t="s">
        <v>625</v>
      </c>
      <c r="H81" s="369" t="str">
        <f t="shared" si="19"/>
        <v>Фамилия_1 Имя Отчество</v>
      </c>
      <c r="I81" s="370">
        <f t="shared" si="12"/>
        <v>0</v>
      </c>
      <c r="J81" s="715">
        <f t="shared" si="13"/>
        <v>0</v>
      </c>
      <c r="K81" s="370">
        <f t="shared" si="14"/>
        <v>0</v>
      </c>
      <c r="L81" s="715">
        <f t="shared" si="9"/>
        <v>0</v>
      </c>
      <c r="M81" s="716">
        <f t="shared" si="15"/>
        <v>0</v>
      </c>
      <c r="N81" s="371">
        <f t="shared" si="16"/>
        <v>0</v>
      </c>
      <c r="O81" s="717">
        <f t="shared" si="17"/>
        <v>0</v>
      </c>
      <c r="P81" s="371">
        <f t="shared" si="18"/>
        <v>0</v>
      </c>
      <c r="Q81" s="375"/>
      <c r="R81" s="718"/>
      <c r="S81" s="718"/>
      <c r="T81" s="718"/>
      <c r="U81" s="718"/>
      <c r="V81" s="373"/>
      <c r="W81" s="719"/>
      <c r="X81" s="719"/>
      <c r="Y81" s="719"/>
      <c r="Z81" s="720"/>
      <c r="AA81" s="372"/>
      <c r="AB81" s="718"/>
      <c r="AC81" s="718"/>
      <c r="AD81" s="718"/>
      <c r="AE81" s="718"/>
      <c r="AF81" s="373"/>
      <c r="AG81" s="718"/>
      <c r="AH81" s="718"/>
      <c r="AI81" s="718"/>
      <c r="AJ81" s="718"/>
      <c r="AK81" s="373"/>
      <c r="AL81" s="718"/>
      <c r="AM81" s="718"/>
      <c r="AN81" s="718"/>
      <c r="AO81" s="718"/>
      <c r="AP81" s="373"/>
      <c r="AQ81" s="718"/>
      <c r="AR81" s="718"/>
      <c r="AS81" s="718"/>
      <c r="AT81" s="718"/>
      <c r="AU81" s="373"/>
      <c r="AV81" s="718"/>
      <c r="AW81" s="718"/>
      <c r="AX81" s="718"/>
      <c r="AY81" s="718"/>
      <c r="AZ81" s="373"/>
      <c r="BA81" s="718"/>
      <c r="BB81" s="718"/>
      <c r="BC81" s="718"/>
      <c r="BD81" s="720"/>
      <c r="BE81" s="378"/>
      <c r="BF81" s="718"/>
      <c r="BG81" s="718"/>
      <c r="BH81" s="718"/>
      <c r="BI81" s="718"/>
      <c r="BJ81" s="379"/>
      <c r="BK81" s="718"/>
      <c r="BL81" s="718"/>
      <c r="BM81" s="718"/>
      <c r="BN81" s="718"/>
      <c r="BO81" s="372"/>
      <c r="BP81" s="718"/>
      <c r="BQ81" s="718"/>
      <c r="BR81" s="718"/>
      <c r="BS81" s="718"/>
      <c r="BT81" s="373"/>
      <c r="BU81" s="718"/>
      <c r="BV81" s="718"/>
      <c r="BW81" s="718"/>
      <c r="BX81" s="718"/>
      <c r="BY81" s="380"/>
      <c r="BZ81" s="718"/>
      <c r="CA81" s="718"/>
      <c r="CB81" s="718"/>
      <c r="CC81" s="718"/>
      <c r="CD81" s="382"/>
      <c r="CE81" s="718"/>
      <c r="CF81" s="718"/>
      <c r="CG81" s="718"/>
      <c r="CH81" s="718"/>
      <c r="CI81" s="372"/>
      <c r="CJ81" s="718"/>
      <c r="CK81" s="718"/>
      <c r="CL81" s="718"/>
      <c r="CM81" s="721"/>
      <c r="CN81" s="722"/>
      <c r="CO81" s="372"/>
      <c r="CP81" s="718"/>
      <c r="CQ81" s="718"/>
      <c r="CR81" s="718"/>
      <c r="CS81" s="721"/>
      <c r="CT81" s="722"/>
      <c r="CU81" s="372"/>
      <c r="CV81" s="718"/>
      <c r="CW81" s="718"/>
      <c r="CX81" s="718"/>
      <c r="CY81" s="721"/>
      <c r="CZ81" s="722"/>
      <c r="DA81" s="372"/>
      <c r="DB81" s="718"/>
      <c r="DC81" s="718"/>
      <c r="DD81" s="718"/>
      <c r="DE81" s="721"/>
      <c r="DF81" s="722"/>
      <c r="DG81" s="54"/>
      <c r="DH81" s="18" t="e">
        <f>SUMIFS(#REF!,#REF!, $C81,#REF!, $E81,#REF!, $F81)</f>
        <v>#REF!</v>
      </c>
      <c r="DI81" s="55" t="e">
        <f>COUNTIFS(#REF!, $C81,#REF!, $E81,#REF!, $F81,#REF!, "&gt;=0")</f>
        <v>#REF!</v>
      </c>
      <c r="DJ81" s="18" t="e">
        <f>COUNTIFS(#REF!, $C81,#REF!, $E81,#REF!, $F81,#REF!, "лично")</f>
        <v>#REF!</v>
      </c>
    </row>
    <row r="82" spans="1:114" ht="12.75" customHeight="1" x14ac:dyDescent="0.25">
      <c r="A82" s="435">
        <f t="shared" si="10"/>
        <v>50</v>
      </c>
      <c r="B82" s="436" t="s">
        <v>117</v>
      </c>
      <c r="C82" s="389" t="s">
        <v>265</v>
      </c>
      <c r="D82" s="390"/>
      <c r="E82" s="681"/>
      <c r="F82" s="393" t="str">
        <f t="shared" si="11"/>
        <v>Сокращенное название</v>
      </c>
      <c r="G82" s="388" t="s">
        <v>625</v>
      </c>
      <c r="H82" s="393" t="str">
        <f t="shared" si="19"/>
        <v>Фамилия_1 Имя Отчество</v>
      </c>
      <c r="I82" s="394">
        <f t="shared" si="12"/>
        <v>0</v>
      </c>
      <c r="J82" s="723">
        <f t="shared" si="13"/>
        <v>0</v>
      </c>
      <c r="K82" s="394">
        <f t="shared" si="14"/>
        <v>0</v>
      </c>
      <c r="L82" s="715">
        <f t="shared" si="9"/>
        <v>0</v>
      </c>
      <c r="M82" s="724">
        <f t="shared" si="15"/>
        <v>0</v>
      </c>
      <c r="N82" s="395">
        <f t="shared" si="16"/>
        <v>0</v>
      </c>
      <c r="O82" s="725">
        <f t="shared" si="17"/>
        <v>0</v>
      </c>
      <c r="P82" s="395">
        <f t="shared" si="18"/>
        <v>0</v>
      </c>
      <c r="Q82" s="399"/>
      <c r="R82" s="726"/>
      <c r="S82" s="726"/>
      <c r="T82" s="726"/>
      <c r="U82" s="726"/>
      <c r="V82" s="397"/>
      <c r="W82" s="727"/>
      <c r="X82" s="727"/>
      <c r="Y82" s="727"/>
      <c r="Z82" s="623"/>
      <c r="AA82" s="396"/>
      <c r="AB82" s="726"/>
      <c r="AC82" s="726"/>
      <c r="AD82" s="726"/>
      <c r="AE82" s="726"/>
      <c r="AF82" s="397"/>
      <c r="AG82" s="726"/>
      <c r="AH82" s="726"/>
      <c r="AI82" s="726"/>
      <c r="AJ82" s="726"/>
      <c r="AK82" s="397"/>
      <c r="AL82" s="726"/>
      <c r="AM82" s="726"/>
      <c r="AN82" s="726"/>
      <c r="AO82" s="726"/>
      <c r="AP82" s="397"/>
      <c r="AQ82" s="726"/>
      <c r="AR82" s="726"/>
      <c r="AS82" s="726"/>
      <c r="AT82" s="726"/>
      <c r="AU82" s="397"/>
      <c r="AV82" s="726"/>
      <c r="AW82" s="726"/>
      <c r="AX82" s="726"/>
      <c r="AY82" s="726"/>
      <c r="AZ82" s="397"/>
      <c r="BA82" s="726"/>
      <c r="BB82" s="726"/>
      <c r="BC82" s="726"/>
      <c r="BD82" s="623"/>
      <c r="BE82" s="402"/>
      <c r="BF82" s="726"/>
      <c r="BG82" s="726"/>
      <c r="BH82" s="726"/>
      <c r="BI82" s="726"/>
      <c r="BJ82" s="403"/>
      <c r="BK82" s="726"/>
      <c r="BL82" s="726"/>
      <c r="BM82" s="726"/>
      <c r="BN82" s="726"/>
      <c r="BO82" s="396"/>
      <c r="BP82" s="726"/>
      <c r="BQ82" s="726"/>
      <c r="BR82" s="726"/>
      <c r="BS82" s="726"/>
      <c r="BT82" s="397"/>
      <c r="BU82" s="726"/>
      <c r="BV82" s="726"/>
      <c r="BW82" s="726"/>
      <c r="BX82" s="726"/>
      <c r="BY82" s="404"/>
      <c r="BZ82" s="726"/>
      <c r="CA82" s="726"/>
      <c r="CB82" s="726"/>
      <c r="CC82" s="726"/>
      <c r="CD82" s="406"/>
      <c r="CE82" s="726"/>
      <c r="CF82" s="726"/>
      <c r="CG82" s="726"/>
      <c r="CH82" s="726"/>
      <c r="CI82" s="396"/>
      <c r="CJ82" s="726"/>
      <c r="CK82" s="726"/>
      <c r="CL82" s="726"/>
      <c r="CM82" s="728"/>
      <c r="CN82" s="729"/>
      <c r="CO82" s="396"/>
      <c r="CP82" s="726"/>
      <c r="CQ82" s="726"/>
      <c r="CR82" s="726"/>
      <c r="CS82" s="728"/>
      <c r="CT82" s="729"/>
      <c r="CU82" s="396"/>
      <c r="CV82" s="726"/>
      <c r="CW82" s="726"/>
      <c r="CX82" s="726"/>
      <c r="CY82" s="728"/>
      <c r="CZ82" s="729"/>
      <c r="DA82" s="396"/>
      <c r="DB82" s="726"/>
      <c r="DC82" s="726"/>
      <c r="DD82" s="726"/>
      <c r="DE82" s="728"/>
      <c r="DF82" s="729"/>
      <c r="DG82" s="54"/>
      <c r="DH82" s="18" t="e">
        <f>SUMIFS(#REF!,#REF!, $C82,#REF!, $E82,#REF!, $F82)</f>
        <v>#REF!</v>
      </c>
      <c r="DI82" s="55" t="e">
        <f>COUNTIFS(#REF!, $C82,#REF!, $E82,#REF!, $F82,#REF!, "&gt;=0")</f>
        <v>#REF!</v>
      </c>
      <c r="DJ82" s="18" t="e">
        <f>COUNTIFS(#REF!, $C82,#REF!, $E82,#REF!, $F82,#REF!, "лично")</f>
        <v>#REF!</v>
      </c>
    </row>
    <row r="83" spans="1:114" ht="10.5" customHeight="1" x14ac:dyDescent="0.25">
      <c r="A83" s="193"/>
      <c r="B83" s="86"/>
      <c r="C83" s="87"/>
      <c r="D83" s="249"/>
      <c r="E83" s="249"/>
      <c r="F83" s="249"/>
      <c r="G83" s="437" t="s">
        <v>626</v>
      </c>
      <c r="H83" s="437" t="s">
        <v>627</v>
      </c>
      <c r="I83" s="440">
        <f>SUMIF(A33:A82, "Ж", I33:I82)</f>
        <v>0</v>
      </c>
      <c r="J83" s="440">
        <f>SUMIF(A33:A82, "Ж", J33:J82)</f>
        <v>0</v>
      </c>
      <c r="K83" s="440">
        <f>SUMIF(C33:C82, "Ж", K33:K82)</f>
        <v>0</v>
      </c>
      <c r="L83" s="440">
        <f>SUMIF(C33:C82, "Ж", L33:L82)</f>
        <v>0</v>
      </c>
      <c r="M83" s="440">
        <f>SUMIF(E33:E82, "Ж", M33:M82)</f>
        <v>0</v>
      </c>
      <c r="N83" s="440">
        <f>SUMIF(E33:E82, "Ж", N33:N82)</f>
        <v>0</v>
      </c>
      <c r="O83" s="440">
        <f>SUMIF(G33:G82, "Ж", O33:O82)</f>
        <v>0</v>
      </c>
      <c r="P83" s="440">
        <f>SUMIF(G33:G82, "Ж", P33:P82)</f>
        <v>1</v>
      </c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94"/>
      <c r="AB83" s="112"/>
      <c r="AC83" s="112"/>
      <c r="AD83" s="112"/>
      <c r="AE83" s="194"/>
      <c r="AF83" s="194"/>
      <c r="AG83" s="112"/>
      <c r="AH83" s="112"/>
      <c r="AI83" s="112"/>
      <c r="AJ83" s="194"/>
      <c r="AK83" s="195"/>
      <c r="AL83" s="112"/>
      <c r="AM83" s="112"/>
      <c r="AN83" s="112"/>
      <c r="AO83" s="195"/>
      <c r="AP83" s="195"/>
      <c r="AQ83" s="112"/>
      <c r="AR83" s="112"/>
      <c r="AS83" s="112"/>
      <c r="AT83" s="195"/>
      <c r="AU83" s="112"/>
      <c r="AV83" s="112"/>
      <c r="AW83" s="112"/>
      <c r="AX83" s="112"/>
      <c r="AY83" s="112"/>
      <c r="AZ83" s="112"/>
      <c r="BA83" s="112"/>
      <c r="BB83" s="112"/>
      <c r="BC83" s="112"/>
      <c r="BD83" s="112"/>
      <c r="BE83" s="112"/>
      <c r="BF83" s="112"/>
      <c r="BG83" s="112"/>
      <c r="BH83" s="112"/>
      <c r="BI83" s="112"/>
      <c r="BJ83" s="439"/>
      <c r="BK83" s="112"/>
      <c r="BL83" s="112"/>
      <c r="BM83" s="112"/>
      <c r="BN83" s="439"/>
      <c r="BO83" s="112"/>
      <c r="BP83" s="112"/>
      <c r="BQ83" s="112"/>
      <c r="BR83" s="112"/>
      <c r="BS83" s="112"/>
      <c r="BT83" s="112"/>
      <c r="BU83" s="112"/>
      <c r="BV83" s="112"/>
      <c r="BW83" s="112"/>
      <c r="BX83" s="112"/>
      <c r="BY83" s="112"/>
      <c r="BZ83" s="112"/>
      <c r="CA83" s="112"/>
      <c r="CB83" s="112"/>
      <c r="CC83" s="112"/>
      <c r="CD83" s="112"/>
      <c r="CE83" s="112"/>
      <c r="CF83" s="112"/>
      <c r="CG83" s="112"/>
      <c r="CH83" s="112"/>
      <c r="CI83" s="195"/>
      <c r="CJ83" s="112"/>
      <c r="CK83" s="112"/>
      <c r="CL83" s="112"/>
      <c r="CM83" s="112"/>
      <c r="CN83" s="202"/>
      <c r="CO83" s="195"/>
      <c r="CP83" s="112"/>
      <c r="CQ83" s="112"/>
      <c r="CR83" s="112"/>
      <c r="CS83" s="112"/>
      <c r="CT83" s="202"/>
      <c r="CU83" s="195"/>
      <c r="CV83" s="112"/>
      <c r="CW83" s="112"/>
      <c r="CX83" s="112"/>
      <c r="CY83" s="112"/>
      <c r="DB83" s="112"/>
      <c r="DC83" s="112"/>
      <c r="DD83" s="112"/>
      <c r="DE83" s="112"/>
      <c r="DH83" s="96" t="e">
        <f>SUM(DH33:DH82)</f>
        <v>#REF!</v>
      </c>
      <c r="DI83" s="96" t="e">
        <f>SUM(DI33:DI82)</f>
        <v>#REF!</v>
      </c>
      <c r="DJ83" s="96" t="e">
        <f>SUM(DJ33:DJ82)</f>
        <v>#REF!</v>
      </c>
    </row>
    <row r="84" spans="1:114" ht="10.5" customHeight="1" x14ac:dyDescent="0.25">
      <c r="A84" s="193"/>
      <c r="B84" s="86"/>
      <c r="C84" s="87"/>
      <c r="D84" s="249"/>
      <c r="E84" s="249"/>
      <c r="F84" s="249"/>
      <c r="G84" s="437"/>
      <c r="H84" s="437" t="s">
        <v>628</v>
      </c>
      <c r="I84" s="440">
        <f>SUMIF(A33:A82, "М", I33:I82)</f>
        <v>0</v>
      </c>
      <c r="J84" s="440">
        <f>SUMIF(A33:A82, "М", J33:J82)</f>
        <v>0</v>
      </c>
      <c r="K84" s="440">
        <f>SUMIF(C33:C82, "М", K33:K82)</f>
        <v>0</v>
      </c>
      <c r="L84" s="440">
        <f>SUMIF(C33:C82, "М", L33:L82)</f>
        <v>0</v>
      </c>
      <c r="M84" s="440">
        <f>SUMIF(E33:E82, "М", M33:M82)</f>
        <v>0</v>
      </c>
      <c r="N84" s="440">
        <f>SUMIF(E33:E82, "М", N33:N82)</f>
        <v>0</v>
      </c>
      <c r="O84" s="440">
        <f>SUMIF(G33:G82, "М", O33:O82)</f>
        <v>0</v>
      </c>
      <c r="P84" s="440">
        <f>SUMIF(G33:G82, "М", P33:P82)</f>
        <v>0</v>
      </c>
      <c r="Q84" s="112"/>
      <c r="R84" s="112"/>
      <c r="S84" s="112"/>
      <c r="T84" s="112"/>
      <c r="U84" s="112"/>
      <c r="V84" s="112"/>
      <c r="W84" s="112"/>
      <c r="X84" s="112"/>
      <c r="Y84" s="112"/>
      <c r="Z84" s="112"/>
      <c r="AA84" s="194"/>
      <c r="AB84" s="112"/>
      <c r="AC84" s="112"/>
      <c r="AD84" s="112"/>
      <c r="AE84" s="194"/>
      <c r="AF84" s="194"/>
      <c r="AG84" s="112"/>
      <c r="AH84" s="112"/>
      <c r="AI84" s="112"/>
      <c r="AJ84" s="194"/>
      <c r="AK84" s="195"/>
      <c r="AL84" s="112"/>
      <c r="AM84" s="112"/>
      <c r="AN84" s="112"/>
      <c r="AO84" s="195"/>
      <c r="AP84" s="195"/>
      <c r="AQ84" s="112"/>
      <c r="AR84" s="112"/>
      <c r="AS84" s="112"/>
      <c r="AT84" s="195"/>
      <c r="AU84" s="112"/>
      <c r="AV84" s="112"/>
      <c r="AW84" s="112"/>
      <c r="AX84" s="112"/>
      <c r="AY84" s="112"/>
      <c r="AZ84" s="112"/>
      <c r="BA84" s="112"/>
      <c r="BB84" s="112"/>
      <c r="BC84" s="112"/>
      <c r="BD84" s="112"/>
      <c r="BE84" s="112"/>
      <c r="BF84" s="112"/>
      <c r="BG84" s="112"/>
      <c r="BH84" s="112"/>
      <c r="BI84" s="112"/>
      <c r="BJ84" s="439"/>
      <c r="BK84" s="112"/>
      <c r="BL84" s="112"/>
      <c r="BM84" s="112"/>
      <c r="BN84" s="439"/>
      <c r="BO84" s="112"/>
      <c r="BP84" s="112"/>
      <c r="BQ84" s="112"/>
      <c r="BR84" s="112"/>
      <c r="BS84" s="112"/>
      <c r="BT84" s="112"/>
      <c r="BU84" s="112"/>
      <c r="BV84" s="112"/>
      <c r="BW84" s="112"/>
      <c r="BX84" s="112"/>
      <c r="BY84" s="112"/>
      <c r="BZ84" s="112"/>
      <c r="CA84" s="112"/>
      <c r="CB84" s="112"/>
      <c r="CC84" s="112"/>
      <c r="CD84" s="112"/>
      <c r="CE84" s="112"/>
      <c r="CF84" s="112"/>
      <c r="CG84" s="112"/>
      <c r="CH84" s="112"/>
      <c r="CI84" s="195"/>
      <c r="CJ84" s="112"/>
      <c r="CK84" s="112"/>
      <c r="CL84" s="112"/>
      <c r="CM84" s="112"/>
      <c r="CN84" s="202"/>
      <c r="CO84" s="195"/>
      <c r="CP84" s="112"/>
      <c r="CQ84" s="112"/>
      <c r="CR84" s="112"/>
      <c r="CS84" s="112"/>
      <c r="CT84" s="202"/>
      <c r="CU84" s="195"/>
      <c r="CV84" s="112"/>
      <c r="CW84" s="112"/>
      <c r="CX84" s="112"/>
      <c r="CY84" s="112"/>
      <c r="DB84" s="112"/>
      <c r="DC84" s="112"/>
      <c r="DD84" s="112"/>
      <c r="DE84" s="112"/>
      <c r="DH84" s="96"/>
      <c r="DI84" s="96"/>
      <c r="DJ84" s="96"/>
    </row>
    <row r="85" spans="1:114" ht="12.75" customHeight="1" x14ac:dyDescent="0.25">
      <c r="A85" s="187"/>
      <c r="B85" s="92"/>
      <c r="C85" s="16"/>
      <c r="D85" s="204"/>
      <c r="E85" s="84"/>
      <c r="F85" s="74"/>
      <c r="G85" s="55"/>
      <c r="H85" s="437" t="s">
        <v>629</v>
      </c>
      <c r="I85" s="204">
        <f>COUNTIFS(I33:I82, "&gt;0", A33:A82, "Ж")</f>
        <v>0</v>
      </c>
      <c r="J85" s="18"/>
      <c r="K85" s="204">
        <f>COUNTIFS(K33:K82, "&gt;0", C33:C82, "Ж")</f>
        <v>0</v>
      </c>
      <c r="L85" s="18"/>
      <c r="M85" s="204">
        <f>COUNTIFS(M33:M82, "&gt;0", E33:E82, "Ж")</f>
        <v>0</v>
      </c>
      <c r="N85" s="18"/>
      <c r="O85" s="204">
        <f>COUNTIFS(O33:O82, "&gt;0", G33:G82, "Ж")</f>
        <v>0</v>
      </c>
      <c r="P85" s="18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  <c r="AS85" s="51"/>
      <c r="AT85" s="51"/>
      <c r="AU85" s="51"/>
      <c r="AV85" s="51"/>
      <c r="AW85" s="51"/>
      <c r="AX85" s="51"/>
      <c r="AY85" s="51"/>
      <c r="AZ85" s="51"/>
      <c r="BA85" s="51"/>
      <c r="BB85" s="51"/>
      <c r="BC85" s="51"/>
      <c r="BD85" s="51"/>
      <c r="BE85" s="52"/>
      <c r="BF85" s="51"/>
      <c r="BG85" s="51"/>
      <c r="BH85" s="51"/>
      <c r="BI85" s="52"/>
      <c r="BJ85" s="52"/>
      <c r="BK85" s="51"/>
      <c r="BL85" s="51"/>
      <c r="BM85" s="51"/>
      <c r="BN85" s="52"/>
      <c r="BO85" s="51"/>
      <c r="BP85" s="51"/>
      <c r="BQ85" s="51"/>
      <c r="BR85" s="51"/>
      <c r="BS85" s="51"/>
      <c r="BT85" s="51"/>
      <c r="BU85" s="51"/>
      <c r="BV85" s="51"/>
      <c r="BW85" s="51"/>
      <c r="BX85" s="51"/>
      <c r="BY85" s="51"/>
      <c r="BZ85" s="51"/>
      <c r="CA85" s="51"/>
      <c r="CB85" s="51"/>
      <c r="CC85" s="51"/>
      <c r="CD85" s="52"/>
      <c r="CE85" s="51"/>
      <c r="CF85" s="51"/>
      <c r="CG85" s="51"/>
      <c r="CH85" s="52"/>
      <c r="CI85" s="51"/>
      <c r="CJ85" s="51"/>
      <c r="CK85" s="51"/>
      <c r="CL85" s="51"/>
      <c r="CM85" s="52"/>
      <c r="CN85" s="53"/>
      <c r="CO85" s="54"/>
      <c r="CP85" s="51"/>
      <c r="CQ85" s="51"/>
      <c r="CR85" s="51"/>
      <c r="CS85" s="52"/>
      <c r="CT85" s="18"/>
      <c r="CU85" s="55"/>
      <c r="CV85" s="51"/>
      <c r="CW85" s="51"/>
      <c r="CX85" s="51"/>
      <c r="CY85" s="52"/>
      <c r="CZ85" s="18"/>
      <c r="DB85" s="51"/>
      <c r="DC85" s="51"/>
      <c r="DD85" s="51"/>
      <c r="DE85" s="52"/>
      <c r="DF85" s="16"/>
    </row>
    <row r="86" spans="1:114" ht="12.75" customHeight="1" x14ac:dyDescent="0.25">
      <c r="A86" s="187"/>
      <c r="B86" s="92"/>
      <c r="C86" s="16"/>
      <c r="D86" s="204"/>
      <c r="E86" s="84"/>
      <c r="F86" s="74"/>
      <c r="G86" s="55"/>
      <c r="H86" s="437" t="s">
        <v>630</v>
      </c>
      <c r="I86" s="204">
        <f>COUNTIFS(I33:I82, "&gt;0", A33:A82, "М")</f>
        <v>0</v>
      </c>
      <c r="J86" s="18"/>
      <c r="K86" s="204">
        <f>COUNTIFS(K33:K82, "&gt;0", C33:C82, "М")</f>
        <v>0</v>
      </c>
      <c r="L86" s="18"/>
      <c r="M86" s="204">
        <f>COUNTIFS(M33:M82, "&gt;0", E33:E82, "М")</f>
        <v>0</v>
      </c>
      <c r="N86" s="18"/>
      <c r="O86" s="204">
        <f>COUNTIFS(O33:O82, "&gt;0", G33:G82, "М")</f>
        <v>0</v>
      </c>
      <c r="P86" s="18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51"/>
      <c r="AU86" s="51"/>
      <c r="AV86" s="51"/>
      <c r="AW86" s="51"/>
      <c r="AX86" s="51"/>
      <c r="AY86" s="51"/>
      <c r="AZ86" s="51"/>
      <c r="BA86" s="51"/>
      <c r="BB86" s="51"/>
      <c r="BC86" s="51"/>
      <c r="BD86" s="51"/>
      <c r="BE86" s="52"/>
      <c r="BF86" s="51"/>
      <c r="BG86" s="51"/>
      <c r="BH86" s="51"/>
      <c r="BI86" s="52"/>
      <c r="BJ86" s="52"/>
      <c r="BK86" s="51"/>
      <c r="BL86" s="51"/>
      <c r="BM86" s="51"/>
      <c r="BN86" s="52"/>
      <c r="BO86" s="51"/>
      <c r="BP86" s="51"/>
      <c r="BQ86" s="51"/>
      <c r="BR86" s="51"/>
      <c r="BS86" s="51"/>
      <c r="BT86" s="51"/>
      <c r="BU86" s="51"/>
      <c r="BV86" s="51"/>
      <c r="BW86" s="51"/>
      <c r="BX86" s="51"/>
      <c r="BY86" s="51"/>
      <c r="BZ86" s="51"/>
      <c r="CA86" s="51"/>
      <c r="CB86" s="51"/>
      <c r="CC86" s="51"/>
      <c r="CD86" s="52"/>
      <c r="CE86" s="51"/>
      <c r="CF86" s="51"/>
      <c r="CG86" s="51"/>
      <c r="CH86" s="52"/>
      <c r="CI86" s="51"/>
      <c r="CJ86" s="51"/>
      <c r="CK86" s="51"/>
      <c r="CL86" s="51"/>
      <c r="CM86" s="52"/>
      <c r="CN86" s="53"/>
      <c r="CO86" s="54"/>
      <c r="CP86" s="51"/>
      <c r="CQ86" s="51"/>
      <c r="CR86" s="51"/>
      <c r="CS86" s="52"/>
      <c r="CT86" s="18"/>
      <c r="CU86" s="55"/>
      <c r="CV86" s="51"/>
      <c r="CW86" s="51"/>
      <c r="CX86" s="51"/>
      <c r="CY86" s="52"/>
      <c r="CZ86" s="18"/>
      <c r="DB86" s="51"/>
      <c r="DC86" s="51"/>
      <c r="DD86" s="51"/>
      <c r="DE86" s="52"/>
      <c r="DF86" s="16"/>
    </row>
    <row r="87" spans="1:114" ht="10.5" customHeight="1" x14ac:dyDescent="0.25">
      <c r="A87" s="193"/>
      <c r="B87" s="86"/>
      <c r="C87" s="87"/>
      <c r="D87" s="249"/>
      <c r="E87" s="249"/>
      <c r="F87" s="249"/>
      <c r="G87" s="437"/>
      <c r="H87" s="437"/>
      <c r="I87" s="437"/>
      <c r="J87" s="339"/>
      <c r="K87" s="339"/>
      <c r="L87" s="339"/>
      <c r="M87" s="339"/>
      <c r="N87" s="339"/>
      <c r="O87" s="112"/>
      <c r="P87" s="112"/>
      <c r="Q87" s="339"/>
      <c r="R87" s="339"/>
      <c r="S87" s="339"/>
      <c r="T87" s="112"/>
      <c r="U87" s="112"/>
      <c r="V87" s="339"/>
      <c r="W87" s="339"/>
      <c r="X87" s="339"/>
      <c r="Y87" s="194"/>
      <c r="Z87" s="194"/>
      <c r="AA87" s="339"/>
      <c r="AB87" s="339"/>
      <c r="AC87" s="339"/>
      <c r="AD87" s="194"/>
      <c r="AE87" s="194"/>
      <c r="AF87" s="339"/>
      <c r="AG87" s="339"/>
      <c r="AH87" s="339"/>
      <c r="AI87" s="195"/>
      <c r="AJ87" s="195"/>
      <c r="AK87" s="339"/>
      <c r="AL87" s="339"/>
      <c r="AM87" s="339"/>
      <c r="AN87" s="195"/>
      <c r="AO87" s="195"/>
      <c r="AP87" s="339"/>
      <c r="AQ87" s="339"/>
      <c r="AR87" s="339"/>
      <c r="AS87" s="112"/>
      <c r="AT87" s="112"/>
      <c r="AU87" s="339"/>
      <c r="AV87" s="339"/>
      <c r="AW87" s="339"/>
      <c r="AX87" s="112"/>
      <c r="AY87" s="112"/>
      <c r="AZ87" s="339"/>
      <c r="BA87" s="339"/>
      <c r="BB87" s="339"/>
      <c r="BC87" s="112"/>
      <c r="BD87" s="112"/>
      <c r="BE87" s="339"/>
      <c r="BF87" s="339"/>
      <c r="BG87" s="339"/>
      <c r="BH87" s="439"/>
      <c r="BI87" s="439"/>
      <c r="BJ87" s="339"/>
      <c r="BK87" s="339"/>
      <c r="BL87" s="339"/>
      <c r="BM87" s="112"/>
      <c r="BN87" s="112"/>
      <c r="BO87" s="339"/>
      <c r="BP87" s="339"/>
      <c r="BQ87" s="339"/>
      <c r="BR87" s="112"/>
      <c r="BS87" s="112"/>
      <c r="BT87" s="339"/>
      <c r="BU87" s="339"/>
      <c r="BV87" s="339"/>
      <c r="BW87" s="112"/>
      <c r="BX87" s="112"/>
      <c r="BY87" s="339"/>
      <c r="BZ87" s="339"/>
      <c r="CA87" s="339"/>
      <c r="CB87" s="112"/>
      <c r="CC87" s="202"/>
      <c r="CD87" s="339"/>
      <c r="CE87" s="339"/>
      <c r="CF87" s="339"/>
      <c r="CG87" s="112"/>
      <c r="CH87" s="195"/>
      <c r="CI87" s="202"/>
      <c r="CJ87" s="339"/>
      <c r="CK87" s="339"/>
      <c r="CL87" s="339"/>
      <c r="CM87" s="112"/>
      <c r="CN87" s="195"/>
      <c r="CO87" s="202"/>
      <c r="CP87" s="339"/>
      <c r="CQ87" s="339"/>
      <c r="CR87" s="339"/>
      <c r="CS87" s="112"/>
      <c r="CT87" s="195"/>
      <c r="CU87" s="96"/>
      <c r="CV87" s="339"/>
      <c r="CW87" s="339"/>
      <c r="CX87" s="339"/>
      <c r="CY87" s="112"/>
      <c r="CZ87" s="96"/>
      <c r="DA87" s="96"/>
    </row>
    <row r="88" spans="1:114" ht="12.75" customHeight="1" x14ac:dyDescent="0.25">
      <c r="A88" s="441" t="s">
        <v>631</v>
      </c>
      <c r="B88" s="87"/>
      <c r="C88" s="87"/>
      <c r="E88" s="441" t="s">
        <v>632</v>
      </c>
      <c r="G88" s="87"/>
      <c r="H88" s="87"/>
      <c r="I88" s="87"/>
      <c r="J88" s="87"/>
      <c r="K88" s="87"/>
      <c r="L88" s="87"/>
      <c r="M88" s="87"/>
      <c r="N88" s="87"/>
      <c r="O88" s="339"/>
      <c r="P88" s="112"/>
      <c r="Q88" s="87"/>
      <c r="R88" s="87"/>
      <c r="S88" s="87"/>
      <c r="T88" s="112"/>
      <c r="U88" s="112"/>
      <c r="V88" s="87"/>
      <c r="W88" s="87"/>
      <c r="X88" s="87"/>
      <c r="Y88" s="194"/>
      <c r="Z88" s="194"/>
      <c r="AA88" s="87"/>
      <c r="AB88" s="87"/>
      <c r="AC88" s="87"/>
      <c r="AD88" s="194"/>
      <c r="AE88" s="194"/>
      <c r="AF88" s="87"/>
      <c r="AG88" s="87"/>
      <c r="AH88" s="87"/>
      <c r="AI88" s="195"/>
      <c r="AJ88" s="195"/>
      <c r="AK88" s="87"/>
      <c r="AL88" s="87"/>
      <c r="AM88" s="87"/>
      <c r="AN88" s="195"/>
      <c r="AO88" s="195"/>
      <c r="AP88" s="87"/>
      <c r="AQ88" s="87"/>
      <c r="AR88" s="87"/>
      <c r="AS88" s="112"/>
      <c r="AT88" s="112"/>
      <c r="AU88" s="87"/>
      <c r="AV88" s="87"/>
      <c r="AW88" s="87"/>
      <c r="AX88" s="112"/>
      <c r="AY88" s="112"/>
      <c r="AZ88" s="87"/>
      <c r="BA88" s="87"/>
      <c r="BB88" s="87"/>
      <c r="BC88" s="112"/>
      <c r="BD88" s="112"/>
      <c r="BE88" s="87"/>
      <c r="BF88" s="87"/>
      <c r="BG88" s="87"/>
      <c r="BH88" s="112"/>
      <c r="BI88" s="112"/>
      <c r="BJ88" s="87"/>
      <c r="BK88" s="87"/>
      <c r="BL88" s="87"/>
      <c r="BM88" s="112"/>
      <c r="BN88" s="112"/>
      <c r="BO88" s="87"/>
      <c r="BP88" s="87"/>
      <c r="BQ88" s="87"/>
      <c r="BR88" s="112"/>
      <c r="BS88" s="112"/>
      <c r="BT88" s="87"/>
      <c r="BU88" s="87"/>
      <c r="BV88" s="87"/>
      <c r="BW88" s="112"/>
      <c r="BX88" s="112"/>
      <c r="BY88" s="87"/>
      <c r="BZ88" s="87"/>
      <c r="CA88" s="87"/>
      <c r="CB88" s="112"/>
      <c r="CC88" s="202"/>
      <c r="CD88" s="87"/>
      <c r="CE88" s="87"/>
      <c r="CF88" s="87"/>
      <c r="CG88" s="112"/>
      <c r="CH88" s="195"/>
      <c r="CI88" s="202"/>
      <c r="CJ88" s="87"/>
      <c r="CK88" s="87"/>
      <c r="CL88" s="87"/>
      <c r="CM88" s="112"/>
      <c r="CN88" s="195"/>
      <c r="CO88" s="202"/>
      <c r="CP88" s="87"/>
      <c r="CQ88" s="87"/>
      <c r="CR88" s="87"/>
      <c r="CS88" s="112"/>
      <c r="CT88" s="195"/>
      <c r="CU88" s="96"/>
      <c r="CV88" s="87"/>
      <c r="CW88" s="87"/>
      <c r="CX88" s="87"/>
      <c r="CY88" s="112"/>
      <c r="CZ88" s="96"/>
      <c r="DA88" s="96"/>
    </row>
    <row r="89" spans="1:114" ht="12.75" customHeight="1" x14ac:dyDescent="0.25">
      <c r="A89" s="441" t="s">
        <v>631</v>
      </c>
      <c r="B89" s="87"/>
      <c r="C89" s="87"/>
      <c r="E89" s="441" t="s">
        <v>633</v>
      </c>
      <c r="G89" s="87"/>
      <c r="H89" s="87"/>
      <c r="I89" s="87"/>
      <c r="J89" s="87"/>
      <c r="K89" s="87"/>
      <c r="L89" s="87"/>
      <c r="M89" s="87"/>
      <c r="N89" s="87"/>
      <c r="O89" s="112"/>
      <c r="P89" s="112"/>
      <c r="Q89" s="87"/>
      <c r="R89" s="87"/>
      <c r="S89" s="87"/>
      <c r="T89" s="112"/>
      <c r="U89" s="112"/>
      <c r="V89" s="87"/>
      <c r="W89" s="87"/>
      <c r="X89" s="87"/>
      <c r="Y89" s="194"/>
      <c r="Z89" s="194"/>
      <c r="AA89" s="87"/>
      <c r="AB89" s="87"/>
      <c r="AC89" s="87"/>
      <c r="AD89" s="194"/>
      <c r="AE89" s="194"/>
      <c r="AF89" s="87"/>
      <c r="AG89" s="87"/>
      <c r="AH89" s="87"/>
      <c r="AI89" s="195"/>
      <c r="AJ89" s="195"/>
      <c r="AK89" s="87"/>
      <c r="AL89" s="87"/>
      <c r="AM89" s="87"/>
      <c r="AN89" s="195"/>
      <c r="AO89" s="195"/>
      <c r="AP89" s="87"/>
      <c r="AQ89" s="87"/>
      <c r="AR89" s="87"/>
      <c r="AS89" s="112"/>
      <c r="AT89" s="112"/>
      <c r="AU89" s="87"/>
      <c r="AV89" s="87"/>
      <c r="AW89" s="87"/>
      <c r="AX89" s="112"/>
      <c r="AY89" s="112"/>
      <c r="AZ89" s="87"/>
      <c r="BA89" s="87"/>
      <c r="BB89" s="87"/>
      <c r="BC89" s="112"/>
      <c r="BD89" s="112"/>
      <c r="BE89" s="87"/>
      <c r="BF89" s="87"/>
      <c r="BG89" s="87"/>
      <c r="BH89" s="112"/>
      <c r="BI89" s="112"/>
      <c r="BJ89" s="87"/>
      <c r="BK89" s="87"/>
      <c r="BL89" s="87"/>
      <c r="BM89" s="112"/>
      <c r="BN89" s="112"/>
      <c r="BO89" s="87"/>
      <c r="BP89" s="87"/>
      <c r="BQ89" s="87"/>
      <c r="BR89" s="112"/>
      <c r="BS89" s="112"/>
      <c r="BT89" s="87"/>
      <c r="BU89" s="87"/>
      <c r="BV89" s="87"/>
      <c r="BW89" s="112"/>
      <c r="BX89" s="112"/>
      <c r="BY89" s="87"/>
      <c r="BZ89" s="87"/>
      <c r="CA89" s="87"/>
      <c r="CB89" s="112"/>
      <c r="CC89" s="202"/>
      <c r="CD89" s="87"/>
      <c r="CE89" s="87"/>
      <c r="CF89" s="87"/>
      <c r="CG89" s="112"/>
      <c r="CH89" s="195"/>
      <c r="CI89" s="202"/>
      <c r="CJ89" s="87"/>
      <c r="CK89" s="87"/>
      <c r="CL89" s="87"/>
      <c r="CM89" s="112"/>
      <c r="CN89" s="195"/>
      <c r="CO89" s="202"/>
      <c r="CP89" s="87"/>
      <c r="CQ89" s="87"/>
      <c r="CR89" s="87"/>
      <c r="CS89" s="112"/>
      <c r="CT89" s="195"/>
      <c r="CU89" s="96"/>
      <c r="CV89" s="87"/>
      <c r="CW89" s="87"/>
      <c r="CX89" s="87"/>
      <c r="CY89" s="112"/>
      <c r="CZ89" s="96"/>
      <c r="DA89" s="96"/>
    </row>
    <row r="90" spans="1:114" ht="12.75" customHeight="1" x14ac:dyDescent="0.25">
      <c r="A90" s="441" t="s">
        <v>631</v>
      </c>
      <c r="B90" s="87"/>
      <c r="C90" s="87"/>
      <c r="E90" s="441" t="s">
        <v>634</v>
      </c>
      <c r="G90" s="87"/>
      <c r="H90" s="87"/>
      <c r="I90" s="87"/>
      <c r="J90" s="87"/>
      <c r="K90" s="87"/>
      <c r="L90" s="87"/>
      <c r="M90" s="87"/>
      <c r="N90" s="87"/>
      <c r="O90" s="112"/>
      <c r="P90" s="112"/>
      <c r="Q90" s="87"/>
      <c r="R90" s="87"/>
      <c r="S90" s="87"/>
      <c r="T90" s="112"/>
      <c r="U90" s="112"/>
      <c r="V90" s="87"/>
      <c r="W90" s="87"/>
      <c r="X90" s="87"/>
      <c r="Y90" s="194"/>
      <c r="Z90" s="194"/>
      <c r="AA90" s="87"/>
      <c r="AB90" s="87"/>
      <c r="AC90" s="87"/>
      <c r="AD90" s="194"/>
      <c r="AE90" s="194"/>
      <c r="AF90" s="87"/>
      <c r="AG90" s="87"/>
      <c r="AH90" s="87"/>
      <c r="AI90" s="195"/>
      <c r="AJ90" s="195"/>
      <c r="AK90" s="87"/>
      <c r="AL90" s="87"/>
      <c r="AM90" s="87"/>
      <c r="AN90" s="195"/>
      <c r="AO90" s="195"/>
      <c r="AP90" s="87"/>
      <c r="AQ90" s="87"/>
      <c r="AR90" s="87"/>
      <c r="AS90" s="112"/>
      <c r="AT90" s="112"/>
      <c r="AU90" s="87"/>
      <c r="AV90" s="87"/>
      <c r="AW90" s="87"/>
      <c r="AX90" s="112"/>
      <c r="AY90" s="112"/>
      <c r="AZ90" s="87"/>
      <c r="BA90" s="87"/>
      <c r="BB90" s="87"/>
      <c r="BC90" s="112"/>
      <c r="BD90" s="112"/>
      <c r="BE90" s="87"/>
      <c r="BF90" s="87"/>
      <c r="BG90" s="87"/>
      <c r="BH90" s="112"/>
      <c r="BI90" s="112"/>
      <c r="BJ90" s="87"/>
      <c r="BK90" s="87"/>
      <c r="BL90" s="87"/>
      <c r="BM90" s="112"/>
      <c r="BN90" s="112"/>
      <c r="BO90" s="87"/>
      <c r="BP90" s="87"/>
      <c r="BQ90" s="87"/>
      <c r="BR90" s="112"/>
      <c r="BS90" s="112"/>
      <c r="BT90" s="87"/>
      <c r="BU90" s="87"/>
      <c r="BV90" s="87"/>
      <c r="BW90" s="112"/>
      <c r="BX90" s="112"/>
      <c r="BY90" s="87"/>
      <c r="BZ90" s="87"/>
      <c r="CA90" s="87"/>
      <c r="CB90" s="112"/>
      <c r="CC90" s="202"/>
      <c r="CD90" s="87"/>
      <c r="CE90" s="87"/>
      <c r="CF90" s="87"/>
      <c r="CG90" s="112"/>
      <c r="CH90" s="195"/>
      <c r="CI90" s="202"/>
      <c r="CJ90" s="87"/>
      <c r="CK90" s="87"/>
      <c r="CL90" s="87"/>
      <c r="CM90" s="112"/>
      <c r="CN90" s="195"/>
      <c r="CO90" s="202"/>
      <c r="CP90" s="87"/>
      <c r="CQ90" s="87"/>
      <c r="CR90" s="87"/>
      <c r="CS90" s="112"/>
      <c r="CT90" s="195"/>
      <c r="CU90" s="96"/>
      <c r="CV90" s="87"/>
      <c r="CW90" s="87"/>
      <c r="CX90" s="87"/>
      <c r="CY90" s="112"/>
      <c r="CZ90" s="96"/>
      <c r="DA90" s="96"/>
    </row>
    <row r="91" spans="1:114" ht="12.75" customHeight="1" x14ac:dyDescent="0.25">
      <c r="A91" s="39"/>
      <c r="B91" s="87"/>
      <c r="C91" s="87"/>
      <c r="D91" s="39"/>
      <c r="E91" s="96"/>
      <c r="F91" s="96"/>
      <c r="G91" s="87"/>
      <c r="H91" s="87"/>
      <c r="I91" s="87"/>
      <c r="J91" s="87"/>
      <c r="K91" s="87"/>
      <c r="L91" s="87"/>
      <c r="M91" s="87"/>
      <c r="N91" s="87"/>
      <c r="O91" s="112"/>
      <c r="P91" s="112"/>
      <c r="Q91" s="87"/>
      <c r="R91" s="87"/>
      <c r="S91" s="87"/>
      <c r="T91" s="112"/>
      <c r="U91" s="112"/>
      <c r="V91" s="87"/>
      <c r="W91" s="87"/>
      <c r="X91" s="87"/>
      <c r="Y91" s="194"/>
      <c r="Z91" s="194"/>
      <c r="AA91" s="87"/>
      <c r="AB91" s="87"/>
      <c r="AC91" s="87"/>
      <c r="AD91" s="194"/>
      <c r="AE91" s="194"/>
      <c r="AF91" s="87"/>
      <c r="AG91" s="87"/>
      <c r="AH91" s="87"/>
      <c r="AI91" s="195"/>
      <c r="AJ91" s="195"/>
      <c r="AK91" s="87"/>
      <c r="AL91" s="87"/>
      <c r="AM91" s="87"/>
      <c r="AN91" s="195"/>
      <c r="AO91" s="195"/>
      <c r="AP91" s="87"/>
      <c r="AQ91" s="87"/>
      <c r="AR91" s="87"/>
      <c r="AS91" s="112"/>
      <c r="AT91" s="112"/>
      <c r="AU91" s="87"/>
      <c r="AV91" s="87"/>
      <c r="AW91" s="87"/>
      <c r="AX91" s="112"/>
      <c r="AY91" s="112"/>
      <c r="AZ91" s="87"/>
      <c r="BA91" s="87"/>
      <c r="BB91" s="87"/>
      <c r="BC91" s="112"/>
      <c r="BD91" s="112"/>
      <c r="BE91" s="87"/>
      <c r="BF91" s="87"/>
      <c r="BG91" s="87"/>
      <c r="BH91" s="112"/>
      <c r="BI91" s="112"/>
      <c r="BJ91" s="87"/>
      <c r="BK91" s="87"/>
      <c r="BL91" s="87"/>
      <c r="BM91" s="112"/>
      <c r="BN91" s="112"/>
      <c r="BO91" s="87"/>
      <c r="BP91" s="87"/>
      <c r="BQ91" s="87"/>
      <c r="BR91" s="112"/>
      <c r="BS91" s="112"/>
      <c r="BT91" s="87"/>
      <c r="BU91" s="87"/>
      <c r="BV91" s="87"/>
      <c r="BW91" s="112"/>
      <c r="BX91" s="112"/>
      <c r="BY91" s="87"/>
      <c r="BZ91" s="87"/>
      <c r="CA91" s="87"/>
      <c r="CB91" s="112"/>
      <c r="CC91" s="202"/>
      <c r="CD91" s="87"/>
      <c r="CE91" s="87"/>
      <c r="CF91" s="87"/>
      <c r="CG91" s="112"/>
      <c r="CH91" s="195"/>
      <c r="CI91" s="202"/>
      <c r="CJ91" s="87"/>
      <c r="CK91" s="87"/>
      <c r="CL91" s="87"/>
      <c r="CM91" s="112"/>
      <c r="CN91" s="195"/>
      <c r="CO91" s="202"/>
      <c r="CP91" s="87"/>
      <c r="CQ91" s="87"/>
      <c r="CR91" s="87"/>
      <c r="CS91" s="112"/>
      <c r="CT91" s="195"/>
      <c r="CU91" s="96"/>
      <c r="CV91" s="87"/>
      <c r="CW91" s="87"/>
      <c r="CX91" s="87"/>
      <c r="CY91" s="112"/>
      <c r="CZ91" s="96"/>
      <c r="DA91" s="96"/>
    </row>
    <row r="92" spans="1:114" ht="12.75" customHeight="1" x14ac:dyDescent="0.25">
      <c r="A92" s="39"/>
      <c r="B92" s="87"/>
      <c r="C92" s="87"/>
      <c r="D92" s="39"/>
      <c r="E92" s="96"/>
      <c r="F92" s="96"/>
      <c r="G92" s="87"/>
      <c r="H92" s="87"/>
      <c r="I92" s="87"/>
      <c r="J92" s="87"/>
      <c r="K92" s="87"/>
      <c r="L92" s="87"/>
      <c r="M92" s="87"/>
      <c r="N92" s="87"/>
      <c r="O92" s="112"/>
      <c r="P92" s="112"/>
      <c r="Q92" s="87"/>
      <c r="R92" s="87"/>
      <c r="S92" s="87"/>
      <c r="T92" s="112"/>
      <c r="U92" s="112"/>
      <c r="V92" s="87"/>
      <c r="W92" s="87"/>
      <c r="X92" s="87"/>
      <c r="Y92" s="194"/>
      <c r="Z92" s="194"/>
      <c r="AA92" s="87"/>
      <c r="AB92" s="87"/>
      <c r="AC92" s="87"/>
      <c r="AD92" s="194"/>
      <c r="AE92" s="194"/>
      <c r="AF92" s="87"/>
      <c r="AG92" s="87"/>
      <c r="AH92" s="87"/>
      <c r="AI92" s="195"/>
      <c r="AJ92" s="195"/>
      <c r="AK92" s="87"/>
      <c r="AL92" s="87"/>
      <c r="AM92" s="87"/>
      <c r="AN92" s="195"/>
      <c r="AO92" s="195"/>
      <c r="AP92" s="87"/>
      <c r="AQ92" s="87"/>
      <c r="AR92" s="87"/>
      <c r="AS92" s="112"/>
      <c r="AT92" s="112"/>
      <c r="AU92" s="87"/>
      <c r="AV92" s="87"/>
      <c r="AW92" s="87"/>
      <c r="AX92" s="112"/>
      <c r="AY92" s="112"/>
      <c r="AZ92" s="87"/>
      <c r="BA92" s="87"/>
      <c r="BB92" s="87"/>
      <c r="BC92" s="112"/>
      <c r="BD92" s="112"/>
      <c r="BE92" s="87"/>
      <c r="BF92" s="87"/>
      <c r="BG92" s="87"/>
      <c r="BH92" s="112"/>
      <c r="BI92" s="112"/>
      <c r="BJ92" s="87"/>
      <c r="BK92" s="87"/>
      <c r="BL92" s="87"/>
      <c r="BM92" s="112"/>
      <c r="BN92" s="112"/>
      <c r="BO92" s="87"/>
      <c r="BP92" s="87"/>
      <c r="BQ92" s="87"/>
      <c r="BR92" s="112"/>
      <c r="BS92" s="112"/>
      <c r="BT92" s="87"/>
      <c r="BU92" s="87"/>
      <c r="BV92" s="87"/>
      <c r="BW92" s="112"/>
      <c r="BX92" s="112"/>
      <c r="BY92" s="87"/>
      <c r="BZ92" s="87"/>
      <c r="CA92" s="87"/>
      <c r="CB92" s="112"/>
      <c r="CC92" s="202"/>
      <c r="CD92" s="87"/>
      <c r="CE92" s="87"/>
      <c r="CF92" s="87"/>
      <c r="CG92" s="112"/>
      <c r="CH92" s="195"/>
      <c r="CI92" s="202"/>
      <c r="CJ92" s="87"/>
      <c r="CK92" s="87"/>
      <c r="CL92" s="87"/>
      <c r="CM92" s="112"/>
      <c r="CN92" s="195"/>
      <c r="CO92" s="202"/>
      <c r="CP92" s="87"/>
      <c r="CQ92" s="87"/>
      <c r="CR92" s="87"/>
      <c r="CS92" s="112"/>
      <c r="CT92" s="195"/>
      <c r="CU92" s="96"/>
      <c r="CV92" s="87"/>
      <c r="CW92" s="87"/>
      <c r="CX92" s="87"/>
      <c r="CY92" s="112"/>
      <c r="CZ92" s="96"/>
      <c r="DA92" s="96"/>
    </row>
    <row r="93" spans="1:114" ht="15.75" customHeight="1" x14ac:dyDescent="0.25">
      <c r="A93" s="442"/>
      <c r="B93" s="443" t="s">
        <v>635</v>
      </c>
      <c r="C93" s="444"/>
      <c r="D93" s="442"/>
      <c r="E93" s="445"/>
      <c r="F93" s="445"/>
      <c r="G93" s="444"/>
      <c r="H93" s="444"/>
      <c r="I93" s="444"/>
      <c r="J93" s="444"/>
      <c r="K93" s="444"/>
      <c r="L93" s="444"/>
      <c r="M93" s="444"/>
      <c r="N93" s="444"/>
      <c r="O93" s="446"/>
      <c r="P93" s="446"/>
      <c r="Q93" s="444"/>
      <c r="R93" s="444"/>
      <c r="S93" s="444"/>
      <c r="T93" s="446"/>
      <c r="U93" s="446"/>
      <c r="V93" s="444"/>
      <c r="W93" s="444"/>
      <c r="X93" s="444"/>
      <c r="Y93" s="447"/>
      <c r="Z93" s="447"/>
      <c r="AA93" s="444"/>
      <c r="AB93" s="444"/>
      <c r="AC93" s="444"/>
      <c r="AD93" s="447"/>
      <c r="AE93" s="447"/>
      <c r="AF93" s="444"/>
      <c r="AG93" s="444"/>
      <c r="AH93" s="444"/>
      <c r="AI93" s="448"/>
      <c r="AJ93" s="448"/>
      <c r="AK93" s="444"/>
      <c r="AL93" s="444"/>
      <c r="AM93" s="444"/>
      <c r="AN93" s="448"/>
      <c r="AO93" s="448"/>
      <c r="AP93" s="444"/>
      <c r="AQ93" s="444"/>
      <c r="AR93" s="444"/>
      <c r="AS93" s="446"/>
      <c r="AT93" s="446"/>
      <c r="AU93" s="444"/>
      <c r="AV93" s="444"/>
      <c r="AW93" s="444"/>
      <c r="AX93" s="446"/>
      <c r="AY93" s="446"/>
      <c r="AZ93" s="444"/>
      <c r="BA93" s="444"/>
      <c r="BB93" s="444"/>
      <c r="BC93" s="446"/>
      <c r="BD93" s="446"/>
      <c r="BE93" s="444"/>
      <c r="BF93" s="444"/>
      <c r="BG93" s="444"/>
      <c r="BH93" s="446"/>
      <c r="BI93" s="446"/>
      <c r="BJ93" s="444"/>
      <c r="BK93" s="444"/>
      <c r="BL93" s="444"/>
      <c r="BM93" s="446"/>
      <c r="BN93" s="446"/>
      <c r="BO93" s="444"/>
      <c r="BP93" s="444"/>
      <c r="BQ93" s="444"/>
      <c r="BR93" s="446"/>
      <c r="BS93" s="446"/>
      <c r="BT93" s="444"/>
      <c r="BU93" s="444"/>
      <c r="BV93" s="444"/>
      <c r="BW93" s="446"/>
      <c r="BX93" s="446"/>
      <c r="BY93" s="444"/>
      <c r="BZ93" s="444"/>
      <c r="CA93" s="444"/>
      <c r="CB93" s="446"/>
      <c r="CC93" s="202"/>
      <c r="CD93" s="444"/>
      <c r="CE93" s="444"/>
      <c r="CF93" s="444"/>
      <c r="CG93" s="446"/>
      <c r="CH93" s="448"/>
      <c r="CI93" s="202"/>
      <c r="CJ93" s="444"/>
      <c r="CK93" s="444"/>
      <c r="CL93" s="444"/>
      <c r="CM93" s="446"/>
      <c r="CN93" s="448"/>
      <c r="CO93" s="202"/>
      <c r="CP93" s="444"/>
      <c r="CQ93" s="444"/>
      <c r="CR93" s="444"/>
      <c r="CS93" s="446"/>
      <c r="CT93" s="445"/>
      <c r="CV93" s="444"/>
      <c r="CW93" s="444"/>
      <c r="CX93" s="444"/>
      <c r="CY93" s="446"/>
    </row>
    <row r="94" spans="1:114" ht="18.75" x14ac:dyDescent="0.25">
      <c r="A94" s="442"/>
      <c r="B94" s="449" t="s">
        <v>636</v>
      </c>
      <c r="C94" s="444"/>
      <c r="D94" s="442"/>
      <c r="E94" s="445"/>
      <c r="F94" s="445"/>
      <c r="G94" s="444"/>
      <c r="H94" s="444"/>
      <c r="I94" s="444"/>
      <c r="J94" s="444"/>
      <c r="K94" s="444"/>
      <c r="L94" s="444"/>
      <c r="M94" s="444"/>
      <c r="N94" s="444"/>
      <c r="O94" s="446"/>
      <c r="P94" s="447"/>
      <c r="Q94" s="444"/>
      <c r="R94" s="444"/>
      <c r="S94" s="444"/>
      <c r="T94" s="447"/>
      <c r="U94" s="448"/>
      <c r="V94" s="444"/>
      <c r="W94" s="444"/>
      <c r="X94" s="444"/>
      <c r="Y94" s="448"/>
      <c r="Z94" s="446"/>
      <c r="AA94" s="444"/>
      <c r="AB94" s="444"/>
      <c r="AC94" s="444"/>
      <c r="AD94" s="446"/>
      <c r="AE94" s="446"/>
      <c r="AF94" s="444"/>
      <c r="AG94" s="444"/>
      <c r="AH94" s="444"/>
      <c r="AI94" s="448"/>
      <c r="AJ94" s="202"/>
      <c r="AK94" s="444"/>
      <c r="AL94" s="444"/>
      <c r="AM94" s="444"/>
      <c r="AN94" s="448"/>
      <c r="AO94" s="445"/>
      <c r="AP94" s="444"/>
      <c r="AQ94" s="444"/>
      <c r="AR94" s="444"/>
      <c r="AS94" s="445"/>
      <c r="AT94" s="445"/>
      <c r="AU94" s="444"/>
      <c r="AV94" s="444"/>
      <c r="AW94" s="444"/>
      <c r="AZ94" s="444"/>
      <c r="BA94" s="444"/>
      <c r="BB94" s="444"/>
      <c r="BE94" s="444"/>
      <c r="BF94" s="444"/>
      <c r="BG94" s="444"/>
      <c r="BJ94" s="444"/>
      <c r="BK94" s="444"/>
      <c r="BL94" s="444"/>
      <c r="BO94" s="444"/>
      <c r="BP94" s="444"/>
      <c r="BQ94" s="444"/>
      <c r="BT94" s="444"/>
      <c r="BU94" s="444"/>
      <c r="BV94" s="444"/>
      <c r="BY94" s="444"/>
      <c r="BZ94" s="444"/>
      <c r="CA94" s="444"/>
      <c r="CD94" s="444"/>
      <c r="CE94" s="444"/>
      <c r="CF94" s="444"/>
      <c r="CJ94" s="444"/>
      <c r="CK94" s="444"/>
      <c r="CL94" s="444"/>
      <c r="CP94" s="444"/>
      <c r="CQ94" s="444"/>
      <c r="CR94" s="444"/>
      <c r="CV94" s="444"/>
      <c r="CW94" s="444"/>
      <c r="CX94" s="444"/>
    </row>
    <row r="95" spans="1:114" s="450" customFormat="1" ht="18.75" x14ac:dyDescent="0.25">
      <c r="A95" s="451"/>
      <c r="B95" s="278" t="s">
        <v>637</v>
      </c>
      <c r="C95" s="278"/>
      <c r="D95" s="451"/>
      <c r="E95" s="452"/>
      <c r="F95" s="452"/>
      <c r="G95" s="278"/>
      <c r="H95" s="278"/>
      <c r="I95" s="278"/>
      <c r="J95" s="278"/>
      <c r="K95" s="278"/>
      <c r="L95" s="278"/>
      <c r="M95" s="278"/>
      <c r="N95" s="278"/>
      <c r="O95" s="453"/>
      <c r="P95" s="453"/>
      <c r="Q95" s="278"/>
      <c r="R95" s="278"/>
      <c r="S95" s="278"/>
      <c r="T95" s="453"/>
      <c r="U95" s="453"/>
      <c r="V95" s="278"/>
      <c r="W95" s="278"/>
      <c r="X95" s="278"/>
      <c r="Y95" s="454"/>
      <c r="Z95" s="454"/>
      <c r="AA95" s="278"/>
      <c r="AB95" s="278"/>
      <c r="AC95" s="278"/>
      <c r="AD95" s="454"/>
      <c r="AE95" s="454"/>
      <c r="AF95" s="278"/>
      <c r="AG95" s="278"/>
      <c r="AH95" s="278"/>
      <c r="AI95" s="455"/>
      <c r="AJ95" s="455"/>
      <c r="AK95" s="278"/>
      <c r="AL95" s="278"/>
      <c r="AM95" s="278"/>
      <c r="AN95" s="455"/>
      <c r="AO95" s="455"/>
      <c r="AP95" s="278"/>
      <c r="AQ95" s="278"/>
      <c r="AR95" s="278"/>
      <c r="AS95" s="453"/>
      <c r="AT95" s="453"/>
      <c r="AU95" s="278"/>
      <c r="AV95" s="278"/>
      <c r="AW95" s="278"/>
      <c r="AX95" s="453"/>
      <c r="AY95" s="453"/>
      <c r="AZ95" s="278"/>
      <c r="BA95" s="278"/>
      <c r="BB95" s="278"/>
      <c r="BC95" s="453"/>
      <c r="BD95" s="453"/>
      <c r="BE95" s="278"/>
      <c r="BF95" s="278"/>
      <c r="BG95" s="278"/>
      <c r="BH95" s="453"/>
      <c r="BI95" s="453"/>
      <c r="BJ95" s="278"/>
      <c r="BK95" s="278"/>
      <c r="BL95" s="278"/>
      <c r="BM95" s="453"/>
      <c r="BN95" s="453"/>
      <c r="BO95" s="278"/>
      <c r="BP95" s="278"/>
      <c r="BQ95" s="278"/>
      <c r="BR95" s="453"/>
      <c r="BS95" s="453"/>
      <c r="BT95" s="278"/>
      <c r="BU95" s="278"/>
      <c r="BV95" s="278"/>
      <c r="BW95" s="453"/>
      <c r="BX95" s="453"/>
      <c r="BY95" s="278"/>
      <c r="BZ95" s="278"/>
      <c r="CA95" s="278"/>
      <c r="CB95" s="453"/>
      <c r="CC95" s="455"/>
      <c r="CD95" s="278"/>
      <c r="CE95" s="278"/>
      <c r="CF95" s="278"/>
      <c r="CG95" s="453"/>
      <c r="CH95" s="456"/>
      <c r="CI95" s="455"/>
      <c r="CJ95" s="278"/>
      <c r="CK95" s="278"/>
      <c r="CL95" s="278"/>
      <c r="CM95" s="453"/>
      <c r="CN95" s="456"/>
      <c r="CO95" s="455"/>
      <c r="CP95" s="278"/>
      <c r="CQ95" s="278"/>
      <c r="CR95" s="278"/>
      <c r="CS95" s="453"/>
      <c r="CT95" s="452"/>
      <c r="CU95" s="452"/>
      <c r="CV95" s="278"/>
      <c r="CW95" s="278"/>
      <c r="CX95" s="278"/>
      <c r="CY95" s="453"/>
      <c r="CZ95" s="452"/>
    </row>
    <row r="96" spans="1:114" ht="19.5" x14ac:dyDescent="0.25">
      <c r="A96" s="39"/>
      <c r="B96" s="457" t="s">
        <v>638</v>
      </c>
      <c r="C96" s="87"/>
      <c r="D96" s="39"/>
      <c r="E96" s="96"/>
      <c r="F96" s="96"/>
      <c r="G96" s="87"/>
      <c r="H96" s="87"/>
      <c r="I96" s="87"/>
      <c r="J96" s="87"/>
      <c r="K96" s="87"/>
      <c r="L96" s="87"/>
      <c r="M96" s="87"/>
      <c r="N96" s="87"/>
      <c r="O96" s="112"/>
      <c r="P96" s="194"/>
      <c r="Q96" s="87"/>
      <c r="R96" s="87"/>
      <c r="S96" s="87"/>
      <c r="T96" s="194"/>
      <c r="U96" s="195"/>
      <c r="V96" s="87"/>
      <c r="W96" s="87"/>
      <c r="X96" s="87"/>
      <c r="Y96" s="195"/>
      <c r="Z96" s="112"/>
      <c r="AA96" s="87"/>
      <c r="AB96" s="87"/>
      <c r="AC96" s="87"/>
      <c r="AD96" s="112"/>
      <c r="AE96" s="112"/>
      <c r="AF96" s="87"/>
      <c r="AG96" s="87"/>
      <c r="AH96" s="87"/>
      <c r="AI96" s="195"/>
      <c r="AJ96" s="339"/>
      <c r="AK96" s="87"/>
      <c r="AL96" s="87"/>
      <c r="AM96" s="87"/>
      <c r="AN96" s="195"/>
      <c r="AO96" s="96"/>
      <c r="AP96" s="87"/>
      <c r="AQ96" s="87"/>
      <c r="AR96" s="87"/>
      <c r="AS96" s="96"/>
      <c r="AT96" s="96"/>
      <c r="AU96" s="87"/>
      <c r="AV96" s="87"/>
      <c r="AW96" s="87"/>
      <c r="AZ96" s="87"/>
      <c r="BA96" s="87"/>
      <c r="BB96" s="87"/>
      <c r="BE96" s="87"/>
      <c r="BF96" s="87"/>
      <c r="BG96" s="87"/>
      <c r="BJ96" s="87"/>
      <c r="BK96" s="87"/>
      <c r="BL96" s="87"/>
      <c r="BO96" s="87"/>
      <c r="BP96" s="87"/>
      <c r="BQ96" s="87"/>
      <c r="BT96" s="87"/>
      <c r="BU96" s="87"/>
      <c r="BV96" s="87"/>
      <c r="BY96" s="87"/>
      <c r="BZ96" s="87"/>
      <c r="CA96" s="87"/>
      <c r="CD96" s="87"/>
      <c r="CE96" s="87"/>
      <c r="CF96" s="87"/>
      <c r="CJ96" s="87"/>
      <c r="CK96" s="87"/>
      <c r="CL96" s="87"/>
      <c r="CP96" s="87"/>
      <c r="CQ96" s="87"/>
      <c r="CR96" s="87"/>
      <c r="CV96" s="87"/>
      <c r="CW96" s="87"/>
      <c r="CX96" s="87"/>
    </row>
    <row r="97" spans="1:125" ht="18.75" x14ac:dyDescent="0.25">
      <c r="A97" s="39"/>
      <c r="B97" s="458" t="s">
        <v>639</v>
      </c>
      <c r="C97" s="87"/>
      <c r="D97" s="39"/>
      <c r="E97" s="96"/>
      <c r="F97" s="96"/>
      <c r="G97" s="87"/>
      <c r="H97" s="87"/>
      <c r="I97" s="87"/>
      <c r="J97" s="87"/>
      <c r="K97" s="87"/>
      <c r="L97" s="87"/>
      <c r="M97" s="87"/>
      <c r="N97" s="87"/>
      <c r="O97" s="112"/>
      <c r="P97" s="194"/>
      <c r="Q97" s="87"/>
      <c r="R97" s="87"/>
      <c r="S97" s="87"/>
      <c r="T97" s="194"/>
      <c r="U97" s="195"/>
      <c r="V97" s="87"/>
      <c r="W97" s="87"/>
      <c r="X97" s="87"/>
      <c r="Y97" s="195"/>
      <c r="Z97" s="112"/>
      <c r="AA97" s="87"/>
      <c r="AB97" s="87"/>
      <c r="AC97" s="87"/>
      <c r="AD97" s="112"/>
      <c r="AE97" s="112"/>
      <c r="AF97" s="87"/>
      <c r="AG97" s="87"/>
      <c r="AH97" s="87"/>
      <c r="AI97" s="195"/>
      <c r="AJ97" s="339"/>
      <c r="AK97" s="87"/>
      <c r="AL97" s="87"/>
      <c r="AM97" s="87"/>
      <c r="AN97" s="195"/>
      <c r="AO97" s="96"/>
      <c r="AP97" s="87"/>
      <c r="AQ97" s="87"/>
      <c r="AR97" s="87"/>
      <c r="AS97" s="96"/>
      <c r="AT97" s="96"/>
      <c r="AU97" s="87"/>
      <c r="AV97" s="87"/>
      <c r="AW97" s="87"/>
      <c r="AZ97" s="87"/>
      <c r="BA97" s="87"/>
      <c r="BB97" s="87"/>
      <c r="BE97" s="87"/>
      <c r="BF97" s="87"/>
      <c r="BG97" s="87"/>
      <c r="BJ97" s="87"/>
      <c r="BK97" s="87"/>
      <c r="BL97" s="87"/>
      <c r="BO97" s="87"/>
      <c r="BP97" s="87"/>
      <c r="BQ97" s="87"/>
      <c r="BT97" s="87"/>
      <c r="BU97" s="87"/>
      <c r="BV97" s="87"/>
      <c r="BY97" s="87"/>
      <c r="BZ97" s="87"/>
      <c r="CA97" s="87"/>
      <c r="CD97" s="87"/>
      <c r="CE97" s="87"/>
      <c r="CF97" s="87"/>
      <c r="CJ97" s="87"/>
      <c r="CK97" s="87"/>
      <c r="CL97" s="87"/>
      <c r="CP97" s="87"/>
      <c r="CQ97" s="87"/>
      <c r="CR97" s="87"/>
      <c r="CV97" s="87"/>
      <c r="CW97" s="87"/>
      <c r="CX97" s="87"/>
    </row>
    <row r="98" spans="1:125" s="450" customFormat="1" ht="26.25" customHeight="1" x14ac:dyDescent="0.25">
      <c r="A98" s="259"/>
      <c r="B98" s="459" t="s">
        <v>640</v>
      </c>
      <c r="C98" s="259"/>
      <c r="D98" s="460"/>
      <c r="E98" s="460"/>
      <c r="F98" s="460"/>
      <c r="G98" s="259"/>
      <c r="H98" s="259"/>
      <c r="I98" s="259"/>
      <c r="J98" s="259"/>
      <c r="K98" s="259"/>
      <c r="L98" s="259"/>
      <c r="M98" s="259"/>
      <c r="N98" s="259"/>
      <c r="O98" s="461"/>
      <c r="P98" s="462"/>
      <c r="Q98" s="259"/>
      <c r="R98" s="259"/>
      <c r="S98" s="259"/>
      <c r="T98" s="462"/>
      <c r="U98" s="463"/>
      <c r="V98" s="259"/>
      <c r="W98" s="259"/>
      <c r="X98" s="259"/>
      <c r="Y98" s="463"/>
      <c r="Z98" s="461"/>
      <c r="AA98" s="259"/>
      <c r="AB98" s="259"/>
      <c r="AC98" s="259"/>
      <c r="AD98" s="461"/>
      <c r="AE98" s="461"/>
      <c r="AF98" s="259"/>
      <c r="AG98" s="259"/>
      <c r="AH98" s="259"/>
      <c r="AI98" s="463"/>
      <c r="AJ98" s="464"/>
      <c r="AK98" s="259"/>
      <c r="AL98" s="259"/>
      <c r="AM98" s="259"/>
      <c r="AN98" s="463"/>
      <c r="AO98" s="460"/>
      <c r="AP98" s="259"/>
      <c r="AQ98" s="259"/>
      <c r="AR98" s="259"/>
      <c r="AS98" s="460"/>
      <c r="AT98" s="460"/>
      <c r="AU98" s="259"/>
      <c r="AV98" s="259"/>
      <c r="AW98" s="259"/>
      <c r="AZ98" s="259"/>
      <c r="BA98" s="259"/>
      <c r="BB98" s="259"/>
      <c r="BE98" s="259"/>
      <c r="BF98" s="259"/>
      <c r="BG98" s="259"/>
      <c r="BJ98" s="259"/>
      <c r="BK98" s="259"/>
      <c r="BL98" s="259"/>
      <c r="BO98" s="259"/>
      <c r="BP98" s="259"/>
      <c r="BQ98" s="259"/>
      <c r="BT98" s="259"/>
      <c r="BU98" s="259"/>
      <c r="BV98" s="259"/>
      <c r="BY98" s="259"/>
      <c r="BZ98" s="259"/>
      <c r="CA98" s="259"/>
      <c r="CD98" s="259"/>
      <c r="CE98" s="259"/>
      <c r="CF98" s="259"/>
      <c r="CJ98" s="259"/>
      <c r="CK98" s="259"/>
      <c r="CL98" s="259"/>
      <c r="CP98" s="259"/>
      <c r="CQ98" s="259"/>
      <c r="CR98" s="259"/>
      <c r="CV98" s="259"/>
      <c r="CW98" s="259"/>
      <c r="CX98" s="259"/>
    </row>
    <row r="99" spans="1:125" s="450" customFormat="1" ht="64.5" customHeight="1" x14ac:dyDescent="0.25">
      <c r="A99" s="259"/>
      <c r="B99" s="2091" t="s">
        <v>641</v>
      </c>
      <c r="C99" s="2091"/>
      <c r="D99" s="2091"/>
      <c r="E99" s="2091"/>
      <c r="F99" s="2091"/>
      <c r="G99" s="2091"/>
      <c r="H99" s="2091"/>
      <c r="I99" s="2091"/>
      <c r="J99" s="2091"/>
      <c r="K99" s="2091"/>
      <c r="L99" s="2091"/>
      <c r="M99" s="2091"/>
      <c r="N99" s="2091"/>
      <c r="O99" s="2091"/>
      <c r="P99" s="2091"/>
      <c r="Q99" s="2091"/>
      <c r="R99" s="2091"/>
      <c r="S99" s="2091"/>
      <c r="T99" s="2091"/>
      <c r="U99" s="2091"/>
      <c r="V99" s="2091"/>
      <c r="W99" s="2091"/>
      <c r="X99" s="2091"/>
      <c r="Y99" s="2091"/>
      <c r="Z99" s="2091"/>
      <c r="AA99" s="2091"/>
      <c r="AB99" s="2091"/>
      <c r="AC99" s="2091"/>
      <c r="AD99" s="2091"/>
      <c r="AE99" s="2091"/>
      <c r="AF99" s="2091"/>
      <c r="AG99" s="2091"/>
      <c r="AH99" s="2091"/>
      <c r="AI99" s="2091"/>
      <c r="AJ99" s="2091"/>
      <c r="AK99" s="2091"/>
      <c r="AL99" s="2091"/>
      <c r="AM99" s="2091"/>
      <c r="AN99" s="2091"/>
      <c r="AO99" s="2091"/>
      <c r="AP99" s="2091"/>
      <c r="AQ99" s="2091"/>
      <c r="AR99" s="2091"/>
      <c r="AS99" s="2091"/>
      <c r="AT99" s="2091"/>
      <c r="AU99" s="2091"/>
      <c r="AV99" s="2091"/>
      <c r="AW99" s="2091"/>
      <c r="AX99" s="2091"/>
      <c r="AY99" s="2091"/>
      <c r="AZ99" s="2091"/>
      <c r="BA99" s="2091"/>
      <c r="BB99" s="2091"/>
      <c r="BC99" s="2091"/>
      <c r="BD99" s="2091"/>
      <c r="BE99" s="2091"/>
      <c r="BF99" s="2091"/>
      <c r="BG99" s="2091"/>
      <c r="BH99" s="2091"/>
      <c r="BI99" s="2091"/>
      <c r="BJ99" s="2091"/>
      <c r="BK99" s="2091"/>
      <c r="BL99" s="2091"/>
      <c r="BM99" s="2091"/>
      <c r="BN99" s="2091"/>
      <c r="BO99" s="2091"/>
      <c r="BP99" s="2091"/>
      <c r="BQ99" s="2091"/>
      <c r="BR99" s="2091"/>
      <c r="BS99" s="2091"/>
      <c r="BT99" s="2091"/>
      <c r="BU99" s="2091"/>
      <c r="BV99" s="2091"/>
      <c r="BW99" s="2091"/>
      <c r="BX99" s="2091"/>
      <c r="BY99" s="2091"/>
      <c r="BZ99" s="2091"/>
      <c r="CA99" s="2091"/>
      <c r="CB99" s="2091"/>
      <c r="CC99" s="2091"/>
      <c r="CD99" s="2091"/>
      <c r="CE99" s="2091"/>
      <c r="CF99" s="2091"/>
      <c r="CG99" s="2091"/>
      <c r="CH99" s="2091"/>
    </row>
    <row r="100" spans="1:125" s="450" customFormat="1" ht="18.75" x14ac:dyDescent="0.25">
      <c r="A100" s="259"/>
      <c r="B100" s="2091" t="s">
        <v>642</v>
      </c>
      <c r="C100" s="2091"/>
      <c r="D100" s="2091"/>
      <c r="E100" s="2091"/>
      <c r="F100" s="2091"/>
      <c r="G100" s="2091"/>
      <c r="H100" s="2091"/>
      <c r="I100" s="2091"/>
      <c r="J100" s="2091"/>
      <c r="K100" s="2091"/>
      <c r="L100" s="2091"/>
      <c r="M100" s="2091"/>
      <c r="N100" s="2091"/>
      <c r="O100" s="2091"/>
      <c r="P100" s="2091"/>
      <c r="Q100" s="2091"/>
      <c r="R100" s="2091"/>
      <c r="S100" s="2091"/>
      <c r="T100" s="2091"/>
      <c r="U100" s="2091"/>
      <c r="V100" s="2091"/>
      <c r="W100" s="2091"/>
      <c r="X100" s="2091"/>
      <c r="Y100" s="2091"/>
      <c r="Z100" s="2091"/>
      <c r="AA100" s="2091"/>
      <c r="AB100" s="2091"/>
      <c r="AC100" s="2091"/>
      <c r="AD100" s="2091"/>
      <c r="AE100" s="2091"/>
      <c r="AF100" s="2091"/>
      <c r="AG100" s="2091"/>
      <c r="AH100" s="2091"/>
      <c r="AI100" s="2091"/>
      <c r="AJ100" s="2091"/>
      <c r="AK100" s="465"/>
      <c r="AL100" s="465"/>
      <c r="AM100" s="465"/>
      <c r="AN100" s="465"/>
      <c r="AO100" s="460"/>
      <c r="AP100" s="465"/>
      <c r="AQ100" s="465"/>
      <c r="AR100" s="465"/>
      <c r="AS100" s="460"/>
      <c r="AT100" s="460"/>
      <c r="AU100" s="465"/>
      <c r="AV100" s="465"/>
      <c r="AW100" s="465"/>
      <c r="AZ100" s="465"/>
      <c r="BA100" s="465"/>
      <c r="BB100" s="465"/>
      <c r="BE100" s="465"/>
      <c r="BF100" s="465"/>
      <c r="BG100" s="465"/>
      <c r="BJ100" s="465"/>
      <c r="BK100" s="465"/>
      <c r="BL100" s="465"/>
      <c r="BO100" s="465"/>
      <c r="BP100" s="465"/>
      <c r="BQ100" s="465"/>
      <c r="BT100" s="465"/>
      <c r="BU100" s="465"/>
      <c r="BV100" s="465"/>
      <c r="BY100" s="465"/>
      <c r="BZ100" s="465"/>
      <c r="CA100" s="465"/>
      <c r="CD100" s="465"/>
      <c r="CE100" s="465"/>
      <c r="CF100" s="465"/>
      <c r="CJ100" s="465"/>
      <c r="CK100" s="465"/>
      <c r="CL100" s="465"/>
      <c r="CP100" s="465"/>
      <c r="CQ100" s="465"/>
      <c r="CR100" s="465"/>
      <c r="CV100" s="465"/>
      <c r="CW100" s="465"/>
      <c r="CX100" s="465"/>
    </row>
    <row r="101" spans="1:125" s="450" customFormat="1" ht="19.5" x14ac:dyDescent="0.25">
      <c r="A101" s="259"/>
      <c r="B101" s="459" t="s">
        <v>643</v>
      </c>
      <c r="C101" s="465"/>
      <c r="D101" s="465"/>
      <c r="E101" s="465"/>
      <c r="F101" s="465"/>
      <c r="G101" s="465"/>
      <c r="H101" s="465"/>
      <c r="I101" s="465"/>
      <c r="J101" s="465"/>
      <c r="K101" s="465"/>
      <c r="L101" s="465"/>
      <c r="M101" s="465"/>
      <c r="N101" s="465"/>
      <c r="O101" s="466"/>
      <c r="P101" s="466"/>
      <c r="Q101" s="465"/>
      <c r="R101" s="465"/>
      <c r="S101" s="465"/>
      <c r="T101" s="466"/>
      <c r="U101" s="466"/>
      <c r="V101" s="465"/>
      <c r="W101" s="465"/>
      <c r="X101" s="465"/>
      <c r="Y101" s="466"/>
      <c r="Z101" s="466"/>
      <c r="AA101" s="465"/>
      <c r="AB101" s="465"/>
      <c r="AC101" s="465"/>
      <c r="AD101" s="466"/>
      <c r="AE101" s="466"/>
      <c r="AF101" s="465"/>
      <c r="AG101" s="465"/>
      <c r="AH101" s="465"/>
      <c r="AI101" s="466"/>
      <c r="AJ101" s="299"/>
      <c r="AK101" s="465"/>
      <c r="AL101" s="465"/>
      <c r="AM101" s="465"/>
      <c r="AN101" s="466"/>
      <c r="AO101" s="467"/>
      <c r="AP101" s="465"/>
      <c r="AQ101" s="465"/>
      <c r="AR101" s="465"/>
      <c r="AS101" s="467"/>
      <c r="AT101" s="467"/>
      <c r="AU101" s="465"/>
      <c r="AV101" s="465"/>
      <c r="AW101" s="465"/>
      <c r="AZ101" s="465"/>
      <c r="BA101" s="465"/>
      <c r="BB101" s="465"/>
      <c r="BE101" s="465"/>
      <c r="BF101" s="465"/>
      <c r="BG101" s="465"/>
      <c r="BJ101" s="465"/>
      <c r="BK101" s="465"/>
      <c r="BL101" s="465"/>
      <c r="BO101" s="465"/>
      <c r="BP101" s="465"/>
      <c r="BQ101" s="465"/>
      <c r="BT101" s="465"/>
      <c r="BU101" s="465"/>
      <c r="BV101" s="465"/>
      <c r="BY101" s="465"/>
      <c r="BZ101" s="465"/>
      <c r="CA101" s="465"/>
      <c r="CD101" s="465"/>
      <c r="CE101" s="465"/>
      <c r="CF101" s="465"/>
      <c r="CJ101" s="465"/>
      <c r="CK101" s="465"/>
      <c r="CL101" s="465"/>
      <c r="CP101" s="465"/>
      <c r="CQ101" s="465"/>
      <c r="CR101" s="465"/>
      <c r="CV101" s="465"/>
      <c r="CW101" s="465"/>
      <c r="CX101" s="465"/>
    </row>
    <row r="102" spans="1:125" s="450" customFormat="1" ht="42" customHeight="1" x14ac:dyDescent="0.25">
      <c r="A102" s="299"/>
      <c r="B102" s="2091" t="s">
        <v>644</v>
      </c>
      <c r="C102" s="2091"/>
      <c r="D102" s="2091"/>
      <c r="E102" s="2091"/>
      <c r="F102" s="2091"/>
      <c r="G102" s="2091"/>
      <c r="H102" s="2091"/>
      <c r="I102" s="2091"/>
      <c r="J102" s="2091"/>
      <c r="K102" s="2091"/>
      <c r="L102" s="2091"/>
      <c r="M102" s="2091"/>
      <c r="N102" s="2091"/>
      <c r="O102" s="2091"/>
      <c r="P102" s="2091"/>
      <c r="Q102" s="2091"/>
      <c r="R102" s="2091"/>
      <c r="S102" s="2091"/>
      <c r="T102" s="2091"/>
      <c r="U102" s="2091"/>
      <c r="V102" s="2091"/>
      <c r="W102" s="2091"/>
      <c r="X102" s="2091"/>
      <c r="Y102" s="2091"/>
      <c r="Z102" s="2091"/>
      <c r="AA102" s="2091"/>
      <c r="AB102" s="2091"/>
      <c r="AC102" s="2091"/>
      <c r="AD102" s="2091"/>
      <c r="AE102" s="2091"/>
      <c r="AF102" s="2091"/>
      <c r="AG102" s="2091"/>
      <c r="AH102" s="2091"/>
      <c r="AI102" s="2091"/>
      <c r="AJ102" s="2091"/>
      <c r="AK102" s="2091"/>
      <c r="AL102" s="2091"/>
      <c r="AM102" s="2091"/>
      <c r="AN102" s="2091"/>
      <c r="AO102" s="2091"/>
      <c r="AP102" s="2091"/>
      <c r="AQ102" s="2091"/>
      <c r="AR102" s="2091"/>
      <c r="AS102" s="2091"/>
      <c r="AT102" s="2091"/>
      <c r="AU102" s="2091"/>
      <c r="AV102" s="2091"/>
      <c r="AW102" s="2091"/>
      <c r="AX102" s="2091"/>
      <c r="AY102" s="2091"/>
      <c r="AZ102" s="2091"/>
      <c r="BA102" s="2091"/>
      <c r="BB102" s="2091"/>
      <c r="BC102" s="2091"/>
      <c r="BD102" s="2091"/>
      <c r="BE102" s="2091"/>
      <c r="BF102" s="2091"/>
      <c r="BG102" s="2091"/>
      <c r="BH102" s="2091"/>
      <c r="BI102" s="2091"/>
      <c r="BJ102" s="2091"/>
      <c r="BK102" s="2091"/>
      <c r="BL102" s="2091"/>
      <c r="BM102" s="2091"/>
      <c r="BN102" s="2091"/>
      <c r="BO102" s="2091"/>
      <c r="BP102" s="2091"/>
      <c r="BQ102" s="2091"/>
      <c r="BR102" s="2091"/>
      <c r="BS102" s="2091"/>
      <c r="BT102" s="2091"/>
      <c r="BU102" s="2091"/>
      <c r="BV102" s="2091"/>
      <c r="BW102" s="2091"/>
      <c r="BX102" s="2091"/>
      <c r="BY102" s="2091"/>
      <c r="BZ102" s="2091"/>
      <c r="CA102" s="2091"/>
      <c r="CB102" s="2091"/>
      <c r="CC102" s="2091"/>
      <c r="CD102" s="2091"/>
      <c r="CE102" s="2091"/>
      <c r="CF102" s="2091"/>
      <c r="CG102" s="2091"/>
      <c r="CH102" s="2091"/>
      <c r="CI102" s="2091"/>
      <c r="CJ102" s="465"/>
      <c r="CK102" s="465"/>
      <c r="CL102" s="465"/>
      <c r="CM102" s="465"/>
      <c r="CZ102" s="468"/>
      <c r="DA102" s="468"/>
      <c r="DB102" s="468"/>
      <c r="DC102" s="468"/>
      <c r="DD102" s="468"/>
      <c r="DE102" s="469"/>
      <c r="DF102" s="67"/>
      <c r="DG102" s="67"/>
      <c r="DH102" s="470"/>
      <c r="DI102" s="119"/>
      <c r="DJ102" s="471"/>
      <c r="DK102" s="471"/>
      <c r="DL102" s="471"/>
      <c r="DM102" s="119"/>
      <c r="DN102" s="46"/>
      <c r="DO102" s="46"/>
      <c r="DP102" s="46"/>
      <c r="DQ102" s="46"/>
      <c r="DR102" s="46"/>
      <c r="DS102" s="46"/>
      <c r="DT102" s="46"/>
      <c r="DU102" s="46"/>
    </row>
    <row r="103" spans="1:125" s="450" customFormat="1" ht="49.5" customHeight="1" x14ac:dyDescent="0.25">
      <c r="A103" s="299"/>
      <c r="B103" s="2091" t="s">
        <v>645</v>
      </c>
      <c r="C103" s="2091"/>
      <c r="D103" s="2091"/>
      <c r="E103" s="2091"/>
      <c r="F103" s="2091"/>
      <c r="G103" s="2091"/>
      <c r="H103" s="2091"/>
      <c r="I103" s="2091"/>
      <c r="J103" s="2091"/>
      <c r="K103" s="2091"/>
      <c r="L103" s="2091"/>
      <c r="M103" s="2091"/>
      <c r="N103" s="2091"/>
      <c r="O103" s="2091"/>
      <c r="P103" s="2091"/>
      <c r="Q103" s="2091"/>
      <c r="R103" s="2091"/>
      <c r="S103" s="2091"/>
      <c r="T103" s="2091"/>
      <c r="U103" s="2091"/>
      <c r="V103" s="2091"/>
      <c r="W103" s="2091"/>
      <c r="X103" s="2091"/>
      <c r="Y103" s="2091"/>
      <c r="Z103" s="2091"/>
      <c r="AA103" s="2091"/>
      <c r="AB103" s="2091"/>
      <c r="AC103" s="2091"/>
      <c r="AD103" s="2091"/>
      <c r="AE103" s="2091"/>
      <c r="AF103" s="2091"/>
      <c r="AG103" s="2091"/>
      <c r="AH103" s="2091"/>
      <c r="AI103" s="2091"/>
      <c r="AJ103" s="2091"/>
      <c r="AK103" s="2091"/>
      <c r="AL103" s="2091"/>
      <c r="AM103" s="2091"/>
      <c r="AN103" s="2091"/>
      <c r="AO103" s="2091"/>
      <c r="AP103" s="2091"/>
      <c r="AQ103" s="2091"/>
      <c r="AR103" s="2091"/>
      <c r="AS103" s="2091"/>
      <c r="AT103" s="2091"/>
      <c r="AU103" s="2091"/>
      <c r="AV103" s="2091"/>
      <c r="AW103" s="2091"/>
      <c r="AX103" s="2091"/>
      <c r="AY103" s="2091"/>
      <c r="AZ103" s="2091"/>
      <c r="BA103" s="2091"/>
      <c r="BB103" s="2091"/>
      <c r="BC103" s="2091"/>
      <c r="BD103" s="2091"/>
      <c r="BE103" s="2091"/>
      <c r="BF103" s="2091"/>
      <c r="BG103" s="2091"/>
      <c r="BH103" s="2091"/>
      <c r="BI103" s="2091"/>
      <c r="BJ103" s="2091"/>
      <c r="BK103" s="2091"/>
      <c r="BL103" s="2091"/>
      <c r="BM103" s="2091"/>
      <c r="BN103" s="2091"/>
      <c r="BO103" s="2091"/>
      <c r="BP103" s="2091"/>
      <c r="BQ103" s="2091"/>
      <c r="BR103" s="2091"/>
      <c r="BS103" s="2091"/>
      <c r="BT103" s="2091"/>
      <c r="BU103" s="2091"/>
      <c r="BV103" s="2091"/>
      <c r="BW103" s="2091"/>
      <c r="BX103" s="2091"/>
      <c r="BY103" s="2091"/>
      <c r="BZ103" s="2091"/>
      <c r="CA103" s="2091"/>
      <c r="CB103" s="2091"/>
      <c r="CC103" s="2091"/>
      <c r="CD103" s="2091"/>
      <c r="CE103" s="2091"/>
      <c r="CF103" s="2091"/>
      <c r="CG103" s="2091"/>
      <c r="CH103" s="2091"/>
      <c r="CI103" s="472"/>
      <c r="CJ103" s="472"/>
      <c r="CK103" s="472"/>
      <c r="CL103" s="472"/>
      <c r="CM103" s="472"/>
    </row>
    <row r="104" spans="1:125" s="450" customFormat="1" ht="42.75" customHeight="1" x14ac:dyDescent="0.25">
      <c r="A104" s="259"/>
      <c r="B104" s="2091" t="s">
        <v>646</v>
      </c>
      <c r="C104" s="2091"/>
      <c r="D104" s="2091"/>
      <c r="E104" s="2091"/>
      <c r="F104" s="2091"/>
      <c r="G104" s="2091"/>
      <c r="H104" s="2091"/>
      <c r="I104" s="2091"/>
      <c r="J104" s="2091"/>
      <c r="K104" s="2091"/>
      <c r="L104" s="2091"/>
      <c r="M104" s="2091"/>
      <c r="N104" s="2091"/>
      <c r="O104" s="2091"/>
      <c r="P104" s="2091"/>
      <c r="Q104" s="2091"/>
      <c r="R104" s="2091"/>
      <c r="S104" s="2091"/>
      <c r="T104" s="2091"/>
      <c r="U104" s="2091"/>
      <c r="V104" s="2091"/>
      <c r="W104" s="2091"/>
      <c r="X104" s="2091"/>
      <c r="Y104" s="2091"/>
      <c r="Z104" s="2091"/>
      <c r="AA104" s="2091"/>
      <c r="AB104" s="2091"/>
      <c r="AC104" s="2091"/>
      <c r="AD104" s="2091"/>
      <c r="AE104" s="2091"/>
      <c r="AF104" s="2091"/>
      <c r="AG104" s="2091"/>
      <c r="AH104" s="2091"/>
      <c r="AI104" s="2091"/>
      <c r="AJ104" s="2091"/>
      <c r="AK104" s="2091"/>
      <c r="AL104" s="2091"/>
      <c r="AM104" s="2091"/>
      <c r="AN104" s="2091"/>
      <c r="AO104" s="2091"/>
      <c r="AP104" s="2091"/>
      <c r="AQ104" s="2091"/>
      <c r="AR104" s="2091"/>
      <c r="AS104" s="2091"/>
      <c r="AT104" s="2091"/>
      <c r="AU104" s="2091"/>
      <c r="AV104" s="2091"/>
      <c r="AW104" s="2091"/>
      <c r="AX104" s="2091"/>
      <c r="AY104" s="2091"/>
      <c r="AZ104" s="2091"/>
      <c r="BA104" s="2091"/>
      <c r="BB104" s="2091"/>
      <c r="BC104" s="2091"/>
      <c r="BD104" s="2091"/>
      <c r="BE104" s="2091"/>
      <c r="BF104" s="2091"/>
      <c r="BG104" s="2091"/>
      <c r="BH104" s="2091"/>
      <c r="BI104" s="2091"/>
      <c r="BJ104" s="2091"/>
      <c r="BK104" s="2091"/>
      <c r="BL104" s="2091"/>
      <c r="BM104" s="2091"/>
      <c r="BN104" s="2091"/>
      <c r="BO104" s="2091"/>
      <c r="BP104" s="2091"/>
      <c r="BQ104" s="2091"/>
      <c r="BR104" s="2091"/>
      <c r="BS104" s="2091"/>
      <c r="BT104" s="2091"/>
      <c r="BU104" s="2091"/>
      <c r="BV104" s="2091"/>
      <c r="BW104" s="2091"/>
      <c r="BX104" s="2091"/>
      <c r="BY104" s="2091"/>
      <c r="BZ104" s="2091"/>
      <c r="CA104" s="2091"/>
      <c r="CB104" s="2091"/>
      <c r="CC104" s="2091"/>
      <c r="CD104" s="2091"/>
      <c r="CE104" s="2091"/>
      <c r="CF104" s="2091"/>
      <c r="CG104" s="2091"/>
      <c r="CH104" s="2091"/>
    </row>
    <row r="105" spans="1:125" s="450" customFormat="1" ht="39" customHeight="1" x14ac:dyDescent="0.25">
      <c r="A105" s="259"/>
      <c r="B105" s="2091" t="s">
        <v>647</v>
      </c>
      <c r="C105" s="2091"/>
      <c r="D105" s="2091"/>
      <c r="E105" s="2091"/>
      <c r="F105" s="2091"/>
      <c r="G105" s="2091"/>
      <c r="H105" s="2091"/>
      <c r="I105" s="2091"/>
      <c r="J105" s="2091"/>
      <c r="K105" s="2091"/>
      <c r="L105" s="2091"/>
      <c r="M105" s="2091"/>
      <c r="N105" s="2091"/>
      <c r="O105" s="2091"/>
      <c r="P105" s="2091"/>
      <c r="Q105" s="2091"/>
      <c r="R105" s="2091"/>
      <c r="S105" s="2091"/>
      <c r="T105" s="2091"/>
      <c r="U105" s="2091"/>
      <c r="V105" s="2091"/>
      <c r="W105" s="2091"/>
      <c r="X105" s="2091"/>
      <c r="Y105" s="2091"/>
      <c r="Z105" s="2091"/>
      <c r="AA105" s="2091"/>
      <c r="AB105" s="2091"/>
      <c r="AC105" s="2091"/>
      <c r="AD105" s="2091"/>
      <c r="AE105" s="2091"/>
      <c r="AF105" s="2091"/>
      <c r="AG105" s="2091"/>
      <c r="AH105" s="2091"/>
      <c r="AI105" s="2091"/>
      <c r="AJ105" s="2091"/>
      <c r="AK105" s="2091"/>
      <c r="AL105" s="2091"/>
      <c r="AM105" s="2091"/>
      <c r="AN105" s="2091"/>
      <c r="AO105" s="2091"/>
      <c r="AP105" s="2091"/>
      <c r="AQ105" s="2091"/>
      <c r="AR105" s="2091"/>
      <c r="AS105" s="2091"/>
      <c r="AT105" s="2091"/>
      <c r="AU105" s="2091"/>
      <c r="AV105" s="2091"/>
      <c r="AW105" s="2091"/>
      <c r="AX105" s="2091"/>
      <c r="AY105" s="2091"/>
      <c r="AZ105" s="2091"/>
      <c r="BA105" s="2091"/>
      <c r="BB105" s="2091"/>
      <c r="BC105" s="2091"/>
      <c r="BD105" s="2091"/>
      <c r="BE105" s="2091"/>
      <c r="BF105" s="2091"/>
      <c r="BG105" s="2091"/>
      <c r="BH105" s="2091"/>
      <c r="BI105" s="2091"/>
      <c r="BJ105" s="2091"/>
      <c r="BK105" s="2091"/>
      <c r="BL105" s="2091"/>
      <c r="BM105" s="2091"/>
      <c r="BN105" s="2091"/>
      <c r="BO105" s="2091"/>
      <c r="BP105" s="2091"/>
      <c r="BQ105" s="2091"/>
      <c r="BR105" s="2091"/>
      <c r="BS105" s="2091"/>
      <c r="BT105" s="2091"/>
      <c r="BU105" s="2091"/>
      <c r="BV105" s="2091"/>
      <c r="BW105" s="2091"/>
      <c r="BX105" s="2091"/>
      <c r="BY105" s="2091"/>
      <c r="BZ105" s="2091"/>
      <c r="CA105" s="2091"/>
      <c r="CB105" s="2091"/>
      <c r="CC105" s="2091"/>
      <c r="CD105" s="2091"/>
      <c r="CE105" s="2091"/>
      <c r="CF105" s="2091"/>
      <c r="CG105" s="2091"/>
      <c r="CH105" s="2091"/>
    </row>
    <row r="106" spans="1:125" ht="18.75" customHeight="1" x14ac:dyDescent="0.25">
      <c r="A106" s="85"/>
      <c r="B106" s="451" t="s">
        <v>730</v>
      </c>
      <c r="C106" s="103"/>
      <c r="D106" s="85"/>
      <c r="E106" s="471"/>
      <c r="F106" s="471"/>
      <c r="G106" s="103"/>
      <c r="H106" s="103"/>
      <c r="I106" s="103"/>
      <c r="J106" s="103"/>
      <c r="K106" s="103"/>
      <c r="L106" s="103"/>
      <c r="M106" s="103"/>
      <c r="N106" s="103"/>
      <c r="O106" s="469"/>
      <c r="P106" s="473"/>
      <c r="Q106" s="103"/>
      <c r="R106" s="103"/>
      <c r="S106" s="103"/>
      <c r="T106" s="473"/>
      <c r="U106" s="474"/>
      <c r="V106" s="103"/>
      <c r="W106" s="103"/>
      <c r="X106" s="103"/>
      <c r="Y106" s="474"/>
      <c r="Z106" s="469"/>
      <c r="AA106" s="103"/>
      <c r="AB106" s="103"/>
      <c r="AC106" s="103"/>
      <c r="AD106" s="469"/>
      <c r="AE106" s="469"/>
      <c r="AF106" s="103"/>
      <c r="AG106" s="103"/>
      <c r="AH106" s="103"/>
      <c r="AI106" s="474"/>
      <c r="AJ106" s="339"/>
      <c r="AK106" s="103"/>
      <c r="AL106" s="103"/>
      <c r="AM106" s="103"/>
      <c r="AN106" s="474"/>
      <c r="AO106" s="471"/>
      <c r="AP106" s="103"/>
      <c r="AQ106" s="103"/>
      <c r="AR106" s="103"/>
      <c r="AS106" s="471"/>
      <c r="AT106" s="471"/>
      <c r="AU106" s="103"/>
      <c r="AV106" s="103"/>
      <c r="AW106" s="103"/>
      <c r="AZ106" s="103"/>
      <c r="BA106" s="103"/>
      <c r="BB106" s="103"/>
      <c r="BE106" s="103"/>
      <c r="BF106" s="103"/>
      <c r="BG106" s="103"/>
      <c r="BJ106" s="103"/>
      <c r="BK106" s="103"/>
      <c r="BL106" s="103"/>
      <c r="BO106" s="103"/>
      <c r="BP106" s="103"/>
      <c r="BQ106" s="103"/>
      <c r="BT106" s="103"/>
      <c r="BU106" s="103"/>
      <c r="BV106" s="103"/>
      <c r="BY106" s="103"/>
      <c r="BZ106" s="103"/>
      <c r="CA106" s="103"/>
      <c r="CD106" s="103"/>
      <c r="CE106" s="103"/>
      <c r="CF106" s="103"/>
      <c r="CJ106" s="103"/>
      <c r="CK106" s="103"/>
      <c r="CL106" s="103"/>
      <c r="CP106" s="103"/>
      <c r="CQ106" s="103"/>
      <c r="CR106" s="103"/>
      <c r="CV106" s="103"/>
      <c r="CW106" s="103"/>
      <c r="CX106" s="103"/>
    </row>
    <row r="107" spans="1:125" ht="18.75" customHeight="1" x14ac:dyDescent="0.25">
      <c r="A107" s="85"/>
      <c r="B107" s="278" t="s">
        <v>731</v>
      </c>
      <c r="C107" s="103"/>
      <c r="D107" s="85"/>
      <c r="E107" s="471"/>
      <c r="F107" s="471"/>
      <c r="G107" s="103"/>
      <c r="H107" s="103"/>
      <c r="I107" s="103"/>
      <c r="J107" s="103"/>
      <c r="K107" s="103"/>
      <c r="L107" s="103"/>
      <c r="M107" s="103"/>
      <c r="N107" s="103"/>
      <c r="O107" s="469"/>
      <c r="P107" s="473"/>
      <c r="Q107" s="103"/>
      <c r="R107" s="103"/>
      <c r="S107" s="103"/>
      <c r="T107" s="473"/>
      <c r="U107" s="474"/>
      <c r="V107" s="103"/>
      <c r="W107" s="103"/>
      <c r="X107" s="103"/>
      <c r="Y107" s="474"/>
      <c r="Z107" s="469"/>
      <c r="AA107" s="103"/>
      <c r="AB107" s="103"/>
      <c r="AC107" s="103"/>
      <c r="AD107" s="469"/>
      <c r="AE107" s="469"/>
      <c r="AF107" s="103"/>
      <c r="AG107" s="103"/>
      <c r="AH107" s="103"/>
      <c r="AI107" s="474"/>
      <c r="AJ107" s="444"/>
      <c r="AK107" s="103"/>
      <c r="AL107" s="103"/>
      <c r="AM107" s="103"/>
      <c r="AN107" s="474"/>
      <c r="AO107" s="471"/>
      <c r="AP107" s="103"/>
      <c r="AQ107" s="103"/>
      <c r="AR107" s="103"/>
      <c r="AS107" s="471"/>
      <c r="AT107" s="471"/>
      <c r="AU107" s="103"/>
      <c r="AV107" s="103"/>
      <c r="AW107" s="103"/>
      <c r="AZ107" s="103"/>
      <c r="BA107" s="103"/>
      <c r="BB107" s="103"/>
      <c r="BE107" s="103"/>
      <c r="BF107" s="103"/>
      <c r="BG107" s="103"/>
      <c r="BJ107" s="103"/>
      <c r="BK107" s="103"/>
      <c r="BL107" s="103"/>
      <c r="BO107" s="103"/>
      <c r="BP107" s="103"/>
      <c r="BQ107" s="103"/>
      <c r="BT107" s="103"/>
      <c r="BU107" s="103"/>
      <c r="BV107" s="103"/>
      <c r="BY107" s="103"/>
      <c r="BZ107" s="103"/>
      <c r="CA107" s="103"/>
      <c r="CD107" s="103"/>
      <c r="CE107" s="103"/>
      <c r="CF107" s="103"/>
      <c r="CJ107" s="103"/>
      <c r="CK107" s="103"/>
      <c r="CL107" s="103"/>
      <c r="CP107" s="103"/>
      <c r="CQ107" s="103"/>
      <c r="CR107" s="103"/>
      <c r="CV107" s="103"/>
      <c r="CW107" s="103"/>
      <c r="CX107" s="103"/>
    </row>
    <row r="108" spans="1:125" ht="18.75" customHeight="1" x14ac:dyDescent="0.25">
      <c r="A108" s="85"/>
      <c r="B108" s="451" t="s">
        <v>650</v>
      </c>
      <c r="C108" s="103"/>
      <c r="D108" s="85"/>
      <c r="E108" s="471"/>
      <c r="F108" s="471"/>
      <c r="G108" s="103"/>
      <c r="H108" s="103"/>
      <c r="I108" s="103"/>
      <c r="J108" s="103"/>
      <c r="K108" s="103"/>
      <c r="L108" s="103"/>
      <c r="M108" s="103"/>
      <c r="N108" s="103"/>
      <c r="O108" s="469"/>
      <c r="P108" s="473"/>
      <c r="Q108" s="103"/>
      <c r="R108" s="103"/>
      <c r="S108" s="103"/>
      <c r="T108" s="473"/>
      <c r="U108" s="474"/>
      <c r="V108" s="103"/>
      <c r="W108" s="103"/>
      <c r="X108" s="103"/>
      <c r="Y108" s="474"/>
      <c r="Z108" s="469"/>
      <c r="AA108" s="103"/>
      <c r="AB108" s="103"/>
      <c r="AC108" s="103"/>
      <c r="AD108" s="469"/>
      <c r="AE108" s="469"/>
      <c r="AF108" s="103"/>
      <c r="AG108" s="103"/>
      <c r="AH108" s="103"/>
      <c r="AI108" s="474"/>
      <c r="AJ108" s="87"/>
      <c r="AK108" s="103"/>
      <c r="AL108" s="103"/>
      <c r="AM108" s="103"/>
      <c r="AN108" s="474"/>
      <c r="AO108" s="471"/>
      <c r="AP108" s="103"/>
      <c r="AQ108" s="103"/>
      <c r="AR108" s="103"/>
      <c r="AS108" s="471"/>
      <c r="AT108" s="471"/>
      <c r="AU108" s="103"/>
      <c r="AV108" s="103"/>
      <c r="AW108" s="103"/>
      <c r="AZ108" s="103"/>
      <c r="BA108" s="103"/>
      <c r="BB108" s="103"/>
      <c r="BE108" s="103"/>
      <c r="BF108" s="103"/>
      <c r="BG108" s="103"/>
      <c r="BJ108" s="103"/>
      <c r="BK108" s="103"/>
      <c r="BL108" s="103"/>
      <c r="BO108" s="103"/>
      <c r="BP108" s="103"/>
      <c r="BQ108" s="103"/>
      <c r="BT108" s="103"/>
      <c r="BU108" s="103"/>
      <c r="BV108" s="103"/>
      <c r="BY108" s="103"/>
      <c r="BZ108" s="103"/>
      <c r="CA108" s="103"/>
      <c r="CD108" s="103"/>
      <c r="CE108" s="103"/>
      <c r="CF108" s="103"/>
      <c r="CJ108" s="103"/>
      <c r="CK108" s="103"/>
      <c r="CL108" s="103"/>
      <c r="CP108" s="103"/>
      <c r="CQ108" s="103"/>
      <c r="CR108" s="103"/>
      <c r="CV108" s="103"/>
      <c r="CW108" s="103"/>
      <c r="CX108" s="103"/>
    </row>
    <row r="109" spans="1:125" ht="24.75" customHeight="1" x14ac:dyDescent="0.25">
      <c r="A109" s="475">
        <v>4</v>
      </c>
      <c r="B109" s="451" t="s">
        <v>651</v>
      </c>
      <c r="C109" s="476"/>
      <c r="D109" s="475"/>
      <c r="E109" s="475"/>
      <c r="F109" s="475"/>
      <c r="G109" s="476"/>
      <c r="H109" s="476"/>
      <c r="I109" s="476"/>
      <c r="J109" s="476"/>
      <c r="K109" s="476"/>
      <c r="L109" s="476"/>
      <c r="M109" s="476"/>
      <c r="N109" s="476"/>
      <c r="O109" s="477"/>
      <c r="P109" s="478"/>
      <c r="Q109" s="476"/>
      <c r="R109" s="476"/>
      <c r="S109" s="476"/>
      <c r="T109" s="478"/>
      <c r="U109" s="479"/>
      <c r="V109" s="476"/>
      <c r="W109" s="476"/>
      <c r="X109" s="476"/>
      <c r="Y109" s="479"/>
      <c r="Z109" s="477"/>
      <c r="AA109" s="476"/>
      <c r="AB109" s="476"/>
      <c r="AC109" s="476"/>
      <c r="AD109" s="477"/>
      <c r="AE109" s="477"/>
      <c r="AF109" s="476"/>
      <c r="AG109" s="476"/>
      <c r="AH109" s="476"/>
      <c r="AI109" s="479"/>
      <c r="AJ109" s="444"/>
      <c r="AK109" s="476"/>
      <c r="AL109" s="476"/>
      <c r="AM109" s="476"/>
      <c r="AN109" s="479"/>
      <c r="AO109" s="475"/>
      <c r="AP109" s="476"/>
      <c r="AQ109" s="476"/>
      <c r="AR109" s="476"/>
      <c r="AS109" s="475"/>
      <c r="AT109" s="475"/>
      <c r="AU109" s="476"/>
      <c r="AV109" s="476"/>
      <c r="AW109" s="476"/>
      <c r="AZ109" s="476"/>
      <c r="BA109" s="476"/>
      <c r="BB109" s="476"/>
      <c r="BE109" s="476"/>
      <c r="BF109" s="476"/>
      <c r="BG109" s="476"/>
      <c r="BJ109" s="476"/>
      <c r="BK109" s="476"/>
      <c r="BL109" s="476"/>
      <c r="BO109" s="476"/>
      <c r="BP109" s="476"/>
      <c r="BQ109" s="476"/>
      <c r="BT109" s="476"/>
      <c r="BU109" s="476"/>
      <c r="BV109" s="476"/>
      <c r="BY109" s="476"/>
      <c r="BZ109" s="476"/>
      <c r="CA109" s="476"/>
      <c r="CD109" s="476"/>
      <c r="CE109" s="476"/>
      <c r="CF109" s="476"/>
      <c r="CJ109" s="476"/>
      <c r="CK109" s="476"/>
      <c r="CL109" s="476"/>
      <c r="CP109" s="476"/>
      <c r="CQ109" s="476"/>
      <c r="CR109" s="476"/>
      <c r="CV109" s="476"/>
      <c r="CW109" s="476"/>
      <c r="CX109" s="476"/>
    </row>
    <row r="110" spans="1:125" ht="12.75" customHeight="1" x14ac:dyDescent="0.25">
      <c r="A110" s="39"/>
      <c r="B110" s="459" t="s">
        <v>652</v>
      </c>
      <c r="C110" s="103"/>
      <c r="D110" s="85"/>
      <c r="E110" s="471"/>
      <c r="F110" s="471"/>
      <c r="G110" s="103"/>
      <c r="H110" s="103"/>
      <c r="I110" s="103"/>
      <c r="J110" s="103"/>
      <c r="K110" s="103"/>
      <c r="L110" s="103"/>
      <c r="M110" s="103"/>
      <c r="N110" s="103"/>
      <c r="O110" s="469"/>
      <c r="P110" s="468"/>
      <c r="Q110" s="103"/>
      <c r="R110" s="103"/>
      <c r="S110" s="103"/>
      <c r="T110" s="468"/>
      <c r="U110" s="468"/>
      <c r="V110" s="103"/>
      <c r="W110" s="103"/>
      <c r="X110" s="103"/>
      <c r="Y110" s="468"/>
      <c r="Z110" s="468"/>
      <c r="AA110" s="103"/>
      <c r="AB110" s="103"/>
      <c r="AC110" s="103"/>
      <c r="AD110" s="469"/>
      <c r="AE110" s="67"/>
      <c r="AF110" s="103"/>
      <c r="AG110" s="103"/>
      <c r="AH110" s="103"/>
      <c r="AI110" s="67"/>
      <c r="AJ110" s="470"/>
      <c r="AK110" s="103"/>
      <c r="AL110" s="103"/>
      <c r="AM110" s="103"/>
      <c r="AN110" s="119"/>
      <c r="AO110" s="471"/>
      <c r="AP110" s="103"/>
      <c r="AQ110" s="103"/>
      <c r="AR110" s="103"/>
      <c r="AS110" s="471"/>
      <c r="AT110" s="471"/>
      <c r="AU110" s="103"/>
      <c r="AV110" s="103"/>
      <c r="AW110" s="103"/>
      <c r="AX110" s="119"/>
      <c r="AZ110" s="103"/>
      <c r="BA110" s="103"/>
      <c r="BB110" s="103"/>
      <c r="BE110" s="103"/>
      <c r="BF110" s="103"/>
      <c r="BG110" s="103"/>
      <c r="BJ110" s="103"/>
      <c r="BK110" s="103"/>
      <c r="BL110" s="103"/>
      <c r="BO110" s="103"/>
      <c r="BP110" s="103"/>
      <c r="BQ110" s="103"/>
      <c r="BT110" s="103"/>
      <c r="BU110" s="103"/>
      <c r="BV110" s="103"/>
      <c r="BY110" s="103"/>
      <c r="BZ110" s="103"/>
      <c r="CA110" s="103"/>
      <c r="CD110" s="103"/>
      <c r="CE110" s="103"/>
      <c r="CF110" s="103"/>
      <c r="CJ110" s="103"/>
      <c r="CK110" s="103"/>
      <c r="CL110" s="103"/>
      <c r="CP110" s="103"/>
      <c r="CQ110" s="103"/>
      <c r="CR110" s="103"/>
      <c r="CV110" s="103"/>
      <c r="CW110" s="103"/>
      <c r="CX110" s="103"/>
    </row>
    <row r="111" spans="1:125" ht="12.75" customHeight="1" x14ac:dyDescent="0.25">
      <c r="A111" s="87"/>
      <c r="B111" s="480"/>
      <c r="C111" s="480"/>
      <c r="D111" s="480"/>
      <c r="E111" s="480"/>
      <c r="F111" s="480"/>
      <c r="G111" s="480"/>
      <c r="H111" s="480"/>
      <c r="I111" s="480"/>
      <c r="J111" s="480"/>
      <c r="K111" s="480"/>
      <c r="L111" s="480"/>
      <c r="M111" s="480"/>
      <c r="N111" s="480"/>
      <c r="O111" s="481"/>
      <c r="P111" s="481"/>
      <c r="Q111" s="480"/>
      <c r="R111" s="480"/>
      <c r="S111" s="480"/>
      <c r="T111" s="481"/>
      <c r="U111" s="481"/>
      <c r="V111" s="480"/>
      <c r="W111" s="480"/>
      <c r="X111" s="480"/>
      <c r="Y111" s="481"/>
      <c r="Z111" s="481"/>
      <c r="AA111" s="480"/>
      <c r="AB111" s="480"/>
      <c r="AC111" s="480"/>
      <c r="AD111" s="481"/>
      <c r="AE111" s="481"/>
      <c r="AF111" s="480"/>
      <c r="AG111" s="480"/>
      <c r="AH111" s="480"/>
      <c r="AI111" s="481"/>
      <c r="AJ111" s="482"/>
      <c r="AK111" s="480"/>
      <c r="AL111" s="480"/>
      <c r="AM111" s="480"/>
      <c r="AN111" s="481"/>
      <c r="AO111" s="471"/>
      <c r="AP111" s="480"/>
      <c r="AQ111" s="480"/>
      <c r="AR111" s="480"/>
      <c r="AS111" s="471"/>
      <c r="AT111" s="471"/>
      <c r="AU111" s="480"/>
      <c r="AV111" s="480"/>
      <c r="AW111" s="480"/>
      <c r="AZ111" s="480"/>
      <c r="BA111" s="480"/>
      <c r="BB111" s="480"/>
      <c r="BE111" s="480"/>
      <c r="BF111" s="480"/>
      <c r="BG111" s="480"/>
      <c r="BJ111" s="480"/>
      <c r="BK111" s="480"/>
      <c r="BL111" s="480"/>
      <c r="BO111" s="480"/>
      <c r="BP111" s="480"/>
      <c r="BQ111" s="480"/>
      <c r="BT111" s="480"/>
      <c r="BU111" s="480"/>
      <c r="BV111" s="480"/>
      <c r="BY111" s="480"/>
      <c r="BZ111" s="480"/>
      <c r="CA111" s="480"/>
      <c r="CD111" s="480"/>
      <c r="CE111" s="480"/>
      <c r="CF111" s="480"/>
      <c r="CJ111" s="480"/>
      <c r="CK111" s="480"/>
      <c r="CL111" s="480"/>
      <c r="CP111" s="480"/>
      <c r="CQ111" s="480"/>
      <c r="CR111" s="480"/>
      <c r="CV111" s="480"/>
      <c r="CW111" s="480"/>
      <c r="CX111" s="480"/>
    </row>
    <row r="112" spans="1:125" ht="46.5" customHeight="1" x14ac:dyDescent="0.25">
      <c r="A112" s="87"/>
      <c r="B112" s="2091" t="s">
        <v>653</v>
      </c>
      <c r="C112" s="2091"/>
      <c r="D112" s="2091"/>
      <c r="E112" s="2091"/>
      <c r="F112" s="2091"/>
      <c r="G112" s="2091"/>
      <c r="H112" s="2091"/>
      <c r="I112" s="2091"/>
      <c r="J112" s="2091"/>
      <c r="K112" s="2091"/>
      <c r="L112" s="2091"/>
      <c r="M112" s="2091"/>
      <c r="N112" s="2091"/>
      <c r="O112" s="2091"/>
      <c r="P112" s="2091"/>
      <c r="Q112" s="2091"/>
      <c r="R112" s="2091"/>
      <c r="S112" s="2091"/>
      <c r="T112" s="2091"/>
      <c r="U112" s="2091"/>
      <c r="V112" s="2091"/>
      <c r="W112" s="2091"/>
      <c r="X112" s="2091"/>
      <c r="Y112" s="2091"/>
      <c r="Z112" s="2091"/>
      <c r="AA112" s="2091"/>
      <c r="AB112" s="2091"/>
      <c r="AC112" s="2091"/>
      <c r="AD112" s="2091"/>
      <c r="AE112" s="2091"/>
      <c r="AF112" s="2091"/>
      <c r="AG112" s="2091"/>
      <c r="AH112" s="2091"/>
      <c r="AI112" s="2091"/>
      <c r="AJ112" s="2091"/>
      <c r="AK112" s="2091"/>
      <c r="AL112" s="2091"/>
      <c r="AM112" s="2091"/>
      <c r="AN112" s="2091"/>
      <c r="AO112" s="2091"/>
      <c r="AP112" s="2091"/>
      <c r="AQ112" s="2091"/>
      <c r="AR112" s="2091"/>
      <c r="AS112" s="2091"/>
      <c r="AT112" s="2091"/>
      <c r="AU112" s="2091"/>
      <c r="AV112" s="2091"/>
      <c r="AW112" s="2091"/>
      <c r="AX112" s="2091"/>
      <c r="AY112" s="2091"/>
      <c r="AZ112" s="2091"/>
      <c r="BA112" s="2091"/>
      <c r="BB112" s="2091"/>
      <c r="BC112" s="2091"/>
      <c r="BD112" s="2091"/>
      <c r="BE112" s="2091"/>
      <c r="BF112" s="2091"/>
      <c r="BG112" s="2091"/>
      <c r="BH112" s="2091"/>
      <c r="BI112" s="2091"/>
      <c r="BJ112" s="2091"/>
      <c r="BK112" s="2091"/>
      <c r="BL112" s="2091"/>
      <c r="BM112" s="2091"/>
      <c r="BN112" s="483"/>
      <c r="BO112" s="483"/>
      <c r="BP112" s="483"/>
      <c r="BQ112" s="483"/>
      <c r="BR112" s="483"/>
      <c r="BS112" s="483"/>
      <c r="BT112" s="483"/>
      <c r="BU112" s="483"/>
      <c r="BV112" s="483"/>
      <c r="BW112" s="483"/>
      <c r="BX112" s="483"/>
      <c r="BY112" s="483"/>
      <c r="BZ112" s="483"/>
      <c r="CA112" s="483"/>
      <c r="CB112" s="483"/>
      <c r="CC112" s="476"/>
      <c r="CD112" s="483"/>
      <c r="CE112" s="483"/>
      <c r="CF112" s="483"/>
      <c r="CG112" s="483"/>
      <c r="CH112" s="483"/>
      <c r="CI112" s="476"/>
      <c r="CJ112" s="483"/>
      <c r="CK112" s="483"/>
      <c r="CL112" s="483"/>
      <c r="CM112" s="483"/>
      <c r="CN112" s="483"/>
      <c r="CO112" s="96"/>
      <c r="CP112" s="483"/>
      <c r="CQ112" s="483"/>
      <c r="CR112" s="483"/>
      <c r="CS112" s="483"/>
      <c r="CV112" s="483"/>
      <c r="CW112" s="483"/>
      <c r="CX112" s="483"/>
      <c r="CY112" s="483"/>
    </row>
    <row r="113" spans="81:93" x14ac:dyDescent="0.25">
      <c r="CC113" s="87"/>
      <c r="CI113" s="87"/>
      <c r="CO113" s="87"/>
    </row>
    <row r="114" spans="81:93" x14ac:dyDescent="0.25">
      <c r="CC114" s="87"/>
      <c r="CI114" s="87"/>
      <c r="CO114" s="87"/>
    </row>
    <row r="115" spans="81:93" x14ac:dyDescent="0.25">
      <c r="CC115" s="87"/>
      <c r="CI115" s="87"/>
      <c r="CO115" s="87"/>
    </row>
    <row r="116" spans="81:93" x14ac:dyDescent="0.25">
      <c r="CC116" s="87"/>
      <c r="CI116" s="87"/>
      <c r="CO116" s="87"/>
    </row>
    <row r="117" spans="81:93" x14ac:dyDescent="0.25">
      <c r="CC117" s="87"/>
      <c r="CI117" s="87"/>
      <c r="CO117" s="87"/>
    </row>
    <row r="118" spans="81:93" x14ac:dyDescent="0.25">
      <c r="CC118" s="339"/>
      <c r="CI118" s="339"/>
      <c r="CO118" s="339"/>
    </row>
    <row r="119" spans="81:93" x14ac:dyDescent="0.25">
      <c r="CC119" s="339"/>
      <c r="CI119" s="339"/>
      <c r="CO119" s="339"/>
    </row>
  </sheetData>
  <mergeCells count="86">
    <mergeCell ref="I12:K12"/>
    <mergeCell ref="O12:P12"/>
    <mergeCell ref="T12:U12"/>
    <mergeCell ref="T15:U15"/>
    <mergeCell ref="Y14:AI15"/>
    <mergeCell ref="AJ14:BD15"/>
    <mergeCell ref="Y12:AI13"/>
    <mergeCell ref="AJ12:BD13"/>
    <mergeCell ref="B112:BM112"/>
    <mergeCell ref="B100:AJ100"/>
    <mergeCell ref="B4:BD5"/>
    <mergeCell ref="H10:U10"/>
    <mergeCell ref="B7:BD8"/>
    <mergeCell ref="Y10:AI11"/>
    <mergeCell ref="I11:K11"/>
    <mergeCell ref="T11:U11"/>
    <mergeCell ref="O11:P11"/>
    <mergeCell ref="AJ10:BD11"/>
    <mergeCell ref="I13:K13"/>
    <mergeCell ref="O13:P13"/>
    <mergeCell ref="T13:U13"/>
    <mergeCell ref="H14:U14"/>
    <mergeCell ref="I15:K15"/>
    <mergeCell ref="O15:P15"/>
    <mergeCell ref="I17:K17"/>
    <mergeCell ref="O16:P16"/>
    <mergeCell ref="T16:U16"/>
    <mergeCell ref="I16:K16"/>
    <mergeCell ref="B105:CH105"/>
    <mergeCell ref="B104:CH104"/>
    <mergeCell ref="B103:CH103"/>
    <mergeCell ref="B102:CI102"/>
    <mergeCell ref="B99:CH99"/>
    <mergeCell ref="AJ18:BD19"/>
    <mergeCell ref="AJ16:BD17"/>
    <mergeCell ref="Y16:AI17"/>
    <mergeCell ref="T17:U17"/>
    <mergeCell ref="O17:P17"/>
    <mergeCell ref="I19:K19"/>
    <mergeCell ref="O19:P19"/>
    <mergeCell ref="T19:U19"/>
    <mergeCell ref="H18:U18"/>
    <mergeCell ref="Y18:AI19"/>
    <mergeCell ref="T21:U21"/>
    <mergeCell ref="O21:P21"/>
    <mergeCell ref="I20:K20"/>
    <mergeCell ref="O20:P20"/>
    <mergeCell ref="T20:U20"/>
    <mergeCell ref="E31:E32"/>
    <mergeCell ref="F31:F32"/>
    <mergeCell ref="G31:G32"/>
    <mergeCell ref="H31:H32"/>
    <mergeCell ref="BH10:CN13"/>
    <mergeCell ref="BH14:CN17"/>
    <mergeCell ref="BH22:CN25"/>
    <mergeCell ref="BH18:CN21"/>
    <mergeCell ref="I24:K24"/>
    <mergeCell ref="T24:U24"/>
    <mergeCell ref="O24:P24"/>
    <mergeCell ref="T23:U23"/>
    <mergeCell ref="O23:P23"/>
    <mergeCell ref="I23:K23"/>
    <mergeCell ref="H22:U22"/>
    <mergeCell ref="I21:K21"/>
    <mergeCell ref="Y20:AI21"/>
    <mergeCell ref="AJ20:BD21"/>
    <mergeCell ref="Y22:AI23"/>
    <mergeCell ref="AJ22:BD23"/>
    <mergeCell ref="Y24:AI25"/>
    <mergeCell ref="AJ24:BD25"/>
    <mergeCell ref="A26:CN26"/>
    <mergeCell ref="O25:P25"/>
    <mergeCell ref="T25:U25"/>
    <mergeCell ref="I25:K25"/>
    <mergeCell ref="CI31:DF31"/>
    <mergeCell ref="BO31:CH31"/>
    <mergeCell ref="K31:L31"/>
    <mergeCell ref="I31:J31"/>
    <mergeCell ref="Q31:Z31"/>
    <mergeCell ref="O31:P31"/>
    <mergeCell ref="M31:N31"/>
    <mergeCell ref="AA31:BD31"/>
    <mergeCell ref="BE31:BN31"/>
    <mergeCell ref="A31:A32"/>
    <mergeCell ref="B31:B32"/>
    <mergeCell ref="C31:D32"/>
  </mergeCells>
  <conditionalFormatting sqref="DK34:DK43">
    <cfRule type="expression" dxfId="99" priority="95">
      <formula>IF($B33&lt;&gt;$H$11, IF($B33&lt;&gt;$H$12, IF($B33&lt;&gt;$H$13, IF($B33&lt;&gt;$I$11, IF($B33&lt;&gt;$I$12, IF($B33&lt;&gt;$I$13, IF($B33&lt;&gt;$O$11, IF($B33&lt;&gt;$O$12, IF($B33&lt;&gt;$O$13, IF($B33&lt;&gt;$T$90, IF($B33&lt;&gt;$T$91, TRUE)))))))))))</formula>
    </cfRule>
  </conditionalFormatting>
  <conditionalFormatting sqref="CN33:CN82 CT33:CT82 CZ33:CZ82">
    <cfRule type="expression" dxfId="98" priority="94">
      <formula>IF(ISBLANK(CI33), IF(ISBLANK(CN33), FALSE, TRUE), IF(ISNUMBER(CN33), FALSE, TRUE))</formula>
    </cfRule>
  </conditionalFormatting>
  <conditionalFormatting sqref="DK33">
    <cfRule type="expression" dxfId="97" priority="93">
      <formula>IF(#REF!&lt;&gt;$H$11, IF(#REF!&lt;&gt;$H$12, IF(#REF!&lt;&gt;$H$13, IF(#REF!&lt;&gt;$I$11, IF(#REF!&lt;&gt;$I$12, IF(#REF!&lt;&gt;$I$13, IF(#REF!&lt;&gt;$O$11, IF(#REF!&lt;&gt;$O$12, IF(#REF!&lt;&gt;$O$13, IF(#REF!&lt;&gt;$T$90, IF(#REF!&lt;&gt;$T$91, TRUE)))))))))))</formula>
    </cfRule>
  </conditionalFormatting>
  <conditionalFormatting sqref="E33:E82">
    <cfRule type="expression" dxfId="96" priority="92">
      <formula>IF(ISBLANK(E33), FALSE, IF(IF(ISNUMBER($G$13), IF(YEAR(TODAY())-$G$13&lt;=E33, FALSE, TRUE), FALSE), TRUE, IF(ISNUMBER($E$13), IF(YEAR(TODAY())-$E$13&lt;E33, TRUE, FALSE), FALSE)))</formula>
    </cfRule>
  </conditionalFormatting>
  <conditionalFormatting sqref="B33:B82">
    <cfRule type="expression" dxfId="95" priority="91">
      <formula>IF($B33&lt;&gt;$H$11, IF($B33&lt;&gt;$H$12, IF($B33&lt;&gt;$H$13, IF($B33&lt;&gt;$I$11, IF(B33&lt;&gt;$I$12, IF($B33&lt;&gt;$I$13, IF($B33&lt;&gt;$O$11, IF($B33&lt;&gt;$O$12, IF($B33&lt;&gt;$O$13, IF($B33&lt;&gt;$T$11, IF($B33&lt;&gt;$T$12, TRUE)))))))))))</formula>
    </cfRule>
  </conditionalFormatting>
  <conditionalFormatting sqref="O85">
    <cfRule type="expression" dxfId="94" priority="90">
      <formula>IF($O$85&gt;$E$11, TRUE)</formula>
    </cfRule>
  </conditionalFormatting>
  <conditionalFormatting sqref="O86">
    <cfRule type="expression" dxfId="93" priority="89">
      <formula>IF($O$86&gt;$E$12, TRUE)</formula>
    </cfRule>
  </conditionalFormatting>
  <conditionalFormatting sqref="M33:P82">
    <cfRule type="expression" dxfId="92" priority="88">
      <formula>IF(M33&gt;$G$11+$G$12-L33, IF(M33+L33&gt;$G$11+$G$12, TRUE, ))</formula>
    </cfRule>
  </conditionalFormatting>
  <conditionalFormatting sqref="Q33:Q82 V33:V82 AA33:AA82 AF33:AF82 AK33:AK82 AP33:AP82 AU33:AU82 AZ33:AZ82 BE33:BE82 BJ33:BJ82 BO33:BO82 BT33:BT82 CD33:CD82 CI33:CI82 CO33:CO82 CU33:CU82 DA33:DA82">
    <cfRule type="expression" dxfId="91" priority="87">
      <formula>IF(NOT(ISBLANK(Q33)), IF(ISNUMBER(Q33), IF(INT(Q33/10000)&gt;23, TRUE, IF(INT(MOD(Q33, 10000)/100)&gt;59.99, TRUE, IF(MOD(Q33, 100)&gt;59.99, TRUE, FALSE))), TRUE))</formula>
    </cfRule>
  </conditionalFormatting>
  <conditionalFormatting sqref="R33:U33 Z33:Z82 U85:U86 Z85:Z86 AE85:AE86 AJ85:AJ86 AO85:AO86 AT85:AT86 AY85:AY86 BD85:BD86 BI85:BI86 BN85:BN86 BS85:BS86 BX85:BY86 CC85:CC86 CH85:CH86">
    <cfRule type="expression" dxfId="90" priority="86">
      <formula>IF(R33="л", TRUE, )</formula>
    </cfRule>
  </conditionalFormatting>
  <conditionalFormatting sqref="R33:U33 Z33:Z82 U85:U86 Z85:Z86 AE85:AE86 AJ85:AJ86 AO85:AO86 AT85:AT86 AY85:AY86 BD85:BD86 BI85:BI86 BN85:BN86 BS85:BS86 BX85:BY86 CC85:CC86 CH85:CH86">
    <cfRule type="expression" dxfId="89" priority="85">
      <formula>IF(R33="в", TRUE, )</formula>
    </cfRule>
  </conditionalFormatting>
  <conditionalFormatting sqref="V33:V82">
    <cfRule type="expression" dxfId="88" priority="84">
      <formula>IF(ISNUMBER(V33), IF(YEAR(TODAY())-14&gt;=E33, FALSE, TRUE))</formula>
    </cfRule>
  </conditionalFormatting>
  <conditionalFormatting sqref="Q33:Q82">
    <cfRule type="expression" dxfId="87" priority="83">
      <formula>IF(ISNUMBER(Q33), IF(YEAR(TODAY())-12&gt;=E33, FALSE, TRUE))</formula>
    </cfRule>
  </conditionalFormatting>
  <conditionalFormatting sqref="AZ33:AZ82">
    <cfRule type="expression" dxfId="86" priority="82">
      <formula>IF(ISNUMBER(AZ33), IF(YEAR(TODAY())-12&gt;=E33, FALSE, TRUE))</formula>
    </cfRule>
  </conditionalFormatting>
  <conditionalFormatting sqref="BE33:BE82">
    <cfRule type="expression" dxfId="85" priority="81">
      <formula>IF(ISNUMBER(BE33), IF(YEAR(TODAY())-12&gt;=E33, FALSE, TRUE))</formula>
    </cfRule>
  </conditionalFormatting>
  <conditionalFormatting sqref="BJ33:BJ82">
    <cfRule type="expression" dxfId="84" priority="80">
      <formula>IF(ISNUMBER(BJ33), IF(YEAR(TODAY())-12&gt;=E33, FALSE, TRUE))</formula>
    </cfRule>
  </conditionalFormatting>
  <conditionalFormatting sqref="R33:U33 Z33:Z82 U85:U86 Z85:Z86 AE85:AE86 AJ85:AJ86 AO85:AO86 AT85:AT86 AY85:AY86 BD85:BD86 BI85:BI86 BN85:BN86 BS85:BS86 BX85:BY86 CC85:CC86 CH85:CH86">
    <cfRule type="expression" dxfId="83" priority="79">
      <formula>IF(R33="л", "ЛОЖЬ", IF(R33="в", "ЛОЖЬ", IF(ISBLANK(R33), "ЛОЖЬ", TRUE)))</formula>
    </cfRule>
  </conditionalFormatting>
  <conditionalFormatting sqref="CI33:CI82 CO33:CO82 CU33:CU82 DA33:DA82">
    <cfRule type="expression" dxfId="82" priority="78">
      <formula>IF(ISBLANK(CI33), FALSE, IF($O33=0, TRUE))</formula>
    </cfRule>
  </conditionalFormatting>
  <conditionalFormatting sqref="G33:G82">
    <cfRule type="expression" dxfId="81" priority="77">
      <formula>IF(G33="м", FALSE, IF(G33="ж", FALSE, TRUE))</formula>
    </cfRule>
  </conditionalFormatting>
  <conditionalFormatting sqref="DF33:DF82">
    <cfRule type="expression" dxfId="80" priority="76">
      <formula>IF(ISBLANK(DA33), IF(ISBLANK(DF33), FALSE, TRUE), IF(ISNUMBER(DF33), FALSE, TRUE))</formula>
    </cfRule>
  </conditionalFormatting>
  <conditionalFormatting sqref="BY33:BY82">
    <cfRule type="expression" dxfId="79" priority="75">
      <formula>IF(NOT(ISBLANK(BY33)), IF(ISNUMBER(BY33), IF(INT(BY33/10000)&gt;23, TRUE, IF(INT(MOD(BY33, 10000)/100)&gt;59.99, TRUE, IF(MOD(BY33, 100)&gt;59.99, TRUE, FALSE))), TRUE))</formula>
    </cfRule>
  </conditionalFormatting>
  <conditionalFormatting sqref="X33:X82">
    <cfRule type="expression" dxfId="78" priority="74">
      <formula>IF(ISNUMBER(X33), IF(YEAR(TODAY())-12&gt;=Q33, FALSE, TRUE))</formula>
    </cfRule>
  </conditionalFormatting>
  <conditionalFormatting sqref="Y33:Y82">
    <cfRule type="expression" dxfId="77" priority="73">
      <formula>IF(ISNUMBER(Y33), IF(YEAR(TODAY())-12&gt;=Q33, FALSE, TRUE))</formula>
    </cfRule>
  </conditionalFormatting>
  <conditionalFormatting sqref="W33:Y82">
    <cfRule type="expression" dxfId="76" priority="72">
      <formula>IF(NOT(ISBLANK(W33)), IF(ISNUMBER(W33), IF(INT(W33/10000)&gt;23, TRUE, IF(INT(MOD(W33, 10000)/100)&gt;59.99, TRUE, IF(MOD(W33, 100)&gt;59.99, TRUE, FALSE))), TRUE))</formula>
    </cfRule>
  </conditionalFormatting>
  <conditionalFormatting sqref="W33:W82">
    <cfRule type="expression" dxfId="75" priority="71">
      <formula>IF(ISNUMBER(W33), IF(YEAR(TODAY())-12&gt;=Q33, FALSE, TRUE))</formula>
    </cfRule>
  </conditionalFormatting>
  <conditionalFormatting sqref="CM85:CM86">
    <cfRule type="expression" dxfId="74" priority="70">
      <formula>IF(CM85="л", TRUE, )</formula>
    </cfRule>
  </conditionalFormatting>
  <conditionalFormatting sqref="CM85:CM86">
    <cfRule type="expression" dxfId="73" priority="69">
      <formula>IF(CM85="в", TRUE, )</formula>
    </cfRule>
  </conditionalFormatting>
  <conditionalFormatting sqref="CM85:CM86">
    <cfRule type="expression" dxfId="72" priority="68">
      <formula>IF(CM85="л", "ЛОЖЬ", IF(CM85="в", "ЛОЖЬ", IF(ISBLANK(CM85), "ЛОЖЬ", TRUE)))</formula>
    </cfRule>
  </conditionalFormatting>
  <conditionalFormatting sqref="CS85:CS86">
    <cfRule type="expression" dxfId="71" priority="67">
      <formula>IF(CS85="л", TRUE, )</formula>
    </cfRule>
  </conditionalFormatting>
  <conditionalFormatting sqref="CS85:CS86">
    <cfRule type="expression" dxfId="70" priority="66">
      <formula>IF(CS85="в", TRUE, )</formula>
    </cfRule>
  </conditionalFormatting>
  <conditionalFormatting sqref="CS85:CS86">
    <cfRule type="expression" dxfId="69" priority="65">
      <formula>IF(CS85="л", "ЛОЖЬ", IF(CS85="в", "ЛОЖЬ", IF(ISBLANK(CS85), "ЛОЖЬ", TRUE)))</formula>
    </cfRule>
  </conditionalFormatting>
  <conditionalFormatting sqref="CY85:CY86">
    <cfRule type="expression" dxfId="68" priority="64">
      <formula>IF(CY85="л", TRUE, )</formula>
    </cfRule>
  </conditionalFormatting>
  <conditionalFormatting sqref="CY85:CY86">
    <cfRule type="expression" dxfId="67" priority="63">
      <formula>IF(CY85="в", TRUE, )</formula>
    </cfRule>
  </conditionalFormatting>
  <conditionalFormatting sqref="CY85:CY86">
    <cfRule type="expression" dxfId="66" priority="62">
      <formula>IF(CY85="л", "ЛОЖЬ", IF(CY85="в", "ЛОЖЬ", IF(ISBLANK(CY85), "ЛОЖЬ", TRUE)))</formula>
    </cfRule>
  </conditionalFormatting>
  <conditionalFormatting sqref="DE85:DE86">
    <cfRule type="expression" dxfId="65" priority="61">
      <formula>IF(DE85="л", TRUE, )</formula>
    </cfRule>
  </conditionalFormatting>
  <conditionalFormatting sqref="DE85:DE86">
    <cfRule type="expression" dxfId="64" priority="60">
      <formula>IF(DE85="в", TRUE, )</formula>
    </cfRule>
  </conditionalFormatting>
  <conditionalFormatting sqref="DE85:DE86">
    <cfRule type="expression" dxfId="63" priority="59">
      <formula>IF(DE85="л", "ЛОЖЬ", IF(DE85="в", "ЛОЖЬ", IF(ISBLANK(DE85), "ЛОЖЬ", TRUE)))</formula>
    </cfRule>
  </conditionalFormatting>
  <conditionalFormatting sqref="M85">
    <cfRule type="expression" dxfId="62" priority="58">
      <formula>IF($O$85&gt;$E$11, TRUE)</formula>
    </cfRule>
  </conditionalFormatting>
  <conditionalFormatting sqref="M86">
    <cfRule type="expression" dxfId="61" priority="57">
      <formula>IF($O$86&gt;$E$12, TRUE)</formula>
    </cfRule>
  </conditionalFormatting>
  <conditionalFormatting sqref="K85">
    <cfRule type="expression" dxfId="60" priority="56">
      <formula>IF($O$85&gt;$E$11, TRUE)</formula>
    </cfRule>
  </conditionalFormatting>
  <conditionalFormatting sqref="K86">
    <cfRule type="expression" dxfId="59" priority="55">
      <formula>IF($O$86&gt;$E$12, TRUE)</formula>
    </cfRule>
  </conditionalFormatting>
  <conditionalFormatting sqref="I33:L82">
    <cfRule type="expression" dxfId="58" priority="54">
      <formula>IF(I33&gt;$G$11, TRUE)</formula>
    </cfRule>
  </conditionalFormatting>
  <conditionalFormatting sqref="I85">
    <cfRule type="expression" dxfId="57" priority="53">
      <formula>IF($O$85&gt;$E$11, TRUE)</formula>
    </cfRule>
  </conditionalFormatting>
  <conditionalFormatting sqref="I86">
    <cfRule type="expression" dxfId="56" priority="52">
      <formula>IF($O$86&gt;$E$12, TRUE)</formula>
    </cfRule>
  </conditionalFormatting>
  <conditionalFormatting sqref="R34:U82">
    <cfRule type="expression" dxfId="55" priority="51">
      <formula>IF(R34="л", TRUE, )</formula>
    </cfRule>
  </conditionalFormatting>
  <conditionalFormatting sqref="R34:U82">
    <cfRule type="expression" dxfId="54" priority="50">
      <formula>IF(R34="в", TRUE, )</formula>
    </cfRule>
  </conditionalFormatting>
  <conditionalFormatting sqref="R34:U82">
    <cfRule type="expression" dxfId="53" priority="49">
      <formula>IF(R34="л", "ЛОЖЬ", IF(R34="в", "ЛОЖЬ", IF(ISBLANK(R34), "ЛОЖЬ", TRUE)))</formula>
    </cfRule>
  </conditionalFormatting>
  <conditionalFormatting sqref="AB33:AE82">
    <cfRule type="expression" dxfId="52" priority="48">
      <formula>IF(AB33="л", TRUE, )</formula>
    </cfRule>
  </conditionalFormatting>
  <conditionalFormatting sqref="AB33:AE82">
    <cfRule type="expression" dxfId="51" priority="47">
      <formula>IF(AB33="в", TRUE, )</formula>
    </cfRule>
  </conditionalFormatting>
  <conditionalFormatting sqref="AB33:AE82">
    <cfRule type="expression" dxfId="50" priority="46">
      <formula>IF(AB33="л", "ЛОЖЬ", IF(AB33="в", "ЛОЖЬ", IF(ISBLANK(AB33), "ЛОЖЬ", TRUE)))</formula>
    </cfRule>
  </conditionalFormatting>
  <conditionalFormatting sqref="AG33:AJ82">
    <cfRule type="expression" dxfId="49" priority="45">
      <formula>IF(AG33="л", TRUE, )</formula>
    </cfRule>
  </conditionalFormatting>
  <conditionalFormatting sqref="AG33:AJ82">
    <cfRule type="expression" dxfId="48" priority="44">
      <formula>IF(AG33="в", TRUE, )</formula>
    </cfRule>
  </conditionalFormatting>
  <conditionalFormatting sqref="AG33:AJ82">
    <cfRule type="expression" dxfId="47" priority="43">
      <formula>IF(AG33="л", "ЛОЖЬ", IF(AG33="в", "ЛОЖЬ", IF(ISBLANK(AG33), "ЛОЖЬ", TRUE)))</formula>
    </cfRule>
  </conditionalFormatting>
  <conditionalFormatting sqref="AL33:AO82">
    <cfRule type="expression" dxfId="46" priority="42">
      <formula>IF(AL33="л", TRUE, )</formula>
    </cfRule>
  </conditionalFormatting>
  <conditionalFormatting sqref="AL33:AO82">
    <cfRule type="expression" dxfId="45" priority="41">
      <formula>IF(AL33="в", TRUE, )</formula>
    </cfRule>
  </conditionalFormatting>
  <conditionalFormatting sqref="AL33:AO82">
    <cfRule type="expression" dxfId="44" priority="40">
      <formula>IF(AL33="л", "ЛОЖЬ", IF(AL33="в", "ЛОЖЬ", IF(ISBLANK(AL33), "ЛОЖЬ", TRUE)))</formula>
    </cfRule>
  </conditionalFormatting>
  <conditionalFormatting sqref="AQ33:AT82">
    <cfRule type="expression" dxfId="43" priority="39">
      <formula>IF(AQ33="л", TRUE, )</formula>
    </cfRule>
  </conditionalFormatting>
  <conditionalFormatting sqref="AQ33:AT82">
    <cfRule type="expression" dxfId="42" priority="38">
      <formula>IF(AQ33="в", TRUE, )</formula>
    </cfRule>
  </conditionalFormatting>
  <conditionalFormatting sqref="AQ33:AT82">
    <cfRule type="expression" dxfId="41" priority="37">
      <formula>IF(AQ33="л", "ЛОЖЬ", IF(AQ33="в", "ЛОЖЬ", IF(ISBLANK(AQ33), "ЛОЖЬ", TRUE)))</formula>
    </cfRule>
  </conditionalFormatting>
  <conditionalFormatting sqref="AV33:AY82">
    <cfRule type="expression" dxfId="40" priority="36">
      <formula>IF(AV33="л", TRUE, )</formula>
    </cfRule>
  </conditionalFormatting>
  <conditionalFormatting sqref="AV33:AY82">
    <cfRule type="expression" dxfId="39" priority="35">
      <formula>IF(AV33="в", TRUE, )</formula>
    </cfRule>
  </conditionalFormatting>
  <conditionalFormatting sqref="AV33:AY82">
    <cfRule type="expression" dxfId="38" priority="34">
      <formula>IF(AV33="л", "ЛОЖЬ", IF(AV33="в", "ЛОЖЬ", IF(ISBLANK(AV33), "ЛОЖЬ", TRUE)))</formula>
    </cfRule>
  </conditionalFormatting>
  <conditionalFormatting sqref="BA33:BD82">
    <cfRule type="expression" dxfId="37" priority="33">
      <formula>IF(BA33="л", TRUE, )</formula>
    </cfRule>
  </conditionalFormatting>
  <conditionalFormatting sqref="BA33:BD82">
    <cfRule type="expression" dxfId="36" priority="32">
      <formula>IF(BA33="в", TRUE, )</formula>
    </cfRule>
  </conditionalFormatting>
  <conditionalFormatting sqref="BA33:BD82">
    <cfRule type="expression" dxfId="35" priority="31">
      <formula>IF(BA33="л", "ЛОЖЬ", IF(BA33="в", "ЛОЖЬ", IF(ISBLANK(BA33), "ЛОЖЬ", TRUE)))</formula>
    </cfRule>
  </conditionalFormatting>
  <conditionalFormatting sqref="BF33:BI82">
    <cfRule type="expression" dxfId="34" priority="30">
      <formula>IF(BF33="л", TRUE, )</formula>
    </cfRule>
  </conditionalFormatting>
  <conditionalFormatting sqref="BF33:BI82">
    <cfRule type="expression" dxfId="33" priority="29">
      <formula>IF(BF33="в", TRUE, )</formula>
    </cfRule>
  </conditionalFormatting>
  <conditionalFormatting sqref="BF33:BI82">
    <cfRule type="expression" dxfId="32" priority="28">
      <formula>IF(BF33="л", "ЛОЖЬ", IF(BF33="в", "ЛОЖЬ", IF(ISBLANK(BF33), "ЛОЖЬ", TRUE)))</formula>
    </cfRule>
  </conditionalFormatting>
  <conditionalFormatting sqref="BK33:BN82">
    <cfRule type="expression" dxfId="31" priority="27">
      <formula>IF(BK33="л", TRUE, )</formula>
    </cfRule>
  </conditionalFormatting>
  <conditionalFormatting sqref="BK33:BN82">
    <cfRule type="expression" dxfId="30" priority="26">
      <formula>IF(BK33="в", TRUE, )</formula>
    </cfRule>
  </conditionalFormatting>
  <conditionalFormatting sqref="BK33:BN82">
    <cfRule type="expression" dxfId="29" priority="25">
      <formula>IF(BK33="л", "ЛОЖЬ", IF(BK33="в", "ЛОЖЬ", IF(ISBLANK(BK33), "ЛОЖЬ", TRUE)))</formula>
    </cfRule>
  </conditionalFormatting>
  <conditionalFormatting sqref="BP33:BS82">
    <cfRule type="expression" dxfId="28" priority="24">
      <formula>IF(BP33="л", TRUE, )</formula>
    </cfRule>
  </conditionalFormatting>
  <conditionalFormatting sqref="BP33:BS82">
    <cfRule type="expression" dxfId="27" priority="23">
      <formula>IF(BP33="в", TRUE, )</formula>
    </cfRule>
  </conditionalFormatting>
  <conditionalFormatting sqref="BP33:BS82">
    <cfRule type="expression" dxfId="26" priority="22">
      <formula>IF(BP33="л", "ЛОЖЬ", IF(BP33="в", "ЛОЖЬ", IF(ISBLANK(BP33), "ЛОЖЬ", TRUE)))</formula>
    </cfRule>
  </conditionalFormatting>
  <conditionalFormatting sqref="BU33:BX82">
    <cfRule type="expression" dxfId="25" priority="21">
      <formula>IF(BU33="л", TRUE, )</formula>
    </cfRule>
  </conditionalFormatting>
  <conditionalFormatting sqref="BU33:BX82">
    <cfRule type="expression" dxfId="24" priority="20">
      <formula>IF(BU33="в", TRUE, )</formula>
    </cfRule>
  </conditionalFormatting>
  <conditionalFormatting sqref="BU33:BX82">
    <cfRule type="expression" dxfId="23" priority="19">
      <formula>IF(BU33="л", "ЛОЖЬ", IF(BU33="в", "ЛОЖЬ", IF(ISBLANK(BU33), "ЛОЖЬ", TRUE)))</formula>
    </cfRule>
  </conditionalFormatting>
  <conditionalFormatting sqref="BZ33:CC82">
    <cfRule type="expression" dxfId="22" priority="18">
      <formula>IF(BZ33="л", TRUE, )</formula>
    </cfRule>
  </conditionalFormatting>
  <conditionalFormatting sqref="BZ33:CC82">
    <cfRule type="expression" dxfId="21" priority="17">
      <formula>IF(BZ33="в", TRUE, )</formula>
    </cfRule>
  </conditionalFormatting>
  <conditionalFormatting sqref="BZ33:CC82">
    <cfRule type="expression" dxfId="20" priority="16">
      <formula>IF(BZ33="л", "ЛОЖЬ", IF(BZ33="в", "ЛОЖЬ", IF(ISBLANK(BZ33), "ЛОЖЬ", TRUE)))</formula>
    </cfRule>
  </conditionalFormatting>
  <conditionalFormatting sqref="CE33:CH82">
    <cfRule type="expression" dxfId="19" priority="15">
      <formula>IF(CE33="л", TRUE, )</formula>
    </cfRule>
  </conditionalFormatting>
  <conditionalFormatting sqref="CE33:CH82">
    <cfRule type="expression" dxfId="18" priority="14">
      <formula>IF(CE33="в", TRUE, )</formula>
    </cfRule>
  </conditionalFormatting>
  <conditionalFormatting sqref="CE33:CH82">
    <cfRule type="expression" dxfId="17" priority="13">
      <formula>IF(CE33="л", "ЛОЖЬ", IF(CE33="в", "ЛОЖЬ", IF(ISBLANK(CE33), "ЛОЖЬ", TRUE)))</formula>
    </cfRule>
  </conditionalFormatting>
  <conditionalFormatting sqref="CJ33:CM82">
    <cfRule type="expression" dxfId="16" priority="12">
      <formula>IF(CJ33="л", TRUE, )</formula>
    </cfRule>
  </conditionalFormatting>
  <conditionalFormatting sqref="CJ33:CM82">
    <cfRule type="expression" dxfId="15" priority="11">
      <formula>IF(CJ33="в", TRUE, )</formula>
    </cfRule>
  </conditionalFormatting>
  <conditionalFormatting sqref="CJ33:CM82">
    <cfRule type="expression" dxfId="14" priority="10">
      <formula>IF(CJ33="л", "ЛОЖЬ", IF(CJ33="в", "ЛОЖЬ", IF(ISBLANK(CJ33), "ЛОЖЬ", TRUE)))</formula>
    </cfRule>
  </conditionalFormatting>
  <conditionalFormatting sqref="CP33:CS82">
    <cfRule type="expression" dxfId="13" priority="9">
      <formula>IF(CP33="л", TRUE, )</formula>
    </cfRule>
  </conditionalFormatting>
  <conditionalFormatting sqref="CP33:CS82">
    <cfRule type="expression" dxfId="12" priority="8">
      <formula>IF(CP33="в", TRUE, )</formula>
    </cfRule>
  </conditionalFormatting>
  <conditionalFormatting sqref="CP33:CS82">
    <cfRule type="expression" dxfId="11" priority="7">
      <formula>IF(CP33="л", "ЛОЖЬ", IF(CP33="в", "ЛОЖЬ", IF(ISBLANK(CP33), "ЛОЖЬ", TRUE)))</formula>
    </cfRule>
  </conditionalFormatting>
  <conditionalFormatting sqref="CV33:CY82">
    <cfRule type="expression" dxfId="10" priority="6">
      <formula>IF(CV33="л", TRUE, )</formula>
    </cfRule>
  </conditionalFormatting>
  <conditionalFormatting sqref="CV33:CY82">
    <cfRule type="expression" dxfId="9" priority="5">
      <formula>IF(CV33="в", TRUE, )</formula>
    </cfRule>
  </conditionalFormatting>
  <conditionalFormatting sqref="CV33:CY82">
    <cfRule type="expression" dxfId="8" priority="4">
      <formula>IF(CV33="л", "ЛОЖЬ", IF(CV33="в", "ЛОЖЬ", IF(ISBLANK(CV33), "ЛОЖЬ", TRUE)))</formula>
    </cfRule>
  </conditionalFormatting>
  <conditionalFormatting sqref="DB33:DE82">
    <cfRule type="expression" dxfId="7" priority="3">
      <formula>IF(DB33="л", TRUE, )</formula>
    </cfRule>
  </conditionalFormatting>
  <conditionalFormatting sqref="DB33:DE82">
    <cfRule type="expression" dxfId="6" priority="2">
      <formula>IF(DB33="в", TRUE, )</formula>
    </cfRule>
  </conditionalFormatting>
  <conditionalFormatting sqref="DB33:DE82">
    <cfRule type="expression" dxfId="5" priority="1">
      <formula>IF(DB33="л", "ЛОЖЬ", IF(DB33="в", "ЛОЖЬ", IF(ISBLANK(DB33), "ЛОЖЬ", TRUE)))</formula>
    </cfRule>
  </conditionalFormatting>
  <pageMargins left="0.31496062874794006" right="0.31496062874794006" top="0.55118107795715332" bottom="0.31496062874794006" header="0" footer="0"/>
  <pageSetup paperSize="9" fitToWidth="0" fitToHeight="0" orientation="landscape"/>
  <headerFooter>
    <oddFooter>&amp;R&amp;8&amp;"Times New Roman,Regular"Стр. &amp;P из &amp;N&amp;12&amp;"-,Regular"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50"/>
  <sheetViews>
    <sheetView workbookViewId="0"/>
  </sheetViews>
  <sheetFormatPr defaultColWidth="9.140625" defaultRowHeight="15" x14ac:dyDescent="0.25"/>
  <cols>
    <col min="1" max="1" width="4" style="69" customWidth="1"/>
    <col min="2" max="14" width="6" style="69" customWidth="1"/>
    <col min="15" max="15" width="8.5703125" style="69" customWidth="1"/>
    <col min="16" max="26" width="1.5703125" style="69" customWidth="1"/>
    <col min="27" max="27" width="9.140625" style="69" bestFit="1" customWidth="1"/>
    <col min="28" max="16384" width="9.140625" style="69"/>
  </cols>
  <sheetData>
    <row r="1" spans="1:15" s="730" customFormat="1" x14ac:dyDescent="0.25">
      <c r="A1" s="1058" t="e">
        <f>#REF!</f>
        <v>#REF!</v>
      </c>
      <c r="B1" s="1058"/>
      <c r="C1" s="1058"/>
      <c r="D1" s="1058"/>
      <c r="E1" s="1058"/>
      <c r="F1" s="1058"/>
      <c r="G1" s="1058"/>
      <c r="H1" s="1058"/>
      <c r="I1" s="1058"/>
      <c r="J1" s="1058"/>
      <c r="K1" s="1058"/>
      <c r="L1" s="1058"/>
      <c r="M1" s="1058"/>
      <c r="N1" s="1058"/>
      <c r="O1" s="1058"/>
    </row>
    <row r="2" spans="1:15" s="730" customFormat="1" x14ac:dyDescent="0.25">
      <c r="A2" s="1058" t="e">
        <f>#REF!</f>
        <v>#REF!</v>
      </c>
      <c r="B2" s="1058"/>
      <c r="C2" s="1058"/>
      <c r="D2" s="1058"/>
      <c r="E2" s="1058"/>
      <c r="F2" s="1058"/>
      <c r="G2" s="1058"/>
      <c r="H2" s="1058"/>
      <c r="I2" s="1058"/>
      <c r="J2" s="1058"/>
      <c r="K2" s="1058"/>
      <c r="L2" s="1058"/>
      <c r="M2" s="1058"/>
      <c r="N2" s="1058"/>
      <c r="O2" s="1058"/>
    </row>
    <row r="3" spans="1:15" s="730" customFormat="1" x14ac:dyDescent="0.25">
      <c r="A3" s="1058" t="e">
        <f>#REF!</f>
        <v>#REF!</v>
      </c>
      <c r="B3" s="1058"/>
      <c r="C3" s="1058"/>
      <c r="D3" s="1058"/>
      <c r="E3" s="1058"/>
      <c r="F3" s="1058"/>
      <c r="G3" s="1058"/>
      <c r="H3" s="1058"/>
      <c r="I3" s="1058"/>
      <c r="J3" s="1058"/>
      <c r="K3" s="1058"/>
      <c r="L3" s="1058"/>
      <c r="M3" s="1058"/>
      <c r="N3" s="1058"/>
      <c r="O3" s="1058"/>
    </row>
    <row r="4" spans="1:15" s="730" customFormat="1" ht="12.75" customHeight="1" x14ac:dyDescent="0.25">
      <c r="A4" s="2"/>
      <c r="B4" s="3"/>
      <c r="C4" s="3"/>
      <c r="D4" s="4"/>
      <c r="E4" s="4"/>
      <c r="F4" s="3"/>
      <c r="G4" s="3"/>
      <c r="H4" s="5"/>
      <c r="I4" s="5"/>
      <c r="J4" s="4"/>
      <c r="K4" s="6"/>
    </row>
    <row r="5" spans="1:15" s="730" customFormat="1" ht="12.75" customHeight="1" x14ac:dyDescent="0.25">
      <c r="A5" s="2"/>
      <c r="B5" s="3"/>
      <c r="C5" s="3"/>
      <c r="D5" s="4"/>
      <c r="E5" s="4"/>
      <c r="F5" s="3"/>
      <c r="G5" s="3"/>
      <c r="H5" s="5"/>
      <c r="I5" s="5"/>
      <c r="J5" s="4"/>
      <c r="K5" s="6"/>
    </row>
    <row r="6" spans="1:15" s="730" customFormat="1" ht="12.75" customHeight="1" x14ac:dyDescent="0.25">
      <c r="A6" s="2"/>
      <c r="B6" s="3"/>
      <c r="C6" s="3"/>
      <c r="D6" s="4"/>
      <c r="E6" s="4"/>
      <c r="F6" s="3"/>
      <c r="G6" s="3"/>
      <c r="H6" s="5"/>
      <c r="I6" s="5"/>
      <c r="J6" s="4"/>
      <c r="K6" s="6"/>
    </row>
    <row r="7" spans="1:15" s="730" customFormat="1" ht="12.75" customHeight="1" x14ac:dyDescent="0.25">
      <c r="A7" s="2"/>
      <c r="B7" s="3"/>
      <c r="C7" s="3"/>
      <c r="D7" s="4"/>
      <c r="E7" s="4"/>
      <c r="F7" s="3"/>
      <c r="G7" s="3"/>
      <c r="H7" s="5"/>
      <c r="I7" s="5"/>
      <c r="J7" s="4"/>
      <c r="K7" s="6"/>
    </row>
    <row r="8" spans="1:15" s="730" customFormat="1" ht="12.75" customHeight="1" x14ac:dyDescent="0.25">
      <c r="A8" s="2"/>
      <c r="B8" s="3"/>
      <c r="C8" s="3"/>
      <c r="D8" s="4"/>
      <c r="E8" s="4"/>
      <c r="F8" s="3"/>
      <c r="G8" s="3"/>
      <c r="H8" s="5"/>
      <c r="I8" s="5"/>
      <c r="J8" s="4"/>
      <c r="K8" s="6"/>
    </row>
    <row r="9" spans="1:15" s="730" customFormat="1" ht="12.75" customHeight="1" x14ac:dyDescent="0.25">
      <c r="A9" s="2"/>
      <c r="B9" s="3"/>
      <c r="C9" s="3"/>
      <c r="D9" s="4"/>
      <c r="E9" s="4"/>
      <c r="F9" s="3"/>
      <c r="G9" s="3"/>
      <c r="H9" s="5"/>
      <c r="I9" s="5"/>
      <c r="J9" s="4"/>
      <c r="K9" s="6"/>
    </row>
    <row r="10" spans="1:15" s="730" customFormat="1" ht="12.75" customHeight="1" x14ac:dyDescent="0.25">
      <c r="A10" s="2"/>
      <c r="B10" s="3"/>
      <c r="C10" s="3"/>
      <c r="D10" s="4"/>
      <c r="E10" s="4"/>
      <c r="F10" s="3"/>
      <c r="G10" s="3"/>
      <c r="H10" s="5"/>
      <c r="I10" s="5"/>
      <c r="J10" s="4"/>
      <c r="K10" s="6"/>
    </row>
    <row r="11" spans="1:15" s="730" customFormat="1" ht="12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5" s="730" customFormat="1" ht="12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5" s="730" customFormat="1" ht="12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5" s="730" customFormat="1" ht="12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5" s="730" customFormat="1" ht="30.75" customHeight="1" x14ac:dyDescent="0.25">
      <c r="A15" s="4804" t="s">
        <v>732</v>
      </c>
      <c r="B15" s="4804"/>
      <c r="C15" s="4804"/>
      <c r="D15" s="4804"/>
      <c r="E15" s="4804"/>
      <c r="F15" s="4804"/>
      <c r="G15" s="4804"/>
      <c r="H15" s="4804"/>
      <c r="I15" s="4804"/>
      <c r="J15" s="4804"/>
      <c r="K15" s="4804"/>
      <c r="L15" s="4804"/>
      <c r="M15" s="4804"/>
      <c r="N15" s="4804"/>
      <c r="O15" s="4804"/>
    </row>
    <row r="16" spans="1:15" s="730" customFormat="1" ht="25.5" x14ac:dyDescent="0.25">
      <c r="A16" s="4805" t="s">
        <v>733</v>
      </c>
      <c r="B16" s="4805"/>
      <c r="C16" s="4805"/>
      <c r="D16" s="4805"/>
      <c r="E16" s="4805"/>
      <c r="F16" s="4805"/>
      <c r="G16" s="4805"/>
      <c r="H16" s="4805"/>
      <c r="I16" s="4805"/>
      <c r="J16" s="4805"/>
      <c r="K16" s="4805"/>
      <c r="L16" s="4805"/>
      <c r="M16" s="4805"/>
      <c r="N16" s="4805"/>
      <c r="O16" s="4805"/>
    </row>
    <row r="17" spans="1:15" s="730" customFormat="1" ht="12.75" customHeight="1" x14ac:dyDescent="0.25">
      <c r="A17" s="4806"/>
      <c r="B17" s="4806"/>
      <c r="C17" s="4806"/>
      <c r="D17" s="4806"/>
      <c r="E17" s="4806"/>
      <c r="F17" s="4806"/>
      <c r="G17" s="4806"/>
      <c r="H17" s="4806"/>
      <c r="I17" s="4806"/>
      <c r="J17" s="4806"/>
      <c r="K17" s="4806"/>
      <c r="L17" s="4806"/>
      <c r="M17" s="4806"/>
      <c r="N17" s="4806"/>
      <c r="O17" s="4806"/>
    </row>
    <row r="18" spans="1:15" s="730" customFormat="1" ht="12.75" customHeight="1" x14ac:dyDescent="0.25">
      <c r="A18" s="4806"/>
      <c r="B18" s="4806"/>
      <c r="C18" s="4806"/>
      <c r="D18" s="4806"/>
      <c r="E18" s="4806"/>
      <c r="F18" s="4806"/>
      <c r="G18" s="4806"/>
      <c r="H18" s="4806"/>
      <c r="I18" s="4806"/>
      <c r="J18" s="4806"/>
      <c r="K18" s="4806"/>
      <c r="L18" s="4806"/>
      <c r="M18" s="4806"/>
      <c r="N18" s="4806"/>
      <c r="O18" s="4806"/>
    </row>
    <row r="19" spans="1:15" s="730" customFormat="1" ht="42" customHeight="1" x14ac:dyDescent="0.25">
      <c r="A19" s="4807" t="e">
        <f>#REF!</f>
        <v>#REF!</v>
      </c>
      <c r="B19" s="4807"/>
      <c r="C19" s="4807"/>
      <c r="D19" s="4807"/>
      <c r="E19" s="4807"/>
      <c r="F19" s="4807"/>
      <c r="G19" s="4807"/>
      <c r="H19" s="4807"/>
      <c r="I19" s="4807"/>
      <c r="J19" s="4807"/>
      <c r="K19" s="4807"/>
      <c r="L19" s="4807"/>
      <c r="M19" s="4807"/>
      <c r="N19" s="4807"/>
      <c r="O19" s="4807"/>
    </row>
    <row r="20" spans="1:15" s="730" customFormat="1" ht="12.75" customHeigh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5" s="730" customFormat="1" ht="22.5" customHeight="1" x14ac:dyDescent="0.25">
      <c r="A21" s="4808" t="e">
        <f>#REF!</f>
        <v>#REF!</v>
      </c>
      <c r="B21" s="4808"/>
      <c r="C21" s="4808"/>
      <c r="D21" s="4808"/>
      <c r="E21" s="4808"/>
      <c r="F21" s="4808"/>
      <c r="G21" s="4808"/>
      <c r="H21" s="4808"/>
      <c r="I21" s="4808"/>
      <c r="J21" s="4808"/>
      <c r="K21" s="4808"/>
      <c r="L21" s="4808"/>
      <c r="M21" s="4808"/>
      <c r="N21" s="4808"/>
      <c r="O21" s="4808"/>
    </row>
    <row r="22" spans="1:15" s="730" customFormat="1" ht="12.75" customHeight="1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5" s="730" customFormat="1" ht="12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6" spans="1:15" s="730" customFormat="1" ht="12.75" customHeight="1" x14ac:dyDescent="0.25">
      <c r="A26" s="2"/>
      <c r="B26" s="3"/>
      <c r="C26" s="3"/>
      <c r="D26" s="4"/>
      <c r="E26" s="4"/>
      <c r="F26" s="3"/>
      <c r="G26" s="3"/>
      <c r="H26" s="5"/>
      <c r="I26" s="5"/>
      <c r="J26" s="4"/>
      <c r="K26" s="6"/>
    </row>
    <row r="27" spans="1:15" s="730" customFormat="1" ht="12.75" customHeight="1" x14ac:dyDescent="0.25">
      <c r="A27" s="2"/>
      <c r="B27" s="3"/>
      <c r="C27" s="3"/>
      <c r="D27" s="4"/>
      <c r="E27" s="4"/>
      <c r="F27" s="3"/>
      <c r="G27" s="3"/>
      <c r="H27" s="5"/>
      <c r="I27" s="5"/>
      <c r="J27" s="4"/>
      <c r="K27" s="6"/>
    </row>
    <row r="28" spans="1:15" s="730" customFormat="1" ht="12.75" customHeight="1" x14ac:dyDescent="0.25">
      <c r="A28" s="2"/>
      <c r="B28" s="3"/>
      <c r="C28" s="3"/>
      <c r="D28" s="4"/>
      <c r="E28" s="4"/>
      <c r="F28" s="3"/>
      <c r="G28" s="3"/>
      <c r="H28" s="5"/>
      <c r="I28" s="5"/>
      <c r="J28" s="4"/>
      <c r="K28" s="6"/>
    </row>
    <row r="29" spans="1:15" s="730" customFormat="1" ht="12.75" customHeight="1" x14ac:dyDescent="0.25">
      <c r="A29" s="2"/>
      <c r="B29" s="3"/>
      <c r="C29" s="3"/>
      <c r="D29" s="4"/>
      <c r="E29" s="4"/>
      <c r="F29" s="3"/>
      <c r="G29" s="3"/>
      <c r="H29" s="5"/>
      <c r="I29" s="5"/>
      <c r="J29" s="4"/>
      <c r="K29" s="6"/>
    </row>
    <row r="30" spans="1:15" s="730" customFormat="1" ht="12.75" customHeight="1" x14ac:dyDescent="0.25">
      <c r="A30" s="2"/>
      <c r="B30" s="3"/>
      <c r="C30" s="3"/>
      <c r="D30" s="4"/>
      <c r="E30" s="4"/>
      <c r="F30" s="3"/>
      <c r="G30" s="3"/>
      <c r="H30" s="5"/>
      <c r="I30" s="5"/>
      <c r="J30" s="4"/>
      <c r="K30" s="6"/>
    </row>
    <row r="31" spans="1:15" s="730" customFormat="1" ht="4.5" hidden="1" customHeight="1" x14ac:dyDescent="0.25">
      <c r="A31" s="2"/>
      <c r="B31" s="3"/>
      <c r="C31" s="3"/>
      <c r="D31" s="4"/>
      <c r="E31" s="4"/>
      <c r="F31" s="3"/>
      <c r="G31" s="3"/>
      <c r="H31" s="5"/>
      <c r="I31" s="5"/>
      <c r="J31" s="4"/>
      <c r="K31" s="6"/>
    </row>
    <row r="32" spans="1:15" s="730" customFormat="1" ht="12.75" customHeight="1" x14ac:dyDescent="0.25">
      <c r="A32" s="2"/>
      <c r="B32" s="3"/>
      <c r="C32" s="3"/>
      <c r="D32" s="4"/>
      <c r="E32" s="4"/>
      <c r="F32" s="3"/>
      <c r="G32" s="3"/>
      <c r="H32" s="5"/>
      <c r="I32" s="5"/>
      <c r="J32" s="4"/>
      <c r="K32" s="6"/>
    </row>
    <row r="33" spans="1:11" s="730" customFormat="1" ht="12.75" customHeight="1" x14ac:dyDescent="0.25">
      <c r="A33" s="2"/>
      <c r="B33" s="3"/>
      <c r="C33" s="3"/>
      <c r="D33" s="4"/>
      <c r="E33" s="4"/>
      <c r="F33" s="3"/>
      <c r="G33" s="3"/>
      <c r="H33" s="5"/>
      <c r="I33" s="5"/>
      <c r="J33" s="4"/>
      <c r="K33" s="6"/>
    </row>
    <row r="34" spans="1:11" s="730" customFormat="1" ht="12.75" customHeight="1" x14ac:dyDescent="0.25">
      <c r="A34" s="2"/>
      <c r="B34" s="3"/>
      <c r="C34" s="3"/>
      <c r="D34" s="4"/>
      <c r="E34" s="4"/>
      <c r="F34" s="3"/>
      <c r="G34" s="3"/>
      <c r="H34" s="5"/>
      <c r="I34" s="5"/>
      <c r="J34" s="4"/>
      <c r="K34" s="6"/>
    </row>
    <row r="35" spans="1:11" s="730" customFormat="1" ht="12.75" customHeight="1" x14ac:dyDescent="0.25">
      <c r="A35" s="2"/>
      <c r="B35" s="3"/>
      <c r="C35" s="3"/>
      <c r="D35" s="4"/>
      <c r="E35" s="4"/>
      <c r="F35" s="3"/>
      <c r="G35" s="3"/>
      <c r="H35" s="5"/>
      <c r="I35" s="5"/>
      <c r="J35" s="4"/>
      <c r="K35" s="6"/>
    </row>
    <row r="36" spans="1:11" s="730" customFormat="1" ht="12.75" customHeight="1" x14ac:dyDescent="0.25">
      <c r="A36" s="2"/>
      <c r="B36" s="3"/>
      <c r="C36" s="3"/>
      <c r="D36" s="4"/>
      <c r="E36" s="4"/>
      <c r="F36" s="3"/>
      <c r="G36" s="3"/>
      <c r="H36" s="5"/>
      <c r="I36" s="5"/>
      <c r="J36" s="4"/>
      <c r="K36" s="6"/>
    </row>
    <row r="37" spans="1:11" s="730" customFormat="1" ht="12.75" customHeight="1" x14ac:dyDescent="0.25">
      <c r="A37" s="2"/>
      <c r="B37" s="3"/>
      <c r="C37" s="3"/>
      <c r="D37" s="4"/>
      <c r="E37" s="4"/>
      <c r="F37" s="3"/>
      <c r="G37" s="3"/>
      <c r="H37" s="5"/>
      <c r="I37" s="5"/>
      <c r="J37" s="4"/>
      <c r="K37" s="6"/>
    </row>
    <row r="38" spans="1:11" s="730" customFormat="1" ht="12.75" customHeight="1" x14ac:dyDescent="0.25">
      <c r="A38" s="2"/>
      <c r="B38" s="3"/>
      <c r="C38" s="3"/>
      <c r="D38" s="4"/>
      <c r="E38" s="4"/>
      <c r="F38" s="3"/>
      <c r="G38" s="3"/>
      <c r="H38" s="5"/>
      <c r="I38" s="5"/>
      <c r="J38" s="4"/>
      <c r="K38" s="6"/>
    </row>
    <row r="39" spans="1:11" s="730" customFormat="1" ht="12.75" customHeight="1" x14ac:dyDescent="0.25">
      <c r="A39" s="2"/>
      <c r="B39" s="3"/>
      <c r="C39" s="3"/>
      <c r="D39" s="4"/>
      <c r="E39" s="4"/>
      <c r="F39" s="3"/>
      <c r="G39" s="3"/>
      <c r="H39" s="5"/>
      <c r="I39" s="5"/>
      <c r="J39" s="4"/>
      <c r="K39" s="6"/>
    </row>
    <row r="40" spans="1:11" s="730" customFormat="1" ht="12.75" customHeight="1" x14ac:dyDescent="0.25">
      <c r="A40" s="2"/>
      <c r="B40" s="3"/>
      <c r="C40" s="3"/>
      <c r="D40" s="4"/>
      <c r="E40" s="4"/>
      <c r="F40" s="3"/>
      <c r="G40" s="3"/>
      <c r="H40" s="5"/>
      <c r="I40" s="5"/>
      <c r="J40" s="4"/>
      <c r="K40" s="6"/>
    </row>
    <row r="41" spans="1:11" s="730" customFormat="1" ht="12.75" customHeight="1" x14ac:dyDescent="0.25">
      <c r="A41" s="2"/>
      <c r="B41" s="3"/>
      <c r="C41" s="3"/>
      <c r="D41" s="4"/>
      <c r="E41" s="4"/>
      <c r="F41" s="3"/>
      <c r="G41" s="3"/>
      <c r="H41" s="5"/>
      <c r="I41" s="5"/>
      <c r="J41" s="4"/>
      <c r="K41" s="6"/>
    </row>
    <row r="42" spans="1:11" s="730" customFormat="1" ht="12.75" customHeight="1" x14ac:dyDescent="0.25">
      <c r="A42" s="2"/>
      <c r="B42" s="3"/>
      <c r="C42" s="3"/>
      <c r="D42" s="4"/>
      <c r="E42" s="4"/>
      <c r="F42" s="3"/>
      <c r="G42" s="3"/>
      <c r="H42" s="5"/>
      <c r="I42" s="5"/>
      <c r="J42" s="4"/>
      <c r="K42" s="6"/>
    </row>
    <row r="43" spans="1:11" s="730" customFormat="1" ht="12.75" customHeight="1" x14ac:dyDescent="0.25">
      <c r="A43" s="2"/>
      <c r="B43" s="3"/>
      <c r="C43" s="3"/>
      <c r="D43" s="4"/>
      <c r="E43" s="4"/>
      <c r="F43" s="3"/>
      <c r="G43" s="3"/>
      <c r="H43" s="5"/>
      <c r="I43" s="5"/>
      <c r="J43" s="4"/>
      <c r="K43" s="6"/>
    </row>
    <row r="44" spans="1:11" s="730" customFormat="1" ht="12.75" customHeight="1" x14ac:dyDescent="0.25">
      <c r="A44" s="2"/>
      <c r="B44" s="3"/>
      <c r="C44" s="3"/>
      <c r="D44" s="4"/>
      <c r="E44" s="4"/>
      <c r="F44" s="3"/>
      <c r="G44" s="3"/>
      <c r="H44" s="5"/>
      <c r="I44" s="5"/>
      <c r="J44" s="4"/>
      <c r="K44" s="6"/>
    </row>
    <row r="45" spans="1:11" s="730" customFormat="1" ht="12.75" customHeight="1" x14ac:dyDescent="0.25">
      <c r="A45" s="2"/>
      <c r="B45" s="3"/>
      <c r="C45" s="3"/>
      <c r="D45" s="4"/>
      <c r="E45" s="4"/>
      <c r="F45" s="3"/>
      <c r="G45" s="3"/>
      <c r="H45" s="5"/>
      <c r="I45" s="5"/>
      <c r="J45" s="4"/>
      <c r="K45" s="6"/>
    </row>
    <row r="46" spans="1:11" s="730" customFormat="1" ht="12.75" customHeight="1" x14ac:dyDescent="0.25">
      <c r="A46" s="2"/>
      <c r="B46" s="3"/>
      <c r="C46" s="3"/>
      <c r="D46" s="4"/>
      <c r="E46" s="4"/>
      <c r="F46" s="3"/>
      <c r="G46" s="3"/>
      <c r="H46" s="5"/>
      <c r="I46" s="5"/>
      <c r="J46" s="4"/>
      <c r="K46" s="6"/>
    </row>
    <row r="47" spans="1:11" s="730" customFormat="1" ht="12.75" customHeight="1" x14ac:dyDescent="0.25">
      <c r="A47" s="2"/>
      <c r="B47" s="3"/>
      <c r="C47" s="3"/>
      <c r="D47" s="4"/>
      <c r="E47" s="4"/>
      <c r="F47" s="3"/>
      <c r="G47" s="3"/>
      <c r="H47" s="5"/>
      <c r="I47" s="5"/>
      <c r="J47" s="4"/>
      <c r="K47" s="6"/>
    </row>
    <row r="48" spans="1:11" s="730" customFormat="1" ht="12.75" customHeight="1" x14ac:dyDescent="0.25">
      <c r="A48" s="2"/>
      <c r="B48" s="3"/>
      <c r="C48" s="3"/>
      <c r="D48" s="4"/>
      <c r="E48" s="4"/>
      <c r="F48" s="3"/>
      <c r="G48" s="3"/>
      <c r="H48" s="5"/>
      <c r="I48" s="5"/>
      <c r="J48" s="4"/>
      <c r="K48" s="6"/>
    </row>
    <row r="49" spans="1:16" s="730" customFormat="1" ht="12.75" customHeight="1" x14ac:dyDescent="0.25">
      <c r="A49" s="2"/>
      <c r="B49" s="3"/>
      <c r="C49" s="3"/>
      <c r="D49" s="4"/>
      <c r="E49" s="4"/>
      <c r="F49" s="3"/>
      <c r="G49" s="3"/>
      <c r="H49" s="5"/>
      <c r="I49" s="5"/>
      <c r="J49" s="4"/>
      <c r="K49" s="6"/>
    </row>
    <row r="50" spans="1:16" s="730" customFormat="1" ht="12.75" customHeight="1" x14ac:dyDescent="0.25">
      <c r="A50" s="8"/>
      <c r="B50" s="9"/>
      <c r="C50" s="10"/>
      <c r="D50" s="10"/>
      <c r="E50" s="10"/>
      <c r="F50" s="10"/>
      <c r="G50" s="10"/>
      <c r="H50" s="9"/>
      <c r="I50" s="731"/>
      <c r="J50" s="9"/>
      <c r="K50" s="12"/>
    </row>
    <row r="51" spans="1:16" s="730" customFormat="1" ht="12.75" customHeight="1" x14ac:dyDescent="0.25">
      <c r="A51" s="2"/>
      <c r="B51" s="3"/>
      <c r="C51" s="3"/>
      <c r="D51" s="4"/>
      <c r="E51" s="4"/>
      <c r="F51" s="3"/>
      <c r="G51" s="3"/>
      <c r="H51" s="5"/>
      <c r="I51" s="5"/>
      <c r="J51" s="4"/>
      <c r="K51" s="6"/>
    </row>
    <row r="52" spans="1:16" s="730" customFormat="1" ht="32.25" customHeight="1" x14ac:dyDescent="0.25">
      <c r="A52" s="1072" t="e">
        <f>#REF!</f>
        <v>#REF!</v>
      </c>
      <c r="B52" s="1072"/>
      <c r="C52" s="1072"/>
      <c r="D52" s="1072"/>
      <c r="E52" s="1072"/>
      <c r="F52" s="1072"/>
      <c r="G52" s="1072"/>
      <c r="H52" s="1072"/>
      <c r="I52" s="1072"/>
      <c r="J52" s="1072"/>
      <c r="K52" s="1072"/>
      <c r="L52" s="1072"/>
      <c r="M52" s="1072"/>
      <c r="N52" s="1072"/>
      <c r="O52" s="1072"/>
    </row>
    <row r="53" spans="1:16" s="730" customFormat="1" ht="15.75" customHeight="1" x14ac:dyDescent="0.25">
      <c r="A53" s="1073" t="e">
        <f>#REF!</f>
        <v>#REF!</v>
      </c>
      <c r="B53" s="1073"/>
      <c r="C53" s="1073"/>
      <c r="D53" s="1073"/>
      <c r="E53" s="1073"/>
      <c r="F53" s="1073"/>
      <c r="G53" s="1073"/>
      <c r="H53" s="1073"/>
      <c r="I53" s="1073"/>
      <c r="J53" s="1073"/>
      <c r="K53" s="1073"/>
      <c r="L53" s="1073"/>
      <c r="M53" s="1073"/>
      <c r="N53" s="1073"/>
      <c r="O53" s="1073"/>
    </row>
    <row r="54" spans="1:16" ht="18.75" x14ac:dyDescent="0.3">
      <c r="A54" s="1074" t="s">
        <v>732</v>
      </c>
      <c r="B54" s="1074"/>
      <c r="C54" s="1074"/>
      <c r="D54" s="1074"/>
      <c r="E54" s="1074"/>
      <c r="F54" s="1074"/>
      <c r="G54" s="1074"/>
      <c r="H54" s="1074"/>
      <c r="I54" s="1074"/>
      <c r="J54" s="1074"/>
      <c r="K54" s="1074"/>
      <c r="L54" s="1074"/>
      <c r="M54" s="1074"/>
      <c r="N54" s="1074"/>
      <c r="O54" s="1074"/>
    </row>
    <row r="55" spans="1:16" s="119" customFormat="1" ht="33" customHeight="1" x14ac:dyDescent="0.25">
      <c r="A55" s="4977" t="s">
        <v>734</v>
      </c>
      <c r="B55" s="4977"/>
      <c r="C55" s="4977"/>
      <c r="D55" s="4977"/>
      <c r="E55" s="4977"/>
      <c r="F55" s="4977"/>
      <c r="G55" s="4977"/>
      <c r="H55" s="4977"/>
      <c r="I55" s="4978" t="e">
        <f>A21</f>
        <v>#REF!</v>
      </c>
      <c r="J55" s="4978"/>
      <c r="K55" s="4978"/>
      <c r="L55" s="4978"/>
      <c r="M55" s="4978"/>
      <c r="N55" s="4978"/>
      <c r="O55" s="4978"/>
    </row>
    <row r="56" spans="1:16" s="115" customFormat="1" ht="15.75" x14ac:dyDescent="0.25">
      <c r="A56" s="732"/>
    </row>
    <row r="57" spans="1:16" s="115" customFormat="1" ht="15.75" x14ac:dyDescent="0.25">
      <c r="B57" s="732" t="s">
        <v>735</v>
      </c>
    </row>
    <row r="58" spans="1:16" s="115" customFormat="1" ht="15.75" x14ac:dyDescent="0.25">
      <c r="A58" s="114" t="s">
        <v>736</v>
      </c>
      <c r="B58" s="1112" t="s">
        <v>737</v>
      </c>
      <c r="C58" s="1112"/>
      <c r="D58" s="1112"/>
      <c r="E58" s="1112"/>
      <c r="F58" s="4816" t="e">
        <f>A53</f>
        <v>#REF!</v>
      </c>
      <c r="G58" s="4816"/>
      <c r="H58" s="4816"/>
      <c r="I58" s="4816"/>
      <c r="J58" s="4816"/>
      <c r="K58" s="4816"/>
      <c r="L58" s="4816"/>
      <c r="M58" s="4816"/>
      <c r="N58" s="4816"/>
      <c r="O58" s="4816"/>
      <c r="P58" s="4816"/>
    </row>
    <row r="59" spans="1:16" s="115" customFormat="1" ht="15.75" x14ac:dyDescent="0.25">
      <c r="A59" s="114" t="s">
        <v>738</v>
      </c>
    </row>
    <row r="60" spans="1:16" s="115" customFormat="1" ht="15.75" x14ac:dyDescent="0.25">
      <c r="A60" s="114" t="s">
        <v>739</v>
      </c>
      <c r="B60" s="1112" t="s">
        <v>740</v>
      </c>
      <c r="C60" s="1112"/>
      <c r="D60" s="1112"/>
      <c r="E60" s="1112"/>
      <c r="F60" s="1112"/>
      <c r="G60" s="1112"/>
      <c r="H60" s="1112"/>
      <c r="I60" s="4815" t="e">
        <f>A52</f>
        <v>#REF!</v>
      </c>
      <c r="J60" s="4815"/>
      <c r="K60" s="4815"/>
      <c r="L60" s="4815"/>
      <c r="M60" s="4815"/>
      <c r="N60" s="4815"/>
      <c r="O60" s="4815"/>
    </row>
    <row r="61" spans="1:16" s="115" customFormat="1" ht="15.75" x14ac:dyDescent="0.25">
      <c r="A61" s="114"/>
    </row>
    <row r="62" spans="1:16" s="115" customFormat="1" ht="15.75" x14ac:dyDescent="0.25">
      <c r="A62" s="114" t="s">
        <v>741</v>
      </c>
      <c r="B62" s="1112" t="s">
        <v>742</v>
      </c>
      <c r="C62" s="1112"/>
      <c r="D62" s="1112"/>
      <c r="E62" s="1112"/>
      <c r="F62" s="1112"/>
      <c r="G62" s="1112"/>
      <c r="H62" s="1112"/>
      <c r="I62" s="733" t="e">
        <f>A52</f>
        <v>#REF!</v>
      </c>
    </row>
    <row r="63" spans="1:16" s="115" customFormat="1" ht="15.75" x14ac:dyDescent="0.25">
      <c r="A63" s="114" t="s">
        <v>454</v>
      </c>
    </row>
    <row r="64" spans="1:16" s="115" customFormat="1" ht="19.5" x14ac:dyDescent="0.35">
      <c r="A64" s="114" t="s">
        <v>743</v>
      </c>
      <c r="B64" s="115" t="s">
        <v>744</v>
      </c>
      <c r="H64" s="126" t="e">
        <f>E66+G67</f>
        <v>#REF!</v>
      </c>
      <c r="I64" s="115" t="s">
        <v>745</v>
      </c>
      <c r="J64" s="120"/>
      <c r="K64" s="115" t="s">
        <v>746</v>
      </c>
    </row>
    <row r="65" spans="1:19" s="115" customFormat="1" ht="15.75" x14ac:dyDescent="0.25">
      <c r="A65" s="114"/>
    </row>
    <row r="66" spans="1:19" s="115" customFormat="1" ht="19.5" x14ac:dyDescent="0.35">
      <c r="A66" s="114"/>
      <c r="B66" s="1112" t="s">
        <v>747</v>
      </c>
      <c r="C66" s="1112"/>
      <c r="D66" s="1112"/>
      <c r="E66" s="126" t="e">
        <f>I66+L66</f>
        <v>#REF!</v>
      </c>
      <c r="F66" s="1112" t="s">
        <v>748</v>
      </c>
      <c r="G66" s="1112"/>
      <c r="H66" s="1112"/>
      <c r="I66" s="126" t="e">
        <f>COUNTIF(#REF!, "М")</f>
        <v>#REF!</v>
      </c>
      <c r="J66" s="4006" t="s">
        <v>749</v>
      </c>
      <c r="K66" s="4006"/>
      <c r="L66" s="126" t="e">
        <f>COUNTIF(#REF!, "Ж")</f>
        <v>#REF!</v>
      </c>
      <c r="M66" s="115" t="s">
        <v>583</v>
      </c>
    </row>
    <row r="67" spans="1:19" s="115" customFormat="1" ht="19.5" x14ac:dyDescent="0.35">
      <c r="B67" s="1112" t="s">
        <v>750</v>
      </c>
      <c r="C67" s="1112"/>
      <c r="D67" s="1112"/>
      <c r="E67" s="1112"/>
      <c r="F67" s="1112"/>
      <c r="G67" s="126" t="e">
        <f>COUNTIF(#REF!, "Тренер-представитель")</f>
        <v>#REF!</v>
      </c>
      <c r="H67" s="115" t="s">
        <v>751</v>
      </c>
    </row>
    <row r="68" spans="1:19" s="115" customFormat="1" ht="15.75" x14ac:dyDescent="0.25">
      <c r="A68" s="114"/>
    </row>
    <row r="69" spans="1:19" s="115" customFormat="1" ht="19.5" x14ac:dyDescent="0.35">
      <c r="A69" s="114" t="s">
        <v>752</v>
      </c>
      <c r="B69" s="1112" t="s">
        <v>753</v>
      </c>
      <c r="C69" s="1112"/>
      <c r="D69" s="1112"/>
      <c r="E69" s="1112"/>
      <c r="F69" s="1112"/>
      <c r="G69" s="126">
        <f>COUNTA(#REF!)</f>
        <v>1</v>
      </c>
      <c r="H69" s="4006" t="s">
        <v>754</v>
      </c>
      <c r="I69" s="4006"/>
      <c r="J69" s="4006"/>
      <c r="K69" s="4006"/>
      <c r="L69" s="4006"/>
      <c r="M69" s="734" t="e">
        <f>G69-COUNTIF(#REF!, "Красноярск")</f>
        <v>#REF!</v>
      </c>
      <c r="N69" s="115" t="s">
        <v>256</v>
      </c>
    </row>
    <row r="70" spans="1:19" s="115" customFormat="1" ht="20.25" customHeight="1" x14ac:dyDescent="0.35">
      <c r="A70" s="114" t="s">
        <v>755</v>
      </c>
      <c r="J70" s="137" t="s">
        <v>756</v>
      </c>
      <c r="K70" s="126" t="e">
        <f>COUNTIF(#REF!, "МК")</f>
        <v>#REF!</v>
      </c>
      <c r="L70" s="115" t="s">
        <v>757</v>
      </c>
      <c r="M70" s="735" t="e">
        <f>COUNTIF(#REF!, "ВК")</f>
        <v>#REF!</v>
      </c>
      <c r="N70" s="115" t="s">
        <v>758</v>
      </c>
      <c r="O70" s="126" t="e">
        <f>COUNTIF(#REF!, "I")</f>
        <v>#REF!</v>
      </c>
    </row>
    <row r="71" spans="1:19" s="115" customFormat="1" ht="19.5" x14ac:dyDescent="0.35">
      <c r="A71" s="126" t="e">
        <f>G69-K70-M70-O70</f>
        <v>#REF!</v>
      </c>
      <c r="B71" s="115" t="s">
        <v>759</v>
      </c>
    </row>
    <row r="72" spans="1:19" s="115" customFormat="1" ht="15.75" x14ac:dyDescent="0.25">
      <c r="A72" s="114"/>
    </row>
    <row r="73" spans="1:19" s="115" customFormat="1" ht="36.75" customHeight="1" x14ac:dyDescent="0.25">
      <c r="A73" s="138" t="s">
        <v>760</v>
      </c>
      <c r="B73" s="1173" t="s">
        <v>761</v>
      </c>
      <c r="C73" s="1173"/>
      <c r="D73" s="1173"/>
      <c r="E73" s="1173"/>
      <c r="F73" s="1173"/>
      <c r="G73" s="1173"/>
      <c r="H73" s="1173"/>
      <c r="I73" s="1173"/>
      <c r="J73" s="1173"/>
      <c r="K73" s="1173"/>
      <c r="L73" s="1173"/>
      <c r="M73" s="1173"/>
      <c r="N73" s="1173"/>
      <c r="O73" s="1173"/>
      <c r="S73" s="137"/>
    </row>
    <row r="74" spans="1:19" s="115" customFormat="1" ht="15.75" x14ac:dyDescent="0.25">
      <c r="A74" s="114"/>
    </row>
    <row r="75" spans="1:19" s="115" customFormat="1" ht="19.5" customHeight="1" x14ac:dyDescent="0.25">
      <c r="A75" s="1174" t="s">
        <v>6</v>
      </c>
      <c r="B75" s="1176" t="s">
        <v>762</v>
      </c>
      <c r="C75" s="4956"/>
      <c r="D75" s="4957"/>
      <c r="E75" s="4958"/>
      <c r="F75" s="4959"/>
      <c r="G75" s="4960"/>
      <c r="H75" s="4961"/>
      <c r="I75" s="4962"/>
      <c r="J75" s="1176" t="s">
        <v>763</v>
      </c>
      <c r="K75" s="4813"/>
      <c r="L75" s="4814"/>
      <c r="M75" s="1274" t="s">
        <v>764</v>
      </c>
      <c r="N75" s="4810"/>
      <c r="O75" s="1176" t="s">
        <v>258</v>
      </c>
    </row>
    <row r="76" spans="1:19" s="115" customFormat="1" ht="57.75" x14ac:dyDescent="0.25">
      <c r="A76" s="4387"/>
      <c r="B76" s="4963"/>
      <c r="C76" s="4964"/>
      <c r="D76" s="4965"/>
      <c r="E76" s="4966"/>
      <c r="F76" s="4967"/>
      <c r="G76" s="4968"/>
      <c r="H76" s="4969"/>
      <c r="I76" s="4970"/>
      <c r="J76" s="139" t="s">
        <v>765</v>
      </c>
      <c r="K76" s="139" t="s">
        <v>766</v>
      </c>
      <c r="L76" s="139" t="s">
        <v>258</v>
      </c>
      <c r="M76" s="4811"/>
      <c r="N76" s="4812"/>
      <c r="O76" s="4809"/>
    </row>
    <row r="77" spans="1:19" s="115" customFormat="1" ht="15.75" x14ac:dyDescent="0.25">
      <c r="A77" s="135" t="e">
        <f>#REF!</f>
        <v>#REF!</v>
      </c>
      <c r="B77" s="1147" t="e">
        <f>#REF!</f>
        <v>#REF!</v>
      </c>
      <c r="C77" s="4949"/>
      <c r="D77" s="4950"/>
      <c r="E77" s="4951"/>
      <c r="F77" s="4952"/>
      <c r="G77" s="4953"/>
      <c r="H77" s="4954"/>
      <c r="I77" s="4955"/>
      <c r="J77" s="736" t="e">
        <f>COUNTIFS(#REF!, B77,#REF!, "М")</f>
        <v>#REF!</v>
      </c>
      <c r="K77" s="736" t="e">
        <f>COUNTIFS(#REF!, B77,#REF!, "Ж")</f>
        <v>#REF!</v>
      </c>
      <c r="L77" s="736" t="e">
        <f t="shared" ref="L77:L103" si="0">J77+K77</f>
        <v>#REF!</v>
      </c>
      <c r="M77" s="4060">
        <v>1</v>
      </c>
      <c r="N77" s="4948"/>
      <c r="O77" s="736" t="e">
        <f t="shared" ref="O77:O88" si="1">J77+K77+M77</f>
        <v>#REF!</v>
      </c>
    </row>
    <row r="78" spans="1:19" s="115" customFormat="1" ht="15.75" x14ac:dyDescent="0.25">
      <c r="A78" s="135" t="e">
        <f>#REF!</f>
        <v>#REF!</v>
      </c>
      <c r="B78" s="1147" t="e">
        <f>#REF!</f>
        <v>#REF!</v>
      </c>
      <c r="C78" s="4941"/>
      <c r="D78" s="4942"/>
      <c r="E78" s="4943"/>
      <c r="F78" s="4944"/>
      <c r="G78" s="4945"/>
      <c r="H78" s="4946"/>
      <c r="I78" s="4947"/>
      <c r="J78" s="736" t="e">
        <f>COUNTIFS(#REF!, B78,#REF!, "М")</f>
        <v>#REF!</v>
      </c>
      <c r="K78" s="736" t="e">
        <f>COUNTIFS(#REF!, B78,#REF!, "Ж")</f>
        <v>#REF!</v>
      </c>
      <c r="L78" s="736" t="e">
        <f t="shared" si="0"/>
        <v>#REF!</v>
      </c>
      <c r="M78" s="4060">
        <v>1</v>
      </c>
      <c r="N78" s="4940"/>
      <c r="O78" s="736" t="e">
        <f t="shared" si="1"/>
        <v>#REF!</v>
      </c>
    </row>
    <row r="79" spans="1:19" s="115" customFormat="1" ht="15.75" x14ac:dyDescent="0.25">
      <c r="A79" s="135" t="e">
        <f>#REF!</f>
        <v>#REF!</v>
      </c>
      <c r="B79" s="1147" t="e">
        <f>#REF!</f>
        <v>#REF!</v>
      </c>
      <c r="C79" s="4932"/>
      <c r="D79" s="4933"/>
      <c r="E79" s="4934"/>
      <c r="F79" s="4935"/>
      <c r="G79" s="4936"/>
      <c r="H79" s="4937"/>
      <c r="I79" s="4938"/>
      <c r="J79" s="736" t="e">
        <f>COUNTIFS(#REF!, B79,#REF!, "М")</f>
        <v>#REF!</v>
      </c>
      <c r="K79" s="736" t="e">
        <f>COUNTIFS(#REF!, B79,#REF!, "Ж")</f>
        <v>#REF!</v>
      </c>
      <c r="L79" s="736" t="e">
        <f t="shared" si="0"/>
        <v>#REF!</v>
      </c>
      <c r="M79" s="4060">
        <v>1</v>
      </c>
      <c r="N79" s="4939"/>
      <c r="O79" s="736" t="e">
        <f t="shared" si="1"/>
        <v>#REF!</v>
      </c>
    </row>
    <row r="80" spans="1:19" s="115" customFormat="1" ht="15.75" x14ac:dyDescent="0.25">
      <c r="A80" s="135" t="e">
        <f>#REF!</f>
        <v>#REF!</v>
      </c>
      <c r="B80" s="1147" t="e">
        <f>#REF!</f>
        <v>#REF!</v>
      </c>
      <c r="C80" s="4924"/>
      <c r="D80" s="4925"/>
      <c r="E80" s="4926"/>
      <c r="F80" s="4927"/>
      <c r="G80" s="4928"/>
      <c r="H80" s="4929"/>
      <c r="I80" s="4930"/>
      <c r="J80" s="736" t="e">
        <f>COUNTIFS(#REF!, B80,#REF!, "М")</f>
        <v>#REF!</v>
      </c>
      <c r="K80" s="736" t="e">
        <f>COUNTIFS(#REF!, B80,#REF!, "Ж")</f>
        <v>#REF!</v>
      </c>
      <c r="L80" s="736" t="e">
        <f t="shared" si="0"/>
        <v>#REF!</v>
      </c>
      <c r="M80" s="4060">
        <v>1</v>
      </c>
      <c r="N80" s="4931"/>
      <c r="O80" s="736" t="e">
        <f t="shared" si="1"/>
        <v>#REF!</v>
      </c>
    </row>
    <row r="81" spans="1:15" s="115" customFormat="1" ht="15.75" x14ac:dyDescent="0.25">
      <c r="A81" s="135" t="e">
        <f>#REF!</f>
        <v>#REF!</v>
      </c>
      <c r="B81" s="1147" t="e">
        <f>#REF!</f>
        <v>#REF!</v>
      </c>
      <c r="C81" s="4916"/>
      <c r="D81" s="4917"/>
      <c r="E81" s="4918"/>
      <c r="F81" s="4919"/>
      <c r="G81" s="4920"/>
      <c r="H81" s="4921"/>
      <c r="I81" s="4922"/>
      <c r="J81" s="736" t="e">
        <f>COUNTIFS(#REF!, B81,#REF!, "М")</f>
        <v>#REF!</v>
      </c>
      <c r="K81" s="736" t="e">
        <f>COUNTIFS(#REF!, B81,#REF!, "Ж")</f>
        <v>#REF!</v>
      </c>
      <c r="L81" s="736" t="e">
        <f t="shared" si="0"/>
        <v>#REF!</v>
      </c>
      <c r="M81" s="4060">
        <v>1</v>
      </c>
      <c r="N81" s="4923"/>
      <c r="O81" s="736" t="e">
        <f t="shared" si="1"/>
        <v>#REF!</v>
      </c>
    </row>
    <row r="82" spans="1:15" s="115" customFormat="1" ht="15.75" x14ac:dyDescent="0.25">
      <c r="A82" s="135" t="e">
        <f>#REF!</f>
        <v>#REF!</v>
      </c>
      <c r="B82" s="1147" t="e">
        <f>#REF!</f>
        <v>#REF!</v>
      </c>
      <c r="C82" s="4908"/>
      <c r="D82" s="4909"/>
      <c r="E82" s="4910"/>
      <c r="F82" s="4911"/>
      <c r="G82" s="4912"/>
      <c r="H82" s="4913"/>
      <c r="I82" s="4914"/>
      <c r="J82" s="736" t="e">
        <f>COUNTIFS(#REF!, B82,#REF!, "М")</f>
        <v>#REF!</v>
      </c>
      <c r="K82" s="736" t="e">
        <f>COUNTIFS(#REF!, B82,#REF!, "Ж")</f>
        <v>#REF!</v>
      </c>
      <c r="L82" s="736" t="e">
        <f t="shared" si="0"/>
        <v>#REF!</v>
      </c>
      <c r="M82" s="4060">
        <v>1</v>
      </c>
      <c r="N82" s="4915"/>
      <c r="O82" s="736" t="e">
        <f t="shared" si="1"/>
        <v>#REF!</v>
      </c>
    </row>
    <row r="83" spans="1:15" s="115" customFormat="1" ht="15.75" x14ac:dyDescent="0.25">
      <c r="A83" s="135" t="e">
        <f>#REF!</f>
        <v>#REF!</v>
      </c>
      <c r="B83" s="1147" t="e">
        <f>#REF!</f>
        <v>#REF!</v>
      </c>
      <c r="C83" s="4901"/>
      <c r="D83" s="4902"/>
      <c r="E83" s="4903"/>
      <c r="F83" s="4904"/>
      <c r="G83" s="4905"/>
      <c r="H83" s="4906"/>
      <c r="I83" s="4907"/>
      <c r="J83" s="736" t="e">
        <f>COUNTIFS(#REF!, B83,#REF!, "М")</f>
        <v>#REF!</v>
      </c>
      <c r="K83" s="736" t="e">
        <f>COUNTIFS(#REF!, B83,#REF!, "Ж")</f>
        <v>#REF!</v>
      </c>
      <c r="L83" s="736" t="e">
        <f t="shared" si="0"/>
        <v>#REF!</v>
      </c>
      <c r="M83" s="4060">
        <v>1</v>
      </c>
      <c r="N83" s="4971"/>
      <c r="O83" s="736" t="e">
        <f t="shared" si="1"/>
        <v>#REF!</v>
      </c>
    </row>
    <row r="84" spans="1:15" s="115" customFormat="1" ht="15.75" x14ac:dyDescent="0.25">
      <c r="A84" s="135" t="e">
        <f>#REF!</f>
        <v>#REF!</v>
      </c>
      <c r="B84" s="1147" t="e">
        <f>#REF!</f>
        <v>#REF!</v>
      </c>
      <c r="C84" s="4894"/>
      <c r="D84" s="4895"/>
      <c r="E84" s="4896"/>
      <c r="F84" s="4897"/>
      <c r="G84" s="4898"/>
      <c r="H84" s="4899"/>
      <c r="I84" s="4900"/>
      <c r="J84" s="736" t="e">
        <f>COUNTIFS(#REF!, B84,#REF!, "М")</f>
        <v>#REF!</v>
      </c>
      <c r="K84" s="736" t="e">
        <f>COUNTIFS(#REF!, B84,#REF!, "Ж")</f>
        <v>#REF!</v>
      </c>
      <c r="L84" s="736" t="e">
        <f t="shared" si="0"/>
        <v>#REF!</v>
      </c>
      <c r="M84" s="4060">
        <v>1</v>
      </c>
      <c r="N84" s="4975"/>
      <c r="O84" s="736" t="e">
        <f t="shared" si="1"/>
        <v>#REF!</v>
      </c>
    </row>
    <row r="85" spans="1:15" s="115" customFormat="1" ht="15.75" x14ac:dyDescent="0.25">
      <c r="A85" s="135" t="e">
        <f>#REF!</f>
        <v>#REF!</v>
      </c>
      <c r="B85" s="1147" t="e">
        <f>#REF!</f>
        <v>#REF!</v>
      </c>
      <c r="C85" s="4887"/>
      <c r="D85" s="4888"/>
      <c r="E85" s="4889"/>
      <c r="F85" s="4890"/>
      <c r="G85" s="4891"/>
      <c r="H85" s="4892"/>
      <c r="I85" s="4893"/>
      <c r="J85" s="736" t="e">
        <f>COUNTIFS(#REF!, B85,#REF!, "М")</f>
        <v>#REF!</v>
      </c>
      <c r="K85" s="736" t="e">
        <f>COUNTIFS(#REF!, B85,#REF!, "Ж")</f>
        <v>#REF!</v>
      </c>
      <c r="L85" s="736" t="e">
        <f t="shared" si="0"/>
        <v>#REF!</v>
      </c>
      <c r="M85" s="4060">
        <v>1</v>
      </c>
      <c r="N85" s="4976"/>
      <c r="O85" s="736" t="e">
        <f t="shared" si="1"/>
        <v>#REF!</v>
      </c>
    </row>
    <row r="86" spans="1:15" s="115" customFormat="1" ht="15.75" x14ac:dyDescent="0.25">
      <c r="A86" s="135" t="e">
        <f>#REF!</f>
        <v>#REF!</v>
      </c>
      <c r="B86" s="1147" t="e">
        <f>#REF!</f>
        <v>#REF!</v>
      </c>
      <c r="C86" s="4880"/>
      <c r="D86" s="4881"/>
      <c r="E86" s="4882"/>
      <c r="F86" s="4883"/>
      <c r="G86" s="4884"/>
      <c r="H86" s="4885"/>
      <c r="I86" s="4886"/>
      <c r="J86" s="736" t="e">
        <f>COUNTIFS(#REF!, B86,#REF!, "М")</f>
        <v>#REF!</v>
      </c>
      <c r="K86" s="736" t="e">
        <f>COUNTIFS(#REF!, B86,#REF!, "Ж")</f>
        <v>#REF!</v>
      </c>
      <c r="L86" s="736" t="e">
        <f t="shared" si="0"/>
        <v>#REF!</v>
      </c>
      <c r="M86" s="4060">
        <v>1</v>
      </c>
      <c r="N86" s="4972"/>
      <c r="O86" s="736" t="e">
        <f t="shared" si="1"/>
        <v>#REF!</v>
      </c>
    </row>
    <row r="87" spans="1:15" s="115" customFormat="1" ht="15.75" x14ac:dyDescent="0.25">
      <c r="A87" s="135" t="e">
        <f>#REF!</f>
        <v>#REF!</v>
      </c>
      <c r="B87" s="1147" t="e">
        <f>#REF!</f>
        <v>#REF!</v>
      </c>
      <c r="C87" s="4873"/>
      <c r="D87" s="4874"/>
      <c r="E87" s="4875"/>
      <c r="F87" s="4876"/>
      <c r="G87" s="4877"/>
      <c r="H87" s="4878"/>
      <c r="I87" s="4879"/>
      <c r="J87" s="736" t="e">
        <f>COUNTIFS(#REF!, B87,#REF!, "М")</f>
        <v>#REF!</v>
      </c>
      <c r="K87" s="736" t="e">
        <f>COUNTIFS(#REF!, B87,#REF!, "Ж")</f>
        <v>#REF!</v>
      </c>
      <c r="L87" s="736" t="e">
        <f t="shared" si="0"/>
        <v>#REF!</v>
      </c>
      <c r="M87" s="4060">
        <v>1</v>
      </c>
      <c r="N87" s="4973"/>
      <c r="O87" s="736" t="e">
        <f t="shared" si="1"/>
        <v>#REF!</v>
      </c>
    </row>
    <row r="88" spans="1:15" s="115" customFormat="1" ht="15.75" x14ac:dyDescent="0.25">
      <c r="A88" s="135" t="e">
        <f>#REF!</f>
        <v>#REF!</v>
      </c>
      <c r="B88" s="1147" t="e">
        <f>#REF!</f>
        <v>#REF!</v>
      </c>
      <c r="C88" s="4866"/>
      <c r="D88" s="4867"/>
      <c r="E88" s="4868"/>
      <c r="F88" s="4869"/>
      <c r="G88" s="4870"/>
      <c r="H88" s="4871"/>
      <c r="I88" s="4872"/>
      <c r="J88" s="736" t="e">
        <f>COUNTIFS(#REF!, B88,#REF!, "М")</f>
        <v>#REF!</v>
      </c>
      <c r="K88" s="736" t="e">
        <f>COUNTIFS(#REF!, B88,#REF!, "Ж")</f>
        <v>#REF!</v>
      </c>
      <c r="L88" s="736" t="e">
        <f t="shared" si="0"/>
        <v>#REF!</v>
      </c>
      <c r="M88" s="4060">
        <v>1</v>
      </c>
      <c r="N88" s="4974"/>
      <c r="O88" s="736" t="e">
        <f t="shared" si="1"/>
        <v>#REF!</v>
      </c>
    </row>
    <row r="89" spans="1:15" s="115" customFormat="1" ht="15.75" x14ac:dyDescent="0.25">
      <c r="A89" s="135" t="e">
        <f>#REF!</f>
        <v>#REF!</v>
      </c>
      <c r="B89" s="1147" t="e">
        <f>#REF!</f>
        <v>#REF!</v>
      </c>
      <c r="C89" s="4859"/>
      <c r="D89" s="4860"/>
      <c r="E89" s="4861"/>
      <c r="F89" s="4862"/>
      <c r="G89" s="4863"/>
      <c r="H89" s="4864"/>
      <c r="I89" s="4865"/>
      <c r="J89" s="736" t="e">
        <f>COUNTIFS(#REF!, B89,#REF!, "М")</f>
        <v>#REF!</v>
      </c>
      <c r="K89" s="736" t="e">
        <f>COUNTIFS(#REF!, B89,#REF!, "Ж")</f>
        <v>#REF!</v>
      </c>
      <c r="L89" s="736" t="e">
        <f t="shared" si="0"/>
        <v>#REF!</v>
      </c>
      <c r="M89" s="4060">
        <v>1</v>
      </c>
      <c r="N89" s="4362"/>
      <c r="O89" s="736">
        <v>1</v>
      </c>
    </row>
    <row r="90" spans="1:15" s="115" customFormat="1" ht="15.75" x14ac:dyDescent="0.25">
      <c r="A90" s="135" t="e">
        <f>#REF!</f>
        <v>#REF!</v>
      </c>
      <c r="B90" s="1147" t="e">
        <f>#REF!</f>
        <v>#REF!</v>
      </c>
      <c r="C90" s="4852"/>
      <c r="D90" s="4853"/>
      <c r="E90" s="4854"/>
      <c r="F90" s="4855"/>
      <c r="G90" s="4856"/>
      <c r="H90" s="4857"/>
      <c r="I90" s="4858"/>
      <c r="J90" s="736" t="e">
        <f>COUNTIFS(#REF!, B90,#REF!, "М")</f>
        <v>#REF!</v>
      </c>
      <c r="K90" s="736" t="e">
        <f>COUNTIFS(#REF!, B90,#REF!, "Ж")</f>
        <v>#REF!</v>
      </c>
      <c r="L90" s="736" t="e">
        <f t="shared" si="0"/>
        <v>#REF!</v>
      </c>
      <c r="M90" s="4060">
        <v>1</v>
      </c>
      <c r="N90" s="4363"/>
      <c r="O90" s="736">
        <v>1</v>
      </c>
    </row>
    <row r="91" spans="1:15" s="115" customFormat="1" ht="15.75" x14ac:dyDescent="0.25">
      <c r="A91" s="135" t="e">
        <f>#REF!</f>
        <v>#REF!</v>
      </c>
      <c r="B91" s="1147" t="e">
        <f>#REF!</f>
        <v>#REF!</v>
      </c>
      <c r="C91" s="4845"/>
      <c r="D91" s="4846"/>
      <c r="E91" s="4847"/>
      <c r="F91" s="4848"/>
      <c r="G91" s="4849"/>
      <c r="H91" s="4850"/>
      <c r="I91" s="4851"/>
      <c r="J91" s="736" t="e">
        <f>COUNTIFS(#REF!, B91,#REF!, "М")</f>
        <v>#REF!</v>
      </c>
      <c r="K91" s="736" t="e">
        <f>COUNTIFS(#REF!, B91,#REF!, "Ж")</f>
        <v>#REF!</v>
      </c>
      <c r="L91" s="736" t="e">
        <f t="shared" si="0"/>
        <v>#REF!</v>
      </c>
      <c r="M91" s="4060">
        <v>1</v>
      </c>
      <c r="N91" s="4364"/>
      <c r="O91" s="736">
        <v>1</v>
      </c>
    </row>
    <row r="92" spans="1:15" s="115" customFormat="1" ht="15.75" x14ac:dyDescent="0.25">
      <c r="A92" s="135" t="e">
        <f>#REF!</f>
        <v>#REF!</v>
      </c>
      <c r="B92" s="1147" t="e">
        <f>#REF!</f>
        <v>#REF!</v>
      </c>
      <c r="C92" s="4838"/>
      <c r="D92" s="4839"/>
      <c r="E92" s="4840"/>
      <c r="F92" s="4841"/>
      <c r="G92" s="4842"/>
      <c r="H92" s="4843"/>
      <c r="I92" s="4844"/>
      <c r="J92" s="736" t="e">
        <f>COUNTIFS(#REF!, B92,#REF!, "М")</f>
        <v>#REF!</v>
      </c>
      <c r="K92" s="736" t="e">
        <f>COUNTIFS(#REF!, B92,#REF!, "Ж")</f>
        <v>#REF!</v>
      </c>
      <c r="L92" s="736" t="e">
        <f t="shared" si="0"/>
        <v>#REF!</v>
      </c>
      <c r="M92" s="4060">
        <v>1</v>
      </c>
      <c r="N92" s="4365"/>
      <c r="O92" s="736">
        <v>1</v>
      </c>
    </row>
    <row r="93" spans="1:15" s="115" customFormat="1" ht="15.75" x14ac:dyDescent="0.25">
      <c r="A93" s="135" t="e">
        <f>#REF!</f>
        <v>#REF!</v>
      </c>
      <c r="B93" s="1147" t="e">
        <f>#REF!</f>
        <v>#REF!</v>
      </c>
      <c r="C93" s="4831"/>
      <c r="D93" s="4832"/>
      <c r="E93" s="4833"/>
      <c r="F93" s="4834"/>
      <c r="G93" s="4835"/>
      <c r="H93" s="4836"/>
      <c r="I93" s="4837"/>
      <c r="J93" s="736" t="e">
        <f>COUNTIFS(#REF!, B93,#REF!, "М")</f>
        <v>#REF!</v>
      </c>
      <c r="K93" s="736" t="e">
        <f>COUNTIFS(#REF!, B93,#REF!, "Ж")</f>
        <v>#REF!</v>
      </c>
      <c r="L93" s="736" t="e">
        <f t="shared" si="0"/>
        <v>#REF!</v>
      </c>
      <c r="M93" s="4060">
        <v>1</v>
      </c>
      <c r="N93" s="4366"/>
      <c r="O93" s="736">
        <v>1</v>
      </c>
    </row>
    <row r="94" spans="1:15" s="115" customFormat="1" ht="15.75" x14ac:dyDescent="0.25">
      <c r="A94" s="135" t="e">
        <f>#REF!</f>
        <v>#REF!</v>
      </c>
      <c r="B94" s="1147" t="e">
        <f>#REF!</f>
        <v>#REF!</v>
      </c>
      <c r="C94" s="4824"/>
      <c r="D94" s="4825"/>
      <c r="E94" s="4826"/>
      <c r="F94" s="4827"/>
      <c r="G94" s="4828"/>
      <c r="H94" s="4829"/>
      <c r="I94" s="4830"/>
      <c r="J94" s="736" t="e">
        <f>COUNTIFS(#REF!, B94,#REF!, "М")</f>
        <v>#REF!</v>
      </c>
      <c r="K94" s="736" t="e">
        <f>COUNTIFS(#REF!, B94,#REF!, "Ж")</f>
        <v>#REF!</v>
      </c>
      <c r="L94" s="736" t="e">
        <f t="shared" si="0"/>
        <v>#REF!</v>
      </c>
      <c r="M94" s="4060">
        <v>1</v>
      </c>
      <c r="N94" s="4367"/>
      <c r="O94" s="736">
        <v>1</v>
      </c>
    </row>
    <row r="95" spans="1:15" s="115" customFormat="1" ht="15.75" x14ac:dyDescent="0.25">
      <c r="A95" s="135" t="e">
        <f>#REF!</f>
        <v>#REF!</v>
      </c>
      <c r="B95" s="1147" t="e">
        <f>#REF!</f>
        <v>#REF!</v>
      </c>
      <c r="C95" s="4817"/>
      <c r="D95" s="4818"/>
      <c r="E95" s="4819"/>
      <c r="F95" s="4820"/>
      <c r="G95" s="4821"/>
      <c r="H95" s="4822"/>
      <c r="I95" s="4823"/>
      <c r="J95" s="736" t="e">
        <f>COUNTIFS(#REF!, B95,#REF!, "М")</f>
        <v>#REF!</v>
      </c>
      <c r="K95" s="736" t="e">
        <f>COUNTIFS(#REF!, B95,#REF!, "Ж")</f>
        <v>#REF!</v>
      </c>
      <c r="L95" s="736" t="e">
        <f t="shared" si="0"/>
        <v>#REF!</v>
      </c>
      <c r="M95" s="4060">
        <v>1</v>
      </c>
      <c r="N95" s="4368"/>
      <c r="O95" s="736">
        <v>1</v>
      </c>
    </row>
    <row r="96" spans="1:15" s="115" customFormat="1" ht="15.75" x14ac:dyDescent="0.25">
      <c r="A96" s="135" t="e">
        <f>#REF!</f>
        <v>#REF!</v>
      </c>
      <c r="B96" s="1147" t="e">
        <f>#REF!</f>
        <v>#REF!</v>
      </c>
      <c r="C96" s="4355"/>
      <c r="D96" s="4356"/>
      <c r="E96" s="4357"/>
      <c r="F96" s="4358"/>
      <c r="G96" s="4359"/>
      <c r="H96" s="4360"/>
      <c r="I96" s="4361"/>
      <c r="J96" s="736" t="e">
        <f>COUNTIFS(#REF!, B96,#REF!, "М")</f>
        <v>#REF!</v>
      </c>
      <c r="K96" s="736" t="e">
        <f>COUNTIFS(#REF!, B96,#REF!, "Ж")</f>
        <v>#REF!</v>
      </c>
      <c r="L96" s="736" t="e">
        <f t="shared" si="0"/>
        <v>#REF!</v>
      </c>
      <c r="M96" s="4060">
        <v>1</v>
      </c>
      <c r="N96" s="4369"/>
      <c r="O96" s="736">
        <v>1</v>
      </c>
    </row>
    <row r="97" spans="1:15" s="115" customFormat="1" ht="15.75" x14ac:dyDescent="0.25">
      <c r="A97" s="135" t="e">
        <f>#REF!</f>
        <v>#REF!</v>
      </c>
      <c r="B97" s="1147" t="e">
        <f>#REF!</f>
        <v>#REF!</v>
      </c>
      <c r="C97" s="4348"/>
      <c r="D97" s="4349"/>
      <c r="E97" s="4350"/>
      <c r="F97" s="4351"/>
      <c r="G97" s="4352"/>
      <c r="H97" s="4353"/>
      <c r="I97" s="4354"/>
      <c r="J97" s="736" t="e">
        <f>COUNTIFS(#REF!, B97,#REF!, "М")</f>
        <v>#REF!</v>
      </c>
      <c r="K97" s="736" t="e">
        <f>COUNTIFS(#REF!, B97,#REF!, "Ж")</f>
        <v>#REF!</v>
      </c>
      <c r="L97" s="736" t="e">
        <f t="shared" si="0"/>
        <v>#REF!</v>
      </c>
      <c r="M97" s="4060">
        <v>1</v>
      </c>
      <c r="N97" s="4370"/>
      <c r="O97" s="736">
        <v>1</v>
      </c>
    </row>
    <row r="98" spans="1:15" s="115" customFormat="1" ht="15.75" x14ac:dyDescent="0.25">
      <c r="A98" s="135" t="e">
        <f>#REF!</f>
        <v>#REF!</v>
      </c>
      <c r="B98" s="1147" t="e">
        <f>#REF!</f>
        <v>#REF!</v>
      </c>
      <c r="C98" s="4341"/>
      <c r="D98" s="4342"/>
      <c r="E98" s="4343"/>
      <c r="F98" s="4344"/>
      <c r="G98" s="4345"/>
      <c r="H98" s="4346"/>
      <c r="I98" s="4347"/>
      <c r="J98" s="736" t="e">
        <f>COUNTIFS(#REF!, B98,#REF!, "М")</f>
        <v>#REF!</v>
      </c>
      <c r="K98" s="736" t="e">
        <f>COUNTIFS(#REF!, B98,#REF!, "Ж")</f>
        <v>#REF!</v>
      </c>
      <c r="L98" s="736" t="e">
        <f t="shared" si="0"/>
        <v>#REF!</v>
      </c>
      <c r="M98" s="4060">
        <v>1</v>
      </c>
      <c r="N98" s="4371"/>
      <c r="O98" s="736">
        <v>1</v>
      </c>
    </row>
    <row r="99" spans="1:15" s="115" customFormat="1" ht="15.75" x14ac:dyDescent="0.25">
      <c r="A99" s="135" t="e">
        <f>#REF!</f>
        <v>#REF!</v>
      </c>
      <c r="B99" s="1147" t="e">
        <f>#REF!</f>
        <v>#REF!</v>
      </c>
      <c r="C99" s="4334"/>
      <c r="D99" s="4335"/>
      <c r="E99" s="4336"/>
      <c r="F99" s="4337"/>
      <c r="G99" s="4338"/>
      <c r="H99" s="4339"/>
      <c r="I99" s="4340"/>
      <c r="J99" s="736" t="e">
        <f>COUNTIFS(#REF!, B99,#REF!, "М")</f>
        <v>#REF!</v>
      </c>
      <c r="K99" s="736" t="e">
        <f>COUNTIFS(#REF!, B99,#REF!, "Ж")</f>
        <v>#REF!</v>
      </c>
      <c r="L99" s="736" t="e">
        <f t="shared" si="0"/>
        <v>#REF!</v>
      </c>
      <c r="M99" s="4060">
        <v>1</v>
      </c>
      <c r="N99" s="4372"/>
      <c r="O99" s="736">
        <v>1</v>
      </c>
    </row>
    <row r="100" spans="1:15" s="115" customFormat="1" ht="15.75" x14ac:dyDescent="0.25">
      <c r="A100" s="135" t="e">
        <f>#REF!</f>
        <v>#REF!</v>
      </c>
      <c r="B100" s="1147" t="e">
        <f>#REF!</f>
        <v>#REF!</v>
      </c>
      <c r="C100" s="4327"/>
      <c r="D100" s="4328"/>
      <c r="E100" s="4329"/>
      <c r="F100" s="4330"/>
      <c r="G100" s="4331"/>
      <c r="H100" s="4332"/>
      <c r="I100" s="4333"/>
      <c r="J100" s="736" t="e">
        <f>COUNTIFS(#REF!, B100,#REF!, "М")</f>
        <v>#REF!</v>
      </c>
      <c r="K100" s="736" t="e">
        <f>COUNTIFS(#REF!, B100,#REF!, "Ж")</f>
        <v>#REF!</v>
      </c>
      <c r="L100" s="736" t="e">
        <f t="shared" si="0"/>
        <v>#REF!</v>
      </c>
      <c r="M100" s="4060">
        <v>1</v>
      </c>
      <c r="N100" s="4373"/>
      <c r="O100" s="736">
        <v>1</v>
      </c>
    </row>
    <row r="101" spans="1:15" s="115" customFormat="1" ht="15.75" x14ac:dyDescent="0.25">
      <c r="A101" s="135" t="e">
        <f>#REF!</f>
        <v>#REF!</v>
      </c>
      <c r="B101" s="1147" t="e">
        <f>#REF!</f>
        <v>#REF!</v>
      </c>
      <c r="C101" s="4320"/>
      <c r="D101" s="4321"/>
      <c r="E101" s="4322"/>
      <c r="F101" s="4323"/>
      <c r="G101" s="4324"/>
      <c r="H101" s="4325"/>
      <c r="I101" s="4326"/>
      <c r="J101" s="736" t="e">
        <f>COUNTIFS(#REF!, B101,#REF!, "М")</f>
        <v>#REF!</v>
      </c>
      <c r="K101" s="736" t="e">
        <f>COUNTIFS(#REF!, B101,#REF!, "Ж")</f>
        <v>#REF!</v>
      </c>
      <c r="L101" s="736" t="e">
        <f t="shared" si="0"/>
        <v>#REF!</v>
      </c>
      <c r="M101" s="4060">
        <v>1</v>
      </c>
      <c r="N101" s="4374"/>
      <c r="O101" s="736">
        <v>1</v>
      </c>
    </row>
    <row r="102" spans="1:15" s="115" customFormat="1" ht="15.75" x14ac:dyDescent="0.25">
      <c r="A102" s="135" t="e">
        <f>#REF!</f>
        <v>#REF!</v>
      </c>
      <c r="B102" s="1147" t="e">
        <f>#REF!</f>
        <v>#REF!</v>
      </c>
      <c r="C102" s="4313"/>
      <c r="D102" s="4314"/>
      <c r="E102" s="4315"/>
      <c r="F102" s="4316"/>
      <c r="G102" s="4317"/>
      <c r="H102" s="4318"/>
      <c r="I102" s="4319"/>
      <c r="J102" s="736" t="e">
        <f>COUNTIFS(#REF!, B102,#REF!, "М")</f>
        <v>#REF!</v>
      </c>
      <c r="K102" s="736" t="e">
        <f>COUNTIFS(#REF!, B102,#REF!, "Ж")</f>
        <v>#REF!</v>
      </c>
      <c r="L102" s="736" t="e">
        <f t="shared" si="0"/>
        <v>#REF!</v>
      </c>
      <c r="M102" s="4060">
        <v>1</v>
      </c>
      <c r="N102" s="4061"/>
      <c r="O102" s="736">
        <v>1</v>
      </c>
    </row>
    <row r="103" spans="1:15" s="115" customFormat="1" ht="15.75" x14ac:dyDescent="0.25">
      <c r="A103" s="135" t="e">
        <f>#REF!</f>
        <v>#REF!</v>
      </c>
      <c r="B103" s="1147" t="e">
        <f>#REF!</f>
        <v>#REF!</v>
      </c>
      <c r="C103" s="4306"/>
      <c r="D103" s="4307"/>
      <c r="E103" s="4308"/>
      <c r="F103" s="4309"/>
      <c r="G103" s="4310"/>
      <c r="H103" s="4311"/>
      <c r="I103" s="4312"/>
      <c r="J103" s="736" t="e">
        <f>COUNTIFS(#REF!, B103,#REF!, "М")</f>
        <v>#REF!</v>
      </c>
      <c r="K103" s="736" t="e">
        <f>COUNTIFS(#REF!, B103,#REF!, "Ж")</f>
        <v>#REF!</v>
      </c>
      <c r="L103" s="736" t="e">
        <f t="shared" si="0"/>
        <v>#REF!</v>
      </c>
      <c r="M103" s="4060">
        <v>1</v>
      </c>
      <c r="N103" s="4062"/>
      <c r="O103" s="736">
        <v>1</v>
      </c>
    </row>
    <row r="104" spans="1:15" s="115" customFormat="1" ht="15.75" x14ac:dyDescent="0.25">
      <c r="A104" s="114"/>
    </row>
    <row r="105" spans="1:15" s="115" customFormat="1" ht="15.75" x14ac:dyDescent="0.25">
      <c r="A105" s="114" t="s">
        <v>767</v>
      </c>
      <c r="B105" s="115" t="s">
        <v>768</v>
      </c>
    </row>
    <row r="106" spans="1:15" s="115" customFormat="1" ht="15.75" x14ac:dyDescent="0.25">
      <c r="A106" s="114"/>
    </row>
    <row r="107" spans="1:15" s="115" customFormat="1" ht="16.5" customHeight="1" x14ac:dyDescent="0.25">
      <c r="A107" s="1274" t="s">
        <v>454</v>
      </c>
      <c r="B107" s="4375"/>
      <c r="C107" s="1274" t="s">
        <v>769</v>
      </c>
      <c r="D107" s="4288"/>
      <c r="E107" s="4289"/>
      <c r="F107" s="4290"/>
      <c r="G107" s="4291"/>
      <c r="H107" s="4292"/>
      <c r="I107" s="4293"/>
      <c r="J107" s="4294"/>
      <c r="K107" s="4295"/>
      <c r="L107" s="4296"/>
      <c r="M107" s="4297"/>
      <c r="N107" s="4298"/>
      <c r="O107" s="1274" t="s">
        <v>770</v>
      </c>
    </row>
    <row r="108" spans="1:15" s="115" customFormat="1" ht="16.5" customHeight="1" x14ac:dyDescent="0.25">
      <c r="A108" s="4376"/>
      <c r="B108" s="4377"/>
      <c r="C108" s="1274" t="s">
        <v>771</v>
      </c>
      <c r="D108" s="4304"/>
      <c r="E108" s="3999" t="s">
        <v>772</v>
      </c>
      <c r="F108" s="4000"/>
      <c r="G108" s="1274" t="s">
        <v>773</v>
      </c>
      <c r="H108" s="4305"/>
      <c r="I108" s="1274" t="s">
        <v>264</v>
      </c>
      <c r="J108" s="4273"/>
      <c r="K108" s="1274" t="s">
        <v>774</v>
      </c>
      <c r="L108" s="4284"/>
      <c r="M108" s="1274" t="s">
        <v>775</v>
      </c>
      <c r="N108" s="4299"/>
      <c r="O108" s="4281"/>
    </row>
    <row r="109" spans="1:15" s="115" customFormat="1" ht="30.75" customHeight="1" x14ac:dyDescent="0.25">
      <c r="A109" s="1274" t="s">
        <v>776</v>
      </c>
      <c r="B109" s="4378"/>
      <c r="C109" s="3989"/>
      <c r="D109" s="4018"/>
      <c r="E109" s="3989"/>
      <c r="F109" s="3998"/>
      <c r="G109" s="4271" t="e">
        <f>COUNTIFS(#REF!, "МСМК",#REF!, "М")+COUNTIFS(#REF!, "ЗМС",#REF!, "М")</f>
        <v>#REF!</v>
      </c>
      <c r="H109" s="4300"/>
      <c r="I109" s="4271" t="e">
        <f>COUNTIFS(#REF!, "МСМК",#REF!, "Ж")+COUNTIFS(#REF!, "ЗМС",#REF!, "Ж")</f>
        <v>#REF!</v>
      </c>
      <c r="J109" s="4272"/>
      <c r="K109" s="3989" t="s">
        <v>454</v>
      </c>
      <c r="L109" s="4283"/>
      <c r="M109" s="3989"/>
      <c r="N109" s="4282"/>
      <c r="O109" s="738" t="e">
        <f t="shared" ref="O109:O116" si="2">SUM(C109:N109)</f>
        <v>#REF!</v>
      </c>
    </row>
    <row r="110" spans="1:15" s="115" customFormat="1" ht="19.5" x14ac:dyDescent="0.25">
      <c r="A110" s="1274" t="s">
        <v>262</v>
      </c>
      <c r="B110" s="4379"/>
      <c r="C110" s="3989"/>
      <c r="D110" s="4017"/>
      <c r="E110" s="3989"/>
      <c r="F110" s="3997"/>
      <c r="G110" s="3989" t="e">
        <f>COUNTIFS(#REF!, A110,#REF!, "М")</f>
        <v>#REF!</v>
      </c>
      <c r="H110" s="4301"/>
      <c r="I110" s="3989" t="e">
        <f>COUNTIFS(#REF!, A110,#REF!, "Ж")</f>
        <v>#REF!</v>
      </c>
      <c r="J110" s="4270"/>
      <c r="K110" s="3989"/>
      <c r="L110" s="4280"/>
      <c r="M110" s="3989"/>
      <c r="N110" s="4285"/>
      <c r="O110" s="738" t="e">
        <f t="shared" si="2"/>
        <v>#REF!</v>
      </c>
    </row>
    <row r="111" spans="1:15" s="115" customFormat="1" ht="19.5" x14ac:dyDescent="0.25">
      <c r="A111" s="1274" t="s">
        <v>79</v>
      </c>
      <c r="B111" s="4380"/>
      <c r="C111" s="3989"/>
      <c r="D111" s="4016"/>
      <c r="E111" s="3989"/>
      <c r="F111" s="3996"/>
      <c r="G111" s="3989" t="e">
        <f>COUNTIFS(#REF!, A111,#REF!, "М")</f>
        <v>#REF!</v>
      </c>
      <c r="H111" s="4302"/>
      <c r="I111" s="3989" t="e">
        <f>COUNTIFS(#REF!, A111,#REF!, "Ж")</f>
        <v>#REF!</v>
      </c>
      <c r="J111" s="4269"/>
      <c r="K111" s="3989"/>
      <c r="L111" s="4279"/>
      <c r="M111" s="3989"/>
      <c r="N111" s="4286"/>
      <c r="O111" s="738" t="e">
        <f t="shared" si="2"/>
        <v>#REF!</v>
      </c>
    </row>
    <row r="112" spans="1:15" s="115" customFormat="1" ht="19.5" x14ac:dyDescent="0.25">
      <c r="A112" s="4381" t="s">
        <v>76</v>
      </c>
      <c r="B112" s="4382"/>
      <c r="C112" s="3994"/>
      <c r="D112" s="4015"/>
      <c r="E112" s="3994"/>
      <c r="F112" s="3995"/>
      <c r="G112" s="3989" t="e">
        <f>COUNTIFS(#REF!, A112,#REF!, "М")</f>
        <v>#REF!</v>
      </c>
      <c r="H112" s="4303"/>
      <c r="I112" s="3989" t="e">
        <f>COUNTIFS(#REF!, A112,#REF!, "Ж")</f>
        <v>#REF!</v>
      </c>
      <c r="J112" s="4268"/>
      <c r="K112" s="3989"/>
      <c r="L112" s="4278"/>
      <c r="M112" s="3989"/>
      <c r="N112" s="4287"/>
      <c r="O112" s="738" t="e">
        <f t="shared" si="2"/>
        <v>#REF!</v>
      </c>
    </row>
    <row r="113" spans="1:17" s="115" customFormat="1" ht="19.5" x14ac:dyDescent="0.25">
      <c r="A113" s="1274" t="s">
        <v>84</v>
      </c>
      <c r="B113" s="4383"/>
      <c r="C113" s="3989"/>
      <c r="D113" s="4014"/>
      <c r="E113" s="3989"/>
      <c r="F113" s="3993"/>
      <c r="G113" s="3989" t="e">
        <f>COUNTIFS(#REF!, A113,#REF!, "М")</f>
        <v>#REF!</v>
      </c>
      <c r="H113" s="4262"/>
      <c r="I113" s="3989" t="e">
        <f>COUNTIFS(#REF!, A113,#REF!, "Ж")</f>
        <v>#REF!</v>
      </c>
      <c r="J113" s="4267"/>
      <c r="K113" s="3989"/>
      <c r="L113" s="4274"/>
      <c r="M113" s="3989"/>
      <c r="N113" s="4264"/>
      <c r="O113" s="738" t="e">
        <f t="shared" si="2"/>
        <v>#REF!</v>
      </c>
    </row>
    <row r="114" spans="1:17" s="115" customFormat="1" ht="19.5" x14ac:dyDescent="0.25">
      <c r="A114" s="1274" t="s">
        <v>94</v>
      </c>
      <c r="B114" s="4384"/>
      <c r="C114" s="3989"/>
      <c r="D114" s="4013"/>
      <c r="E114" s="3989"/>
      <c r="F114" s="3992"/>
      <c r="G114" s="3989" t="e">
        <f>COUNTIFS(#REF!, A114,#REF!, "М")</f>
        <v>#REF!</v>
      </c>
      <c r="H114" s="4258"/>
      <c r="I114" s="3989" t="e">
        <f>COUNTIFS(#REF!, A114,#REF!, "Ж")</f>
        <v>#REF!</v>
      </c>
      <c r="J114" s="4261"/>
      <c r="K114" s="3989"/>
      <c r="L114" s="4275"/>
      <c r="M114" s="3989"/>
      <c r="N114" s="4265"/>
      <c r="O114" s="738" t="e">
        <f t="shared" si="2"/>
        <v>#REF!</v>
      </c>
    </row>
    <row r="115" spans="1:17" s="115" customFormat="1" ht="19.5" x14ac:dyDescent="0.25">
      <c r="A115" s="1274" t="s">
        <v>100</v>
      </c>
      <c r="B115" s="4385"/>
      <c r="C115" s="3989"/>
      <c r="D115" s="4012"/>
      <c r="E115" s="3989"/>
      <c r="F115" s="3991"/>
      <c r="G115" s="3989" t="e">
        <f>COUNTIFS(#REF!, A115,#REF!, "М")</f>
        <v>#REF!</v>
      </c>
      <c r="H115" s="4257"/>
      <c r="I115" s="3989" t="e">
        <f>COUNTIFS(#REF!, A115,#REF!, "Ж")</f>
        <v>#REF!</v>
      </c>
      <c r="J115" s="4260"/>
      <c r="K115" s="3989"/>
      <c r="L115" s="4276"/>
      <c r="M115" s="3989"/>
      <c r="N115" s="4263"/>
      <c r="O115" s="738" t="e">
        <f t="shared" si="2"/>
        <v>#REF!</v>
      </c>
    </row>
    <row r="116" spans="1:17" s="115" customFormat="1" ht="19.5" x14ac:dyDescent="0.25">
      <c r="A116" s="1274" t="s">
        <v>117</v>
      </c>
      <c r="B116" s="4386"/>
      <c r="C116" s="3989"/>
      <c r="D116" s="4011"/>
      <c r="E116" s="3989"/>
      <c r="F116" s="3990"/>
      <c r="G116" s="3989" t="e">
        <f>COUNTIFS(#REF!, A116,#REF!, "М")</f>
        <v>#REF!</v>
      </c>
      <c r="H116" s="4256"/>
      <c r="I116" s="3989" t="e">
        <f>COUNTIFS(#REF!, A116,#REF!, "Ж")</f>
        <v>#REF!</v>
      </c>
      <c r="J116" s="4259"/>
      <c r="K116" s="3989"/>
      <c r="L116" s="4277"/>
      <c r="M116" s="3989"/>
      <c r="N116" s="4266"/>
      <c r="O116" s="738" t="e">
        <f t="shared" si="2"/>
        <v>#REF!</v>
      </c>
    </row>
    <row r="117" spans="1:17" s="115" customFormat="1" ht="15.75" x14ac:dyDescent="0.25">
      <c r="A117" s="156"/>
      <c r="B117" s="156"/>
      <c r="C117" s="156"/>
      <c r="D117" s="156"/>
      <c r="E117" s="156"/>
      <c r="F117" s="156"/>
      <c r="G117" s="156"/>
      <c r="H117" s="156"/>
      <c r="I117" s="156"/>
      <c r="J117" s="156"/>
      <c r="K117" s="156"/>
      <c r="L117" s="156"/>
      <c r="M117" s="156"/>
      <c r="N117" s="156"/>
      <c r="O117" s="156"/>
      <c r="P117" s="156"/>
      <c r="Q117" s="156"/>
    </row>
    <row r="118" spans="1:17" s="115" customFormat="1" ht="15.75" x14ac:dyDescent="0.25">
      <c r="A118" s="114" t="s">
        <v>777</v>
      </c>
      <c r="B118" s="115" t="s">
        <v>778</v>
      </c>
    </row>
    <row r="119" spans="1:17" s="115" customFormat="1" ht="15.75" x14ac:dyDescent="0.25">
      <c r="A119" s="114" t="s">
        <v>779</v>
      </c>
      <c r="E119" s="120"/>
      <c r="F119" s="115" t="s">
        <v>780</v>
      </c>
      <c r="J119" s="120"/>
      <c r="K119" s="115" t="s">
        <v>781</v>
      </c>
      <c r="M119" s="120"/>
      <c r="N119" s="115" t="s">
        <v>782</v>
      </c>
    </row>
    <row r="120" spans="1:17" s="115" customFormat="1" ht="15.75" x14ac:dyDescent="0.25">
      <c r="A120" s="114" t="s">
        <v>783</v>
      </c>
      <c r="F120" s="120"/>
      <c r="G120" s="115" t="s">
        <v>784</v>
      </c>
      <c r="J120" s="128"/>
      <c r="K120" s="115" t="s">
        <v>785</v>
      </c>
      <c r="N120" s="120"/>
      <c r="O120" s="115" t="s">
        <v>786</v>
      </c>
    </row>
    <row r="121" spans="1:17" s="115" customFormat="1" ht="15.75" x14ac:dyDescent="0.25">
      <c r="A121" s="114" t="s">
        <v>787</v>
      </c>
      <c r="E121" s="120"/>
      <c r="F121" s="115" t="s">
        <v>788</v>
      </c>
      <c r="J121" s="128"/>
      <c r="K121" s="115" t="s">
        <v>789</v>
      </c>
      <c r="M121" s="120"/>
      <c r="N121" s="115" t="s">
        <v>782</v>
      </c>
    </row>
    <row r="122" spans="1:17" s="115" customFormat="1" ht="15.75" x14ac:dyDescent="0.25">
      <c r="A122" s="114" t="s">
        <v>790</v>
      </c>
      <c r="E122" s="128"/>
      <c r="F122" s="115" t="s">
        <v>268</v>
      </c>
    </row>
    <row r="123" spans="1:17" s="115" customFormat="1" ht="15.75" x14ac:dyDescent="0.25">
      <c r="A123" s="114"/>
    </row>
    <row r="124" spans="1:17" s="115" customFormat="1" ht="15.75" x14ac:dyDescent="0.25">
      <c r="A124" s="114"/>
    </row>
    <row r="125" spans="1:17" s="115" customFormat="1" ht="15.75" x14ac:dyDescent="0.25">
      <c r="A125" s="114" t="s">
        <v>791</v>
      </c>
      <c r="B125" s="115" t="s">
        <v>792</v>
      </c>
    </row>
    <row r="126" spans="1:17" s="115" customFormat="1" ht="15.75" x14ac:dyDescent="0.25">
      <c r="A126" s="114" t="s">
        <v>793</v>
      </c>
      <c r="C126" s="120"/>
      <c r="D126" s="115" t="s">
        <v>794</v>
      </c>
      <c r="F126" s="120"/>
      <c r="G126" s="115" t="s">
        <v>795</v>
      </c>
      <c r="H126" s="120"/>
      <c r="I126" s="115" t="s">
        <v>796</v>
      </c>
      <c r="M126" s="120"/>
      <c r="N126" s="115" t="s">
        <v>268</v>
      </c>
    </row>
    <row r="127" spans="1:17" s="115" customFormat="1" ht="15.75" x14ac:dyDescent="0.25">
      <c r="B127" s="114" t="s">
        <v>797</v>
      </c>
    </row>
    <row r="128" spans="1:17" s="115" customFormat="1" ht="15.75" x14ac:dyDescent="0.25">
      <c r="A128" s="732"/>
    </row>
    <row r="129" spans="1:17" s="115" customFormat="1" ht="15" customHeight="1" x14ac:dyDescent="0.25">
      <c r="A129" s="115" t="s">
        <v>798</v>
      </c>
      <c r="B129" s="115" t="s">
        <v>799</v>
      </c>
    </row>
    <row r="130" spans="1:17" s="115" customFormat="1" ht="15.75" x14ac:dyDescent="0.25">
      <c r="B130" s="4006" t="s">
        <v>261</v>
      </c>
      <c r="C130" s="4006"/>
      <c r="D130" s="157" t="e">
        <f>#REF!</f>
        <v>#REF!</v>
      </c>
      <c r="E130" s="115" t="s">
        <v>262</v>
      </c>
      <c r="F130" s="157" t="e">
        <f>#REF!</f>
        <v>#REF!</v>
      </c>
      <c r="G130" s="4006" t="s">
        <v>79</v>
      </c>
      <c r="H130" s="4006"/>
      <c r="I130" s="739" t="e">
        <f>#REF!</f>
        <v>#REF!</v>
      </c>
      <c r="J130" s="4006" t="s">
        <v>800</v>
      </c>
      <c r="K130" s="4006"/>
      <c r="L130" s="157" t="e">
        <f>#REF!</f>
        <v>#REF!</v>
      </c>
      <c r="M130" s="4006" t="s">
        <v>801</v>
      </c>
      <c r="N130" s="4006"/>
      <c r="O130" s="157" t="e">
        <f>#REF!</f>
        <v>#REF!</v>
      </c>
    </row>
    <row r="131" spans="1:17" s="115" customFormat="1" ht="15.75" x14ac:dyDescent="0.25">
      <c r="A131" s="732"/>
      <c r="B131" s="4006" t="s">
        <v>802</v>
      </c>
      <c r="C131" s="4006"/>
      <c r="D131" s="740" t="e">
        <f>#REF!</f>
        <v>#REF!</v>
      </c>
      <c r="E131" s="4006" t="s">
        <v>803</v>
      </c>
      <c r="F131" s="4006"/>
      <c r="G131" s="4006"/>
      <c r="H131" s="4006"/>
      <c r="I131" s="741" t="e">
        <f>#REF!</f>
        <v>#REF!</v>
      </c>
    </row>
    <row r="132" spans="1:17" s="115" customFormat="1" ht="15.75" x14ac:dyDescent="0.25">
      <c r="A132" s="114"/>
    </row>
    <row r="133" spans="1:17" s="115" customFormat="1" ht="15.75" x14ac:dyDescent="0.25">
      <c r="A133" s="114" t="s">
        <v>804</v>
      </c>
      <c r="B133" s="115" t="s">
        <v>805</v>
      </c>
    </row>
    <row r="134" spans="1:17" s="115" customFormat="1" ht="15.75" x14ac:dyDescent="0.25">
      <c r="A134" s="114"/>
    </row>
    <row r="135" spans="1:17" s="115" customFormat="1" ht="40.5" customHeight="1" x14ac:dyDescent="0.25">
      <c r="A135" s="4034" t="s">
        <v>806</v>
      </c>
      <c r="B135" s="4048" t="s">
        <v>807</v>
      </c>
      <c r="C135" s="4049"/>
      <c r="D135" s="4050"/>
      <c r="E135" s="4051"/>
      <c r="F135" s="4052"/>
      <c r="G135" s="4053"/>
      <c r="H135" s="4054"/>
      <c r="I135" s="4055"/>
      <c r="J135" s="4048" t="s">
        <v>807</v>
      </c>
      <c r="K135" s="4182"/>
      <c r="L135" s="4183"/>
      <c r="M135" s="4184"/>
      <c r="N135" s="4185"/>
      <c r="O135" s="4186"/>
      <c r="P135" s="4187"/>
      <c r="Q135" s="4188"/>
    </row>
    <row r="136" spans="1:17" s="115" customFormat="1" ht="40.5" customHeight="1" x14ac:dyDescent="0.25">
      <c r="A136" s="4035"/>
      <c r="B136" s="4036" t="s">
        <v>808</v>
      </c>
      <c r="C136" s="4037"/>
      <c r="D136" s="4038"/>
      <c r="E136" s="4039"/>
      <c r="F136" s="4056" t="s">
        <v>70</v>
      </c>
      <c r="G136" s="4057"/>
      <c r="H136" s="4058"/>
      <c r="I136" s="4059"/>
      <c r="J136" s="4036" t="s">
        <v>808</v>
      </c>
      <c r="K136" s="4160"/>
      <c r="L136" s="4161"/>
      <c r="M136" s="4162"/>
      <c r="N136" s="4056" t="s">
        <v>70</v>
      </c>
      <c r="O136" s="4189"/>
      <c r="P136" s="4190"/>
      <c r="Q136" s="4191"/>
    </row>
    <row r="137" spans="1:17" s="742" customFormat="1" ht="30" customHeight="1" x14ac:dyDescent="0.25">
      <c r="A137" s="743"/>
      <c r="B137" s="4040" t="s">
        <v>809</v>
      </c>
      <c r="C137" s="4041"/>
      <c r="D137" s="4042"/>
      <c r="E137" s="4043"/>
      <c r="F137" s="4044"/>
      <c r="G137" s="4045"/>
      <c r="H137" s="4046"/>
      <c r="I137" s="4047"/>
      <c r="J137" s="4192" t="s">
        <v>810</v>
      </c>
      <c r="K137" s="4193"/>
      <c r="L137" s="4194"/>
      <c r="M137" s="4195"/>
      <c r="N137" s="4196"/>
      <c r="O137" s="4197"/>
      <c r="P137" s="4198"/>
      <c r="Q137" s="4199"/>
    </row>
    <row r="138" spans="1:17" s="156" customFormat="1" ht="15.75" customHeight="1" x14ac:dyDescent="0.25">
      <c r="A138" s="744">
        <v>1</v>
      </c>
      <c r="B138" s="745" t="s">
        <v>811</v>
      </c>
      <c r="C138" s="746"/>
      <c r="D138" s="746"/>
      <c r="E138" s="746"/>
      <c r="F138" s="747" t="s">
        <v>812</v>
      </c>
      <c r="G138" s="747"/>
      <c r="H138" s="747"/>
      <c r="I138" s="748"/>
      <c r="J138" s="749" t="s">
        <v>813</v>
      </c>
      <c r="K138" s="750"/>
      <c r="L138" s="750"/>
      <c r="M138" s="751"/>
      <c r="N138" s="752" t="s">
        <v>812</v>
      </c>
      <c r="O138" s="753"/>
      <c r="P138" s="753"/>
      <c r="Q138" s="754"/>
    </row>
    <row r="139" spans="1:17" s="156" customFormat="1" ht="15.75" customHeight="1" x14ac:dyDescent="0.25">
      <c r="A139" s="744">
        <v>2</v>
      </c>
      <c r="B139" s="745" t="s">
        <v>814</v>
      </c>
      <c r="C139" s="746"/>
      <c r="D139" s="746"/>
      <c r="E139" s="746"/>
      <c r="F139" s="746" t="s">
        <v>815</v>
      </c>
      <c r="G139" s="746"/>
      <c r="H139" s="746"/>
      <c r="I139" s="755"/>
      <c r="J139" s="756" t="s">
        <v>816</v>
      </c>
      <c r="K139" s="757"/>
      <c r="L139" s="757"/>
      <c r="M139" s="745"/>
      <c r="N139" s="758" t="s">
        <v>78</v>
      </c>
      <c r="O139" s="750"/>
      <c r="P139" s="750"/>
      <c r="Q139" s="759"/>
    </row>
    <row r="140" spans="1:17" s="156" customFormat="1" ht="15.75" customHeight="1" x14ac:dyDescent="0.25">
      <c r="A140" s="744">
        <v>3</v>
      </c>
      <c r="B140" s="745" t="s">
        <v>817</v>
      </c>
      <c r="C140" s="746"/>
      <c r="D140" s="746"/>
      <c r="E140" s="746"/>
      <c r="F140" s="746" t="s">
        <v>815</v>
      </c>
      <c r="G140" s="746"/>
      <c r="H140" s="746"/>
      <c r="I140" s="755"/>
      <c r="J140" s="756" t="s">
        <v>818</v>
      </c>
      <c r="K140" s="757"/>
      <c r="L140" s="757"/>
      <c r="M140" s="745"/>
      <c r="N140" s="760" t="s">
        <v>815</v>
      </c>
      <c r="O140" s="757"/>
      <c r="P140" s="757"/>
      <c r="Q140" s="761"/>
    </row>
    <row r="141" spans="1:17" s="156" customFormat="1" ht="25.5" customHeight="1" x14ac:dyDescent="0.25">
      <c r="A141" s="762"/>
      <c r="B141" s="4099" t="s">
        <v>819</v>
      </c>
      <c r="C141" s="4128"/>
      <c r="D141" s="4129"/>
      <c r="E141" s="4130"/>
      <c r="F141" s="4131"/>
      <c r="G141" s="4132"/>
      <c r="H141" s="4133"/>
      <c r="I141" s="4134"/>
      <c r="J141" s="4192" t="s">
        <v>820</v>
      </c>
      <c r="K141" s="4200"/>
      <c r="L141" s="4201"/>
      <c r="M141" s="4202"/>
      <c r="N141" s="4203"/>
      <c r="O141" s="4204"/>
      <c r="P141" s="4205"/>
      <c r="Q141" s="4206"/>
    </row>
    <row r="142" spans="1:17" s="156" customFormat="1" ht="15.75" customHeight="1" x14ac:dyDescent="0.25">
      <c r="A142" s="744">
        <v>1</v>
      </c>
      <c r="B142" s="757" t="s">
        <v>821</v>
      </c>
      <c r="C142" s="757"/>
      <c r="D142" s="757"/>
      <c r="E142" s="745"/>
      <c r="F142" s="758" t="s">
        <v>78</v>
      </c>
      <c r="G142" s="750"/>
      <c r="H142" s="750"/>
      <c r="I142" s="759"/>
      <c r="J142" s="756" t="s">
        <v>822</v>
      </c>
      <c r="K142" s="757"/>
      <c r="L142" s="757"/>
      <c r="M142" s="745"/>
      <c r="N142" s="760" t="s">
        <v>823</v>
      </c>
      <c r="O142" s="757"/>
      <c r="P142" s="757"/>
      <c r="Q142" s="761"/>
    </row>
    <row r="143" spans="1:17" s="156" customFormat="1" ht="15.75" customHeight="1" x14ac:dyDescent="0.25">
      <c r="A143" s="744">
        <v>2</v>
      </c>
      <c r="B143" s="757" t="s">
        <v>818</v>
      </c>
      <c r="C143" s="757"/>
      <c r="D143" s="757"/>
      <c r="E143" s="745"/>
      <c r="F143" s="760" t="s">
        <v>815</v>
      </c>
      <c r="G143" s="757"/>
      <c r="H143" s="757"/>
      <c r="I143" s="761"/>
      <c r="J143" s="756" t="s">
        <v>824</v>
      </c>
      <c r="K143" s="757"/>
      <c r="L143" s="757"/>
      <c r="M143" s="745"/>
      <c r="N143" s="760" t="s">
        <v>823</v>
      </c>
      <c r="O143" s="757"/>
      <c r="P143" s="757"/>
      <c r="Q143" s="761"/>
    </row>
    <row r="144" spans="1:17" s="156" customFormat="1" ht="15.75" customHeight="1" x14ac:dyDescent="0.25">
      <c r="A144" s="744">
        <v>3</v>
      </c>
      <c r="B144" s="750" t="s">
        <v>813</v>
      </c>
      <c r="C144" s="750"/>
      <c r="D144" s="750"/>
      <c r="E144" s="751"/>
      <c r="F144" s="758" t="s">
        <v>812</v>
      </c>
      <c r="G144" s="750"/>
      <c r="H144" s="750"/>
      <c r="I144" s="759"/>
      <c r="J144" s="756" t="s">
        <v>825</v>
      </c>
      <c r="K144" s="757"/>
      <c r="L144" s="757"/>
      <c r="M144" s="745"/>
      <c r="N144" s="758" t="s">
        <v>78</v>
      </c>
      <c r="O144" s="750"/>
      <c r="P144" s="750"/>
      <c r="Q144" s="759"/>
    </row>
    <row r="145" spans="1:17" s="156" customFormat="1" ht="29.25" customHeight="1" x14ac:dyDescent="0.25">
      <c r="A145" s="762"/>
      <c r="B145" s="4099" t="s">
        <v>826</v>
      </c>
      <c r="C145" s="4121"/>
      <c r="D145" s="4122"/>
      <c r="E145" s="4123"/>
      <c r="F145" s="4124"/>
      <c r="G145" s="4125"/>
      <c r="H145" s="4126"/>
      <c r="I145" s="4127"/>
      <c r="J145" s="4192" t="s">
        <v>827</v>
      </c>
      <c r="K145" s="4207"/>
      <c r="L145" s="4208"/>
      <c r="M145" s="4209"/>
      <c r="N145" s="4210"/>
      <c r="O145" s="4211"/>
      <c r="P145" s="4212"/>
      <c r="Q145" s="4213"/>
    </row>
    <row r="146" spans="1:17" s="156" customFormat="1" ht="15.75" customHeight="1" x14ac:dyDescent="0.25">
      <c r="A146" s="744">
        <v>1</v>
      </c>
      <c r="B146" s="763" t="s">
        <v>822</v>
      </c>
      <c r="C146" s="763"/>
      <c r="D146" s="763"/>
      <c r="E146" s="764"/>
      <c r="F146" s="760" t="s">
        <v>823</v>
      </c>
      <c r="G146" s="757"/>
      <c r="H146" s="757"/>
      <c r="I146" s="761"/>
      <c r="J146" s="756" t="s">
        <v>828</v>
      </c>
      <c r="K146" s="757"/>
      <c r="L146" s="757"/>
      <c r="M146" s="745"/>
      <c r="N146" s="760" t="s">
        <v>829</v>
      </c>
      <c r="O146" s="757"/>
      <c r="P146" s="757"/>
      <c r="Q146" s="761"/>
    </row>
    <row r="147" spans="1:17" s="156" customFormat="1" ht="15.75" customHeight="1" x14ac:dyDescent="0.25">
      <c r="A147" s="744">
        <v>2</v>
      </c>
      <c r="B147" s="757" t="s">
        <v>824</v>
      </c>
      <c r="C147" s="757"/>
      <c r="D147" s="757"/>
      <c r="E147" s="745"/>
      <c r="F147" s="760" t="s">
        <v>823</v>
      </c>
      <c r="G147" s="757"/>
      <c r="H147" s="757"/>
      <c r="I147" s="761"/>
      <c r="J147" s="756" t="s">
        <v>830</v>
      </c>
      <c r="K147" s="757"/>
      <c r="L147" s="757"/>
      <c r="M147" s="745"/>
      <c r="N147" s="760" t="s">
        <v>815</v>
      </c>
      <c r="O147" s="757"/>
      <c r="P147" s="757"/>
      <c r="Q147" s="761"/>
    </row>
    <row r="148" spans="1:17" s="156" customFormat="1" ht="15.75" customHeight="1" x14ac:dyDescent="0.25">
      <c r="A148" s="744">
        <v>3</v>
      </c>
      <c r="B148" s="757" t="s">
        <v>825</v>
      </c>
      <c r="C148" s="757"/>
      <c r="D148" s="757"/>
      <c r="E148" s="745"/>
      <c r="F148" s="758" t="s">
        <v>78</v>
      </c>
      <c r="G148" s="750"/>
      <c r="H148" s="750"/>
      <c r="I148" s="759"/>
      <c r="J148" s="756" t="s">
        <v>831</v>
      </c>
      <c r="K148" s="757"/>
      <c r="L148" s="757"/>
      <c r="M148" s="745"/>
      <c r="N148" s="760" t="s">
        <v>829</v>
      </c>
      <c r="O148" s="757"/>
      <c r="P148" s="757"/>
      <c r="Q148" s="761"/>
    </row>
    <row r="149" spans="1:17" s="156" customFormat="1" ht="40.5" customHeight="1" x14ac:dyDescent="0.25">
      <c r="A149" s="762"/>
      <c r="B149" s="4099" t="s">
        <v>832</v>
      </c>
      <c r="C149" s="4114"/>
      <c r="D149" s="4115"/>
      <c r="E149" s="4116"/>
      <c r="F149" s="4117"/>
      <c r="G149" s="4118"/>
      <c r="H149" s="4119"/>
      <c r="I149" s="4120"/>
      <c r="J149" s="4192" t="s">
        <v>833</v>
      </c>
      <c r="K149" s="4214"/>
      <c r="L149" s="4215"/>
      <c r="M149" s="4216"/>
      <c r="N149" s="4217"/>
      <c r="O149" s="4218"/>
      <c r="P149" s="4219"/>
      <c r="Q149" s="4220"/>
    </row>
    <row r="150" spans="1:17" s="156" customFormat="1" ht="15.75" customHeight="1" x14ac:dyDescent="0.25">
      <c r="A150" s="744">
        <v>1</v>
      </c>
      <c r="B150" s="757" t="s">
        <v>830</v>
      </c>
      <c r="C150" s="757"/>
      <c r="D150" s="757"/>
      <c r="E150" s="745"/>
      <c r="F150" s="760" t="s">
        <v>815</v>
      </c>
      <c r="G150" s="757"/>
      <c r="H150" s="757"/>
      <c r="I150" s="761"/>
      <c r="J150" s="756" t="s">
        <v>814</v>
      </c>
      <c r="K150" s="757"/>
      <c r="L150" s="757"/>
      <c r="M150" s="745"/>
      <c r="N150" s="760" t="s">
        <v>815</v>
      </c>
      <c r="O150" s="757"/>
      <c r="P150" s="757"/>
      <c r="Q150" s="761"/>
    </row>
    <row r="151" spans="1:17" s="156" customFormat="1" ht="15.75" customHeight="1" x14ac:dyDescent="0.25">
      <c r="A151" s="744">
        <v>2</v>
      </c>
      <c r="B151" s="757" t="s">
        <v>828</v>
      </c>
      <c r="C151" s="757"/>
      <c r="D151" s="757"/>
      <c r="E151" s="745"/>
      <c r="F151" s="760" t="s">
        <v>829</v>
      </c>
      <c r="G151" s="757"/>
      <c r="H151" s="757"/>
      <c r="I151" s="761"/>
      <c r="J151" s="756" t="s">
        <v>811</v>
      </c>
      <c r="K151" s="757"/>
      <c r="L151" s="757"/>
      <c r="M151" s="745"/>
      <c r="N151" s="752" t="s">
        <v>812</v>
      </c>
      <c r="O151" s="753"/>
      <c r="P151" s="753"/>
      <c r="Q151" s="754"/>
    </row>
    <row r="152" spans="1:17" s="156" customFormat="1" ht="15.75" customHeight="1" x14ac:dyDescent="0.25">
      <c r="A152" s="744">
        <v>3</v>
      </c>
      <c r="B152" s="757" t="s">
        <v>834</v>
      </c>
      <c r="C152" s="757"/>
      <c r="D152" s="757"/>
      <c r="E152" s="745"/>
      <c r="F152" s="758" t="s">
        <v>78</v>
      </c>
      <c r="G152" s="750"/>
      <c r="H152" s="750"/>
      <c r="I152" s="759"/>
      <c r="J152" s="756" t="s">
        <v>835</v>
      </c>
      <c r="K152" s="757"/>
      <c r="L152" s="757"/>
      <c r="M152" s="745"/>
      <c r="N152" s="758" t="s">
        <v>78</v>
      </c>
      <c r="O152" s="750"/>
      <c r="P152" s="750"/>
      <c r="Q152" s="759"/>
    </row>
    <row r="153" spans="1:17" s="156" customFormat="1" ht="27" customHeight="1" x14ac:dyDescent="0.25">
      <c r="A153" s="762"/>
      <c r="B153" s="4099" t="s">
        <v>836</v>
      </c>
      <c r="C153" s="4107"/>
      <c r="D153" s="4108"/>
      <c r="E153" s="4109"/>
      <c r="F153" s="4110"/>
      <c r="G153" s="4111"/>
      <c r="H153" s="4112"/>
      <c r="I153" s="4113"/>
      <c r="J153" s="4192" t="s">
        <v>837</v>
      </c>
      <c r="K153" s="4221"/>
      <c r="L153" s="4222"/>
      <c r="M153" s="4223"/>
      <c r="N153" s="4224"/>
      <c r="O153" s="4225"/>
      <c r="P153" s="4226"/>
      <c r="Q153" s="4227"/>
    </row>
    <row r="154" spans="1:17" s="156" customFormat="1" ht="15.75" customHeight="1" x14ac:dyDescent="0.25">
      <c r="A154" s="744">
        <v>1</v>
      </c>
      <c r="B154" s="757" t="s">
        <v>811</v>
      </c>
      <c r="C154" s="757"/>
      <c r="D154" s="757"/>
      <c r="E154" s="745"/>
      <c r="F154" s="758" t="s">
        <v>812</v>
      </c>
      <c r="G154" s="750"/>
      <c r="H154" s="750"/>
      <c r="I154" s="759"/>
      <c r="J154" s="756" t="s">
        <v>816</v>
      </c>
      <c r="K154" s="757"/>
      <c r="L154" s="757"/>
      <c r="M154" s="745"/>
      <c r="N154" s="758" t="s">
        <v>78</v>
      </c>
      <c r="O154" s="750"/>
      <c r="P154" s="750"/>
      <c r="Q154" s="759"/>
    </row>
    <row r="155" spans="1:17" s="156" customFormat="1" ht="15.75" customHeight="1" x14ac:dyDescent="0.25">
      <c r="A155" s="744">
        <v>2</v>
      </c>
      <c r="B155" s="757" t="s">
        <v>814</v>
      </c>
      <c r="C155" s="757"/>
      <c r="D155" s="757"/>
      <c r="E155" s="745"/>
      <c r="F155" s="760" t="s">
        <v>815</v>
      </c>
      <c r="G155" s="757"/>
      <c r="H155" s="757"/>
      <c r="I155" s="761"/>
      <c r="J155" s="749" t="s">
        <v>813</v>
      </c>
      <c r="K155" s="750"/>
      <c r="L155" s="750"/>
      <c r="M155" s="751"/>
      <c r="N155" s="752" t="s">
        <v>812</v>
      </c>
      <c r="O155" s="753"/>
      <c r="P155" s="753"/>
      <c r="Q155" s="754"/>
    </row>
    <row r="156" spans="1:17" s="156" customFormat="1" ht="15.75" customHeight="1" x14ac:dyDescent="0.25">
      <c r="A156" s="744">
        <v>3</v>
      </c>
      <c r="B156" s="757" t="s">
        <v>838</v>
      </c>
      <c r="C156" s="757"/>
      <c r="D156" s="757"/>
      <c r="E156" s="745"/>
      <c r="F156" s="758" t="s">
        <v>78</v>
      </c>
      <c r="G156" s="750"/>
      <c r="H156" s="750"/>
      <c r="I156" s="759"/>
      <c r="J156" s="756" t="s">
        <v>821</v>
      </c>
      <c r="K156" s="757"/>
      <c r="L156" s="757"/>
      <c r="M156" s="745"/>
      <c r="N156" s="758" t="s">
        <v>78</v>
      </c>
      <c r="O156" s="750"/>
      <c r="P156" s="750"/>
      <c r="Q156" s="759"/>
    </row>
    <row r="157" spans="1:17" s="156" customFormat="1" ht="40.5" customHeight="1" x14ac:dyDescent="0.25">
      <c r="A157" s="762"/>
      <c r="B157" s="4099" t="s">
        <v>839</v>
      </c>
      <c r="C157" s="4100"/>
      <c r="D157" s="4101"/>
      <c r="E157" s="4102"/>
      <c r="F157" s="4103"/>
      <c r="G157" s="4104"/>
      <c r="H157" s="4105"/>
      <c r="I157" s="4106"/>
      <c r="J157" s="4192" t="s">
        <v>840</v>
      </c>
      <c r="K157" s="4228"/>
      <c r="L157" s="4229"/>
      <c r="M157" s="4230"/>
      <c r="N157" s="4231"/>
      <c r="O157" s="4232"/>
      <c r="P157" s="4233"/>
      <c r="Q157" s="4234"/>
    </row>
    <row r="158" spans="1:17" s="156" customFormat="1" ht="15.75" customHeight="1" x14ac:dyDescent="0.25">
      <c r="A158" s="744">
        <v>1</v>
      </c>
      <c r="B158" s="757" t="s">
        <v>834</v>
      </c>
      <c r="C158" s="757"/>
      <c r="D158" s="757"/>
      <c r="E158" s="745"/>
      <c r="F158" s="758" t="s">
        <v>78</v>
      </c>
      <c r="G158" s="750"/>
      <c r="H158" s="750"/>
      <c r="I158" s="759"/>
      <c r="J158" s="765" t="s">
        <v>822</v>
      </c>
      <c r="K158" s="763"/>
      <c r="L158" s="763"/>
      <c r="M158" s="764"/>
      <c r="N158" s="760" t="s">
        <v>823</v>
      </c>
      <c r="O158" s="757"/>
      <c r="P158" s="757"/>
      <c r="Q158" s="761"/>
    </row>
    <row r="159" spans="1:17" s="156" customFormat="1" ht="15.75" customHeight="1" x14ac:dyDescent="0.25">
      <c r="A159" s="744">
        <v>2</v>
      </c>
      <c r="B159" s="750" t="s">
        <v>813</v>
      </c>
      <c r="C159" s="750"/>
      <c r="D159" s="750"/>
      <c r="E159" s="751"/>
      <c r="F159" s="758" t="s">
        <v>812</v>
      </c>
      <c r="G159" s="750"/>
      <c r="H159" s="750"/>
      <c r="I159" s="759"/>
      <c r="J159" s="756" t="s">
        <v>824</v>
      </c>
      <c r="K159" s="757"/>
      <c r="L159" s="757"/>
      <c r="M159" s="745"/>
      <c r="N159" s="760" t="s">
        <v>823</v>
      </c>
      <c r="O159" s="757"/>
      <c r="P159" s="757"/>
      <c r="Q159" s="761"/>
    </row>
    <row r="160" spans="1:17" s="156" customFormat="1" ht="15.75" customHeight="1" x14ac:dyDescent="0.25">
      <c r="A160" s="744">
        <v>3</v>
      </c>
      <c r="B160" s="757" t="s">
        <v>821</v>
      </c>
      <c r="C160" s="757"/>
      <c r="D160" s="757"/>
      <c r="E160" s="745"/>
      <c r="F160" s="758" t="s">
        <v>78</v>
      </c>
      <c r="G160" s="750"/>
      <c r="H160" s="750"/>
      <c r="I160" s="759"/>
      <c r="J160" s="756" t="s">
        <v>835</v>
      </c>
      <c r="K160" s="757"/>
      <c r="L160" s="757"/>
      <c r="M160" s="745"/>
      <c r="N160" s="758" t="s">
        <v>78</v>
      </c>
      <c r="O160" s="750"/>
      <c r="P160" s="750"/>
      <c r="Q160" s="759"/>
    </row>
    <row r="161" spans="1:27" s="156" customFormat="1" ht="27.75" customHeight="1" x14ac:dyDescent="0.25">
      <c r="A161" s="766"/>
      <c r="B161" s="4091" t="s">
        <v>841</v>
      </c>
      <c r="C161" s="4092"/>
      <c r="D161" s="4093"/>
      <c r="E161" s="4094"/>
      <c r="F161" s="4095"/>
      <c r="G161" s="4096"/>
      <c r="H161" s="4097"/>
      <c r="I161" s="4098"/>
      <c r="J161" s="4192" t="s">
        <v>842</v>
      </c>
      <c r="K161" s="4235"/>
      <c r="L161" s="4236"/>
      <c r="M161" s="4237"/>
      <c r="N161" s="4238"/>
      <c r="O161" s="4239"/>
      <c r="P161" s="4240"/>
      <c r="Q161" s="4241"/>
    </row>
    <row r="162" spans="1:27" s="156" customFormat="1" ht="15.75" customHeight="1" x14ac:dyDescent="0.25">
      <c r="A162" s="767">
        <v>1</v>
      </c>
      <c r="B162" s="756" t="s">
        <v>825</v>
      </c>
      <c r="C162" s="757"/>
      <c r="D162" s="757"/>
      <c r="E162" s="745"/>
      <c r="F162" s="758" t="s">
        <v>78</v>
      </c>
      <c r="G162" s="750"/>
      <c r="H162" s="750"/>
      <c r="I162" s="759"/>
      <c r="J162" s="756" t="s">
        <v>834</v>
      </c>
      <c r="K162" s="757"/>
      <c r="L162" s="757"/>
      <c r="M162" s="745"/>
      <c r="N162" s="758" t="s">
        <v>78</v>
      </c>
      <c r="O162" s="750"/>
      <c r="P162" s="750"/>
      <c r="Q162" s="759"/>
    </row>
    <row r="163" spans="1:27" s="156" customFormat="1" ht="15.75" customHeight="1" x14ac:dyDescent="0.25">
      <c r="A163" s="767">
        <v>2</v>
      </c>
      <c r="B163" s="756" t="s">
        <v>843</v>
      </c>
      <c r="C163" s="757"/>
      <c r="D163" s="757"/>
      <c r="E163" s="745"/>
      <c r="F163" s="758" t="s">
        <v>78</v>
      </c>
      <c r="G163" s="750"/>
      <c r="H163" s="750"/>
      <c r="I163" s="759"/>
      <c r="J163" s="756" t="s">
        <v>828</v>
      </c>
      <c r="K163" s="757"/>
      <c r="L163" s="757"/>
      <c r="M163" s="745"/>
      <c r="N163" s="760" t="s">
        <v>829</v>
      </c>
      <c r="O163" s="757"/>
      <c r="P163" s="757"/>
      <c r="Q163" s="761"/>
    </row>
    <row r="164" spans="1:27" s="156" customFormat="1" ht="15.75" customHeight="1" x14ac:dyDescent="0.25">
      <c r="A164" s="767">
        <v>3</v>
      </c>
      <c r="B164" s="756" t="s">
        <v>844</v>
      </c>
      <c r="C164" s="757"/>
      <c r="D164" s="757"/>
      <c r="E164" s="745"/>
      <c r="F164" s="760" t="s">
        <v>815</v>
      </c>
      <c r="G164" s="757"/>
      <c r="H164" s="757"/>
      <c r="I164" s="761"/>
      <c r="J164" s="756" t="s">
        <v>830</v>
      </c>
      <c r="K164" s="757"/>
      <c r="L164" s="757"/>
      <c r="M164" s="745"/>
      <c r="N164" s="760" t="s">
        <v>815</v>
      </c>
      <c r="O164" s="757"/>
      <c r="P164" s="757"/>
      <c r="Q164" s="761"/>
    </row>
    <row r="165" spans="1:27" s="156" customFormat="1" ht="30" customHeight="1" x14ac:dyDescent="0.25">
      <c r="A165" s="767"/>
      <c r="B165" s="4076" t="s">
        <v>845</v>
      </c>
      <c r="C165" s="4084"/>
      <c r="D165" s="4085"/>
      <c r="E165" s="4086"/>
      <c r="F165" s="4087"/>
      <c r="G165" s="4088"/>
      <c r="H165" s="4089"/>
      <c r="I165" s="4090"/>
      <c r="J165" s="4076" t="s">
        <v>846</v>
      </c>
      <c r="K165" s="4242"/>
      <c r="L165" s="4243"/>
      <c r="M165" s="4244"/>
      <c r="N165" s="4245"/>
      <c r="O165" s="4246"/>
      <c r="P165" s="4247"/>
      <c r="Q165" s="4248"/>
      <c r="V165" s="187"/>
      <c r="W165" s="48"/>
      <c r="X165" s="92"/>
      <c r="Y165" s="16"/>
      <c r="Z165" s="204"/>
      <c r="AA165" s="95"/>
    </row>
    <row r="166" spans="1:27" s="156" customFormat="1" ht="15.75" x14ac:dyDescent="0.25">
      <c r="A166" s="744">
        <v>1</v>
      </c>
      <c r="B166" s="756" t="s">
        <v>814</v>
      </c>
      <c r="C166" s="757"/>
      <c r="D166" s="757"/>
      <c r="E166" s="745"/>
      <c r="F166" s="760" t="s">
        <v>815</v>
      </c>
      <c r="G166" s="757"/>
      <c r="H166" s="757"/>
      <c r="I166" s="761"/>
      <c r="J166" s="756" t="s">
        <v>811</v>
      </c>
      <c r="K166" s="757"/>
      <c r="L166" s="757"/>
      <c r="M166" s="745"/>
      <c r="N166" s="768" t="s">
        <v>812</v>
      </c>
      <c r="O166" s="757"/>
      <c r="P166" s="128"/>
      <c r="Q166" s="769"/>
      <c r="V166" s="187"/>
      <c r="W166" s="92"/>
      <c r="X166" s="16"/>
      <c r="AA166" s="74"/>
    </row>
    <row r="167" spans="1:27" s="156" customFormat="1" ht="15.75" x14ac:dyDescent="0.25">
      <c r="A167" s="744">
        <v>2</v>
      </c>
      <c r="B167" s="756" t="s">
        <v>843</v>
      </c>
      <c r="C167" s="757"/>
      <c r="D167" s="757"/>
      <c r="E167" s="745"/>
      <c r="F167" s="760" t="s">
        <v>78</v>
      </c>
      <c r="G167" s="757"/>
      <c r="H167" s="757"/>
      <c r="I167" s="761"/>
      <c r="J167" s="756" t="s">
        <v>814</v>
      </c>
      <c r="K167" s="757"/>
      <c r="L167" s="757"/>
      <c r="M167" s="745"/>
      <c r="N167" s="760" t="s">
        <v>815</v>
      </c>
      <c r="O167" s="757"/>
      <c r="P167" s="128"/>
      <c r="Q167" s="769"/>
      <c r="V167" s="187"/>
      <c r="W167" s="92"/>
      <c r="X167" s="16"/>
      <c r="AA167" s="95"/>
    </row>
    <row r="168" spans="1:27" s="156" customFormat="1" ht="15.75" x14ac:dyDescent="0.25">
      <c r="A168" s="744">
        <v>3</v>
      </c>
      <c r="B168" s="756" t="s">
        <v>817</v>
      </c>
      <c r="C168" s="757"/>
      <c r="D168" s="757"/>
      <c r="E168" s="745"/>
      <c r="F168" s="760" t="s">
        <v>815</v>
      </c>
      <c r="G168" s="757"/>
      <c r="H168" s="757"/>
      <c r="I168" s="761"/>
      <c r="J168" s="756" t="s">
        <v>847</v>
      </c>
      <c r="K168" s="757"/>
      <c r="L168" s="757"/>
      <c r="M168" s="745"/>
      <c r="N168" s="768" t="s">
        <v>812</v>
      </c>
      <c r="O168" s="757"/>
      <c r="P168" s="128"/>
      <c r="Q168" s="769"/>
      <c r="V168" s="187"/>
      <c r="W168" s="92"/>
      <c r="X168" s="16"/>
      <c r="AA168" s="74"/>
    </row>
    <row r="169" spans="1:27" s="156" customFormat="1" ht="30.75" customHeight="1" x14ac:dyDescent="0.25">
      <c r="A169" s="766"/>
      <c r="B169" s="4076" t="s">
        <v>848</v>
      </c>
      <c r="C169" s="4077"/>
      <c r="D169" s="4078"/>
      <c r="E169" s="4079"/>
      <c r="F169" s="4080"/>
      <c r="G169" s="4081"/>
      <c r="H169" s="4082"/>
      <c r="I169" s="4083"/>
      <c r="J169" s="4076" t="s">
        <v>849</v>
      </c>
      <c r="K169" s="4249"/>
      <c r="L169" s="4250"/>
      <c r="M169" s="4251"/>
      <c r="N169" s="4252"/>
      <c r="O169" s="4253"/>
      <c r="P169" s="4254"/>
      <c r="Q169" s="4255"/>
      <c r="V169" s="187"/>
      <c r="W169" s="48"/>
      <c r="X169" s="92"/>
      <c r="Z169" s="74"/>
      <c r="AA169" s="204"/>
    </row>
    <row r="170" spans="1:27" s="156" customFormat="1" ht="15.75" x14ac:dyDescent="0.25">
      <c r="A170" s="767">
        <v>1</v>
      </c>
      <c r="B170" s="756" t="s">
        <v>821</v>
      </c>
      <c r="C170" s="757"/>
      <c r="D170" s="757"/>
      <c r="E170" s="745"/>
      <c r="F170" s="758" t="s">
        <v>78</v>
      </c>
      <c r="G170" s="750"/>
      <c r="H170" s="750"/>
      <c r="I170" s="759"/>
      <c r="J170" s="756" t="s">
        <v>834</v>
      </c>
      <c r="K170" s="757"/>
      <c r="L170" s="757"/>
      <c r="M170" s="745"/>
      <c r="N170" s="760" t="s">
        <v>78</v>
      </c>
      <c r="O170" s="757"/>
      <c r="P170" s="128"/>
      <c r="Q170" s="769"/>
      <c r="V170" s="187"/>
      <c r="W170" s="92"/>
      <c r="X170" s="16"/>
      <c r="AA170" s="95"/>
    </row>
    <row r="171" spans="1:27" s="156" customFormat="1" ht="15.75" x14ac:dyDescent="0.25">
      <c r="A171" s="767">
        <v>2</v>
      </c>
      <c r="B171" s="756" t="s">
        <v>850</v>
      </c>
      <c r="C171" s="757"/>
      <c r="D171" s="757"/>
      <c r="E171" s="745"/>
      <c r="F171" s="758" t="s">
        <v>815</v>
      </c>
      <c r="G171" s="750"/>
      <c r="H171" s="750"/>
      <c r="I171" s="759"/>
      <c r="J171" s="756" t="s">
        <v>813</v>
      </c>
      <c r="K171" s="757"/>
      <c r="L171" s="757"/>
      <c r="M171" s="745"/>
      <c r="N171" s="768" t="s">
        <v>812</v>
      </c>
      <c r="O171" s="763"/>
      <c r="P171" s="770"/>
      <c r="Q171" s="771"/>
      <c r="V171" s="187"/>
      <c r="W171" s="92"/>
      <c r="X171" s="16"/>
      <c r="AA171" s="74"/>
    </row>
    <row r="172" spans="1:27" s="156" customFormat="1" ht="15.75" x14ac:dyDescent="0.25">
      <c r="A172" s="767">
        <v>3</v>
      </c>
      <c r="B172" s="756" t="s">
        <v>816</v>
      </c>
      <c r="C172" s="757"/>
      <c r="D172" s="757"/>
      <c r="E172" s="745"/>
      <c r="F172" s="758" t="s">
        <v>78</v>
      </c>
      <c r="G172" s="750"/>
      <c r="H172" s="750"/>
      <c r="I172" s="759"/>
      <c r="J172" s="756" t="s">
        <v>816</v>
      </c>
      <c r="K172" s="757"/>
      <c r="L172" s="757"/>
      <c r="M172" s="745"/>
      <c r="N172" s="760" t="s">
        <v>78</v>
      </c>
      <c r="O172" s="757"/>
      <c r="P172" s="128"/>
      <c r="Q172" s="769"/>
      <c r="V172" s="187"/>
      <c r="W172" s="92"/>
      <c r="X172" s="16"/>
      <c r="AA172" s="95"/>
    </row>
    <row r="173" spans="1:27" s="115" customFormat="1" ht="50.25" customHeight="1" x14ac:dyDescent="0.25">
      <c r="A173" s="766"/>
      <c r="B173" s="4068" t="s">
        <v>851</v>
      </c>
      <c r="C173" s="4069"/>
      <c r="D173" s="4070"/>
      <c r="E173" s="4071"/>
      <c r="F173" s="4072"/>
      <c r="G173" s="4073"/>
      <c r="H173" s="4074"/>
      <c r="I173" s="4075"/>
      <c r="J173" s="4068" t="s">
        <v>852</v>
      </c>
      <c r="K173" s="4163"/>
      <c r="L173" s="4164"/>
      <c r="M173" s="4165"/>
      <c r="N173" s="4166"/>
      <c r="O173" s="4167"/>
      <c r="P173" s="4168"/>
      <c r="Q173" s="4169"/>
    </row>
    <row r="174" spans="1:27" s="115" customFormat="1" ht="15.75" customHeight="1" x14ac:dyDescent="0.25">
      <c r="A174" s="767">
        <v>1</v>
      </c>
      <c r="B174" s="757" t="s">
        <v>825</v>
      </c>
      <c r="C174" s="757"/>
      <c r="D174" s="757"/>
      <c r="E174" s="745"/>
      <c r="F174" s="758" t="s">
        <v>78</v>
      </c>
      <c r="G174" s="750"/>
      <c r="H174" s="750"/>
      <c r="I174" s="759"/>
      <c r="J174" s="757" t="s">
        <v>834</v>
      </c>
      <c r="K174" s="757"/>
      <c r="L174" s="757"/>
      <c r="M174" s="745"/>
      <c r="N174" s="758" t="s">
        <v>78</v>
      </c>
      <c r="O174" s="750"/>
      <c r="P174" s="750"/>
      <c r="Q174" s="759"/>
    </row>
    <row r="175" spans="1:27" s="115" customFormat="1" ht="15.75" customHeight="1" x14ac:dyDescent="0.25">
      <c r="A175" s="767">
        <v>1</v>
      </c>
      <c r="B175" s="757" t="s">
        <v>838</v>
      </c>
      <c r="C175" s="757"/>
      <c r="D175" s="757"/>
      <c r="E175" s="745"/>
      <c r="F175" s="758" t="s">
        <v>78</v>
      </c>
      <c r="G175" s="750"/>
      <c r="H175" s="750"/>
      <c r="I175" s="759"/>
      <c r="J175" s="757" t="s">
        <v>853</v>
      </c>
      <c r="K175" s="757"/>
      <c r="L175" s="757"/>
      <c r="M175" s="745"/>
      <c r="N175" s="758" t="s">
        <v>78</v>
      </c>
      <c r="O175" s="750"/>
      <c r="P175" s="750"/>
      <c r="Q175" s="759"/>
    </row>
    <row r="176" spans="1:27" s="115" customFormat="1" ht="15.75" customHeight="1" x14ac:dyDescent="0.25">
      <c r="A176" s="767">
        <v>1</v>
      </c>
      <c r="B176" s="757" t="s">
        <v>843</v>
      </c>
      <c r="C176" s="757"/>
      <c r="D176" s="757"/>
      <c r="E176" s="745"/>
      <c r="F176" s="758" t="s">
        <v>78</v>
      </c>
      <c r="G176" s="750"/>
      <c r="H176" s="750"/>
      <c r="I176" s="759"/>
      <c r="J176" s="757" t="s">
        <v>821</v>
      </c>
      <c r="K176" s="757"/>
      <c r="L176" s="757"/>
      <c r="M176" s="745"/>
      <c r="N176" s="758" t="s">
        <v>78</v>
      </c>
      <c r="O176" s="750"/>
      <c r="P176" s="750"/>
      <c r="Q176" s="759"/>
    </row>
    <row r="177" spans="1:24" s="115" customFormat="1" ht="15.75" customHeight="1" x14ac:dyDescent="0.25">
      <c r="A177" s="767">
        <v>1</v>
      </c>
      <c r="B177" s="757" t="s">
        <v>835</v>
      </c>
      <c r="C177" s="757"/>
      <c r="D177" s="757"/>
      <c r="E177" s="745"/>
      <c r="F177" s="758" t="s">
        <v>78</v>
      </c>
      <c r="G177" s="750"/>
      <c r="H177" s="750"/>
      <c r="I177" s="759"/>
      <c r="J177" s="757" t="s">
        <v>816</v>
      </c>
      <c r="K177" s="757"/>
      <c r="L177" s="757"/>
      <c r="M177" s="745"/>
      <c r="N177" s="758" t="s">
        <v>78</v>
      </c>
      <c r="O177" s="750"/>
      <c r="P177" s="750"/>
      <c r="Q177" s="759"/>
    </row>
    <row r="178" spans="1:24" s="115" customFormat="1" ht="15.75" customHeight="1" x14ac:dyDescent="0.25">
      <c r="A178" s="767">
        <v>2</v>
      </c>
      <c r="B178" s="757" t="s">
        <v>817</v>
      </c>
      <c r="C178" s="757"/>
      <c r="D178" s="757"/>
      <c r="E178" s="745"/>
      <c r="F178" s="760" t="s">
        <v>815</v>
      </c>
      <c r="G178" s="757"/>
      <c r="H178" s="757"/>
      <c r="I178" s="761"/>
      <c r="J178" s="757" t="s">
        <v>818</v>
      </c>
      <c r="K178" s="757"/>
      <c r="L178" s="757"/>
      <c r="M178" s="745"/>
      <c r="N178" s="760" t="s">
        <v>815</v>
      </c>
      <c r="O178" s="757"/>
      <c r="P178" s="757"/>
      <c r="Q178" s="761"/>
    </row>
    <row r="179" spans="1:24" s="115" customFormat="1" ht="15.75" customHeight="1" x14ac:dyDescent="0.25">
      <c r="A179" s="767">
        <v>2</v>
      </c>
      <c r="B179" s="757" t="s">
        <v>844</v>
      </c>
      <c r="C179" s="757"/>
      <c r="D179" s="757"/>
      <c r="E179" s="745"/>
      <c r="F179" s="760" t="s">
        <v>815</v>
      </c>
      <c r="G179" s="757"/>
      <c r="H179" s="757"/>
      <c r="I179" s="761"/>
      <c r="J179" s="757" t="s">
        <v>830</v>
      </c>
      <c r="K179" s="757"/>
      <c r="L179" s="757"/>
      <c r="M179" s="745"/>
      <c r="N179" s="760" t="s">
        <v>815</v>
      </c>
      <c r="O179" s="757"/>
      <c r="P179" s="757"/>
      <c r="Q179" s="761"/>
    </row>
    <row r="180" spans="1:24" s="115" customFormat="1" ht="15.75" customHeight="1" x14ac:dyDescent="0.25">
      <c r="A180" s="767">
        <v>2</v>
      </c>
      <c r="B180" s="757" t="s">
        <v>854</v>
      </c>
      <c r="C180" s="757"/>
      <c r="D180" s="757"/>
      <c r="E180" s="745"/>
      <c r="F180" s="760" t="s">
        <v>815</v>
      </c>
      <c r="G180" s="757"/>
      <c r="H180" s="757"/>
      <c r="I180" s="761"/>
      <c r="J180" s="757" t="s">
        <v>855</v>
      </c>
      <c r="K180" s="757"/>
      <c r="L180" s="757"/>
      <c r="M180" s="745"/>
      <c r="N180" s="760" t="s">
        <v>815</v>
      </c>
      <c r="O180" s="757"/>
      <c r="P180" s="757"/>
      <c r="Q180" s="761"/>
    </row>
    <row r="181" spans="1:24" s="115" customFormat="1" ht="15.75" customHeight="1" x14ac:dyDescent="0.25">
      <c r="A181" s="767">
        <v>2</v>
      </c>
      <c r="B181" s="757" t="s">
        <v>814</v>
      </c>
      <c r="C181" s="757"/>
      <c r="D181" s="757"/>
      <c r="E181" s="745"/>
      <c r="F181" s="760" t="s">
        <v>815</v>
      </c>
      <c r="G181" s="757"/>
      <c r="H181" s="757"/>
      <c r="I181" s="761"/>
      <c r="J181" s="757" t="s">
        <v>850</v>
      </c>
      <c r="K181" s="757"/>
      <c r="L181" s="757"/>
      <c r="M181" s="745"/>
      <c r="N181" s="760" t="s">
        <v>815</v>
      </c>
      <c r="O181" s="757"/>
      <c r="P181" s="757"/>
      <c r="Q181" s="761"/>
    </row>
    <row r="182" spans="1:24" s="115" customFormat="1" ht="15.75" customHeight="1" x14ac:dyDescent="0.25">
      <c r="A182" s="767">
        <v>3</v>
      </c>
      <c r="B182" s="757" t="s">
        <v>811</v>
      </c>
      <c r="C182" s="757"/>
      <c r="D182" s="757"/>
      <c r="E182" s="745"/>
      <c r="F182" s="758" t="s">
        <v>812</v>
      </c>
      <c r="G182" s="750"/>
      <c r="H182" s="750"/>
      <c r="I182" s="759"/>
      <c r="J182" s="756"/>
      <c r="K182" s="757"/>
      <c r="L182" s="757"/>
      <c r="M182" s="745"/>
      <c r="N182" s="760"/>
      <c r="O182" s="757"/>
      <c r="P182" s="128"/>
      <c r="Q182" s="769"/>
    </row>
    <row r="183" spans="1:24" s="115" customFormat="1" ht="15.75" customHeight="1" x14ac:dyDescent="0.25">
      <c r="A183" s="767">
        <v>3</v>
      </c>
      <c r="B183" s="757" t="s">
        <v>847</v>
      </c>
      <c r="C183" s="757"/>
      <c r="D183" s="757"/>
      <c r="E183" s="745"/>
      <c r="F183" s="758" t="s">
        <v>812</v>
      </c>
      <c r="G183" s="750"/>
      <c r="H183" s="750"/>
      <c r="I183" s="759"/>
      <c r="J183" s="756"/>
      <c r="K183" s="757"/>
      <c r="L183" s="757"/>
      <c r="M183" s="745"/>
      <c r="N183" s="760"/>
      <c r="O183" s="757"/>
      <c r="P183" s="128"/>
      <c r="Q183" s="769"/>
    </row>
    <row r="184" spans="1:24" s="115" customFormat="1" ht="15.75" customHeight="1" x14ac:dyDescent="0.25">
      <c r="A184" s="767">
        <v>3</v>
      </c>
      <c r="B184" s="757" t="s">
        <v>856</v>
      </c>
      <c r="C184" s="757"/>
      <c r="D184" s="757"/>
      <c r="E184" s="745"/>
      <c r="F184" s="758" t="s">
        <v>812</v>
      </c>
      <c r="G184" s="750"/>
      <c r="H184" s="750"/>
      <c r="I184" s="759"/>
      <c r="J184" s="756"/>
      <c r="K184" s="757"/>
      <c r="L184" s="757"/>
      <c r="M184" s="745"/>
      <c r="N184" s="760"/>
      <c r="O184" s="757"/>
      <c r="P184" s="128"/>
      <c r="Q184" s="769"/>
    </row>
    <row r="185" spans="1:24" s="115" customFormat="1" ht="15.75" customHeight="1" x14ac:dyDescent="0.25">
      <c r="A185" s="767">
        <v>3</v>
      </c>
      <c r="B185" s="757" t="s">
        <v>857</v>
      </c>
      <c r="C185" s="757"/>
      <c r="D185" s="757"/>
      <c r="E185" s="745"/>
      <c r="F185" s="758" t="s">
        <v>812</v>
      </c>
      <c r="G185" s="750"/>
      <c r="H185" s="750"/>
      <c r="I185" s="759"/>
      <c r="J185" s="756"/>
      <c r="K185" s="757"/>
      <c r="L185" s="757"/>
      <c r="M185" s="745"/>
      <c r="N185" s="760"/>
      <c r="O185" s="757"/>
      <c r="P185" s="128"/>
      <c r="Q185" s="769"/>
      <c r="U185" s="46"/>
      <c r="V185" s="46"/>
      <c r="W185" s="46"/>
      <c r="X185" s="46"/>
    </row>
    <row r="186" spans="1:24" s="115" customFormat="1" ht="46.5" customHeight="1" x14ac:dyDescent="0.25">
      <c r="A186" s="766"/>
      <c r="B186" s="4135" t="s">
        <v>858</v>
      </c>
      <c r="C186" s="4136"/>
      <c r="D186" s="4137"/>
      <c r="E186" s="4138"/>
      <c r="F186" s="4139"/>
      <c r="G186" s="4140"/>
      <c r="H186" s="4141"/>
      <c r="I186" s="4142"/>
      <c r="J186" s="4076" t="s">
        <v>859</v>
      </c>
      <c r="K186" s="4170"/>
      <c r="L186" s="4171"/>
      <c r="M186" s="4172"/>
      <c r="N186" s="4173"/>
      <c r="O186" s="4174"/>
      <c r="P186" s="4175"/>
      <c r="Q186" s="4176"/>
      <c r="T186" s="772"/>
      <c r="U186" s="46"/>
      <c r="V186" s="46"/>
      <c r="W186" s="46"/>
      <c r="X186" s="773"/>
    </row>
    <row r="187" spans="1:24" s="115" customFormat="1" ht="15.75" customHeight="1" x14ac:dyDescent="0.25">
      <c r="A187" s="767">
        <v>1</v>
      </c>
      <c r="B187" s="756" t="s">
        <v>825</v>
      </c>
      <c r="C187" s="757"/>
      <c r="D187" s="757"/>
      <c r="E187" s="745"/>
      <c r="F187" s="758" t="s">
        <v>78</v>
      </c>
      <c r="G187" s="750"/>
      <c r="H187" s="750"/>
      <c r="I187" s="759"/>
      <c r="J187" s="756" t="s">
        <v>850</v>
      </c>
      <c r="K187" s="757"/>
      <c r="L187" s="757"/>
      <c r="M187" s="745"/>
      <c r="N187" s="760" t="s">
        <v>815</v>
      </c>
      <c r="O187" s="757"/>
      <c r="P187" s="128"/>
      <c r="Q187" s="769"/>
      <c r="T187" s="92"/>
      <c r="V187" s="16"/>
      <c r="W187" s="204"/>
      <c r="X187" s="95"/>
    </row>
    <row r="188" spans="1:24" s="115" customFormat="1" ht="15.75" customHeight="1" x14ac:dyDescent="0.25">
      <c r="A188" s="767">
        <v>1</v>
      </c>
      <c r="B188" s="756" t="s">
        <v>838</v>
      </c>
      <c r="C188" s="757"/>
      <c r="D188" s="757"/>
      <c r="E188" s="745"/>
      <c r="F188" s="758" t="s">
        <v>78</v>
      </c>
      <c r="G188" s="750"/>
      <c r="H188" s="750"/>
      <c r="I188" s="759"/>
      <c r="J188" s="756" t="s">
        <v>830</v>
      </c>
      <c r="K188" s="757"/>
      <c r="L188" s="757"/>
      <c r="M188" s="745"/>
      <c r="N188" s="760" t="s">
        <v>815</v>
      </c>
      <c r="O188" s="757"/>
      <c r="P188" s="128"/>
      <c r="Q188" s="769"/>
      <c r="T188" s="92"/>
      <c r="V188" s="16"/>
      <c r="W188" s="204"/>
      <c r="X188" s="95"/>
    </row>
    <row r="189" spans="1:24" s="115" customFormat="1" ht="15.75" customHeight="1" x14ac:dyDescent="0.25">
      <c r="A189" s="767">
        <v>1</v>
      </c>
      <c r="B189" s="756" t="s">
        <v>835</v>
      </c>
      <c r="C189" s="757"/>
      <c r="D189" s="757"/>
      <c r="E189" s="745"/>
      <c r="F189" s="758" t="s">
        <v>78</v>
      </c>
      <c r="G189" s="750"/>
      <c r="H189" s="750"/>
      <c r="I189" s="759"/>
      <c r="J189" s="756" t="s">
        <v>860</v>
      </c>
      <c r="K189" s="757"/>
      <c r="L189" s="757"/>
      <c r="M189" s="745"/>
      <c r="N189" s="760" t="s">
        <v>815</v>
      </c>
      <c r="O189" s="757"/>
      <c r="P189" s="128"/>
      <c r="Q189" s="769"/>
      <c r="T189" s="92"/>
      <c r="V189" s="16"/>
      <c r="W189" s="204"/>
      <c r="X189" s="95"/>
    </row>
    <row r="190" spans="1:24" s="115" customFormat="1" ht="15.75" customHeight="1" x14ac:dyDescent="0.25">
      <c r="A190" s="767">
        <v>1</v>
      </c>
      <c r="B190" s="756" t="s">
        <v>843</v>
      </c>
      <c r="C190" s="757"/>
      <c r="D190" s="757"/>
      <c r="E190" s="745"/>
      <c r="F190" s="758" t="s">
        <v>78</v>
      </c>
      <c r="G190" s="750"/>
      <c r="H190" s="750"/>
      <c r="I190" s="759"/>
      <c r="J190" s="756" t="s">
        <v>818</v>
      </c>
      <c r="K190" s="757"/>
      <c r="L190" s="757"/>
      <c r="M190" s="745"/>
      <c r="N190" s="760" t="s">
        <v>815</v>
      </c>
      <c r="O190" s="757"/>
      <c r="P190" s="128"/>
      <c r="Q190" s="769"/>
      <c r="T190" s="92"/>
      <c r="V190" s="16"/>
      <c r="W190" s="204"/>
      <c r="X190" s="95"/>
    </row>
    <row r="191" spans="1:24" s="115" customFormat="1" ht="15.75" customHeight="1" x14ac:dyDescent="0.25">
      <c r="A191" s="767">
        <v>2</v>
      </c>
      <c r="B191" s="756" t="s">
        <v>847</v>
      </c>
      <c r="C191" s="757"/>
      <c r="D191" s="757"/>
      <c r="E191" s="745"/>
      <c r="F191" s="760" t="s">
        <v>812</v>
      </c>
      <c r="G191" s="757"/>
      <c r="H191" s="757"/>
      <c r="I191" s="761"/>
      <c r="J191" s="756" t="s">
        <v>834</v>
      </c>
      <c r="K191" s="757"/>
      <c r="L191" s="757"/>
      <c r="M191" s="745"/>
      <c r="N191" s="760" t="s">
        <v>78</v>
      </c>
      <c r="O191" s="757"/>
      <c r="P191" s="128"/>
      <c r="Q191" s="769"/>
      <c r="T191" s="92"/>
      <c r="V191" s="16"/>
      <c r="W191" s="204"/>
      <c r="X191" s="95"/>
    </row>
    <row r="192" spans="1:24" s="115" customFormat="1" ht="15.75" customHeight="1" x14ac:dyDescent="0.25">
      <c r="A192" s="767">
        <v>2</v>
      </c>
      <c r="B192" s="756" t="s">
        <v>811</v>
      </c>
      <c r="C192" s="757"/>
      <c r="D192" s="757"/>
      <c r="E192" s="745"/>
      <c r="F192" s="760" t="s">
        <v>812</v>
      </c>
      <c r="G192" s="757"/>
      <c r="H192" s="757"/>
      <c r="I192" s="761"/>
      <c r="J192" s="756" t="s">
        <v>853</v>
      </c>
      <c r="K192" s="757"/>
      <c r="L192" s="757"/>
      <c r="M192" s="745"/>
      <c r="N192" s="760" t="s">
        <v>78</v>
      </c>
      <c r="O192" s="757"/>
      <c r="P192" s="128"/>
      <c r="Q192" s="769"/>
      <c r="T192" s="92"/>
      <c r="V192" s="16"/>
      <c r="W192" s="204"/>
      <c r="X192" s="95"/>
    </row>
    <row r="193" spans="1:27" s="115" customFormat="1" ht="15.75" customHeight="1" x14ac:dyDescent="0.25">
      <c r="A193" s="767">
        <v>2</v>
      </c>
      <c r="B193" s="756" t="s">
        <v>856</v>
      </c>
      <c r="C193" s="757"/>
      <c r="D193" s="757"/>
      <c r="E193" s="745"/>
      <c r="F193" s="760" t="s">
        <v>812</v>
      </c>
      <c r="G193" s="757"/>
      <c r="H193" s="757"/>
      <c r="I193" s="761"/>
      <c r="J193" s="756" t="s">
        <v>821</v>
      </c>
      <c r="K193" s="757"/>
      <c r="L193" s="757"/>
      <c r="M193" s="745"/>
      <c r="N193" s="760" t="s">
        <v>78</v>
      </c>
      <c r="O193" s="757"/>
      <c r="P193" s="128"/>
      <c r="Q193" s="769"/>
      <c r="T193" s="92"/>
      <c r="V193" s="16"/>
      <c r="W193" s="204"/>
      <c r="X193" s="95"/>
    </row>
    <row r="194" spans="1:27" s="115" customFormat="1" ht="15.75" customHeight="1" x14ac:dyDescent="0.25">
      <c r="A194" s="767">
        <v>2</v>
      </c>
      <c r="B194" s="756" t="s">
        <v>861</v>
      </c>
      <c r="C194" s="757"/>
      <c r="D194" s="757"/>
      <c r="E194" s="745"/>
      <c r="F194" s="760" t="s">
        <v>812</v>
      </c>
      <c r="G194" s="757"/>
      <c r="H194" s="757"/>
      <c r="I194" s="761"/>
      <c r="J194" s="756" t="s">
        <v>816</v>
      </c>
      <c r="K194" s="757"/>
      <c r="L194" s="757"/>
      <c r="M194" s="745"/>
      <c r="N194" s="760" t="s">
        <v>78</v>
      </c>
      <c r="O194" s="757"/>
      <c r="P194" s="128"/>
      <c r="Q194" s="769"/>
      <c r="T194" s="92"/>
      <c r="U194" s="156"/>
      <c r="V194" s="16"/>
      <c r="W194" s="204"/>
      <c r="X194" s="95"/>
    </row>
    <row r="195" spans="1:27" s="156" customFormat="1" ht="15.75" customHeight="1" x14ac:dyDescent="0.25">
      <c r="A195" s="767">
        <v>3</v>
      </c>
      <c r="B195" s="756" t="s">
        <v>862</v>
      </c>
      <c r="C195" s="757"/>
      <c r="D195" s="757"/>
      <c r="E195" s="745"/>
      <c r="F195" s="758" t="s">
        <v>863</v>
      </c>
      <c r="G195" s="750"/>
      <c r="H195" s="750"/>
      <c r="I195" s="759"/>
      <c r="J195" s="756" t="s">
        <v>864</v>
      </c>
      <c r="K195" s="757"/>
      <c r="L195" s="757"/>
      <c r="M195" s="745"/>
      <c r="N195" s="768" t="s">
        <v>812</v>
      </c>
      <c r="O195" s="757"/>
      <c r="P195" s="128"/>
      <c r="Q195" s="769"/>
      <c r="T195" s="92"/>
      <c r="V195" s="16"/>
      <c r="W195" s="204"/>
      <c r="X195" s="95"/>
    </row>
    <row r="196" spans="1:27" s="156" customFormat="1" ht="15.75" customHeight="1" x14ac:dyDescent="0.25">
      <c r="A196" s="766">
        <v>3</v>
      </c>
      <c r="B196" s="774" t="s">
        <v>865</v>
      </c>
      <c r="C196" s="775"/>
      <c r="D196" s="775"/>
      <c r="E196" s="776"/>
      <c r="F196" s="777" t="s">
        <v>863</v>
      </c>
      <c r="G196" s="775"/>
      <c r="H196" s="775"/>
      <c r="I196" s="778"/>
      <c r="J196" s="756" t="s">
        <v>866</v>
      </c>
      <c r="K196" s="757"/>
      <c r="L196" s="757"/>
      <c r="M196" s="745"/>
      <c r="N196" s="768" t="s">
        <v>812</v>
      </c>
      <c r="O196" s="757"/>
      <c r="P196" s="128"/>
      <c r="Q196" s="769"/>
      <c r="T196" s="92"/>
      <c r="V196" s="16"/>
      <c r="W196" s="204"/>
      <c r="X196" s="95"/>
      <c r="Y196" s="170"/>
      <c r="Z196" s="170"/>
      <c r="AA196" s="171"/>
    </row>
    <row r="197" spans="1:27" s="156" customFormat="1" ht="15.75" customHeight="1" x14ac:dyDescent="0.25">
      <c r="A197" s="767">
        <v>3</v>
      </c>
      <c r="B197" s="756" t="s">
        <v>867</v>
      </c>
      <c r="C197" s="757"/>
      <c r="D197" s="757"/>
      <c r="E197" s="745"/>
      <c r="F197" s="758" t="s">
        <v>863</v>
      </c>
      <c r="G197" s="750"/>
      <c r="H197" s="750"/>
      <c r="I197" s="759"/>
      <c r="J197" s="756" t="s">
        <v>868</v>
      </c>
      <c r="K197" s="757"/>
      <c r="L197" s="757"/>
      <c r="M197" s="745"/>
      <c r="N197" s="768" t="s">
        <v>812</v>
      </c>
      <c r="O197" s="757"/>
      <c r="P197" s="128"/>
      <c r="Q197" s="769"/>
      <c r="T197" s="92"/>
      <c r="V197" s="16"/>
      <c r="W197" s="204"/>
      <c r="X197" s="95"/>
      <c r="Y197" s="16"/>
      <c r="Z197" s="204"/>
      <c r="AA197" s="95"/>
    </row>
    <row r="198" spans="1:27" s="156" customFormat="1" ht="16.5" customHeight="1" x14ac:dyDescent="0.25">
      <c r="A198" s="779">
        <v>3</v>
      </c>
      <c r="B198" s="780" t="s">
        <v>869</v>
      </c>
      <c r="C198" s="781"/>
      <c r="D198" s="781"/>
      <c r="E198" s="782"/>
      <c r="F198" s="783" t="s">
        <v>863</v>
      </c>
      <c r="G198" s="784"/>
      <c r="H198" s="784"/>
      <c r="I198" s="785"/>
      <c r="J198" s="780" t="s">
        <v>813</v>
      </c>
      <c r="K198" s="781"/>
      <c r="L198" s="781"/>
      <c r="M198" s="782"/>
      <c r="N198" s="786" t="s">
        <v>812</v>
      </c>
      <c r="O198" s="781"/>
      <c r="P198" s="787"/>
      <c r="Q198" s="788"/>
      <c r="T198" s="92"/>
      <c r="V198" s="16"/>
      <c r="W198" s="204"/>
      <c r="X198" s="74"/>
      <c r="Y198" s="16"/>
      <c r="Z198" s="204"/>
      <c r="AA198" s="74"/>
    </row>
    <row r="199" spans="1:27" s="115" customFormat="1" ht="15.75" x14ac:dyDescent="0.25">
      <c r="A199" s="114"/>
    </row>
    <row r="200" spans="1:27" s="789" customFormat="1" ht="30.75" customHeight="1" x14ac:dyDescent="0.25">
      <c r="A200" s="790" t="s">
        <v>870</v>
      </c>
      <c r="B200" s="1173" t="s">
        <v>871</v>
      </c>
      <c r="C200" s="1173"/>
      <c r="D200" s="1173"/>
      <c r="E200" s="1173"/>
      <c r="F200" s="1173"/>
      <c r="G200" s="1173"/>
      <c r="H200" s="1173"/>
      <c r="I200" s="1173"/>
      <c r="J200" s="1173"/>
      <c r="K200" s="1173"/>
      <c r="L200" s="1173"/>
      <c r="M200" s="1173"/>
      <c r="N200" s="1173"/>
      <c r="O200" s="1173"/>
    </row>
    <row r="201" spans="1:27" s="115" customFormat="1" ht="15.75" x14ac:dyDescent="0.25">
      <c r="A201" s="732"/>
      <c r="B201" s="156"/>
      <c r="C201" s="156"/>
      <c r="D201" s="156"/>
      <c r="E201" s="156"/>
      <c r="F201" s="156"/>
      <c r="G201" s="156"/>
      <c r="H201" s="156"/>
      <c r="I201" s="156"/>
      <c r="J201" s="156"/>
      <c r="K201" s="156"/>
      <c r="L201" s="156"/>
      <c r="M201" s="156"/>
      <c r="N201" s="156"/>
      <c r="O201" s="156"/>
    </row>
    <row r="202" spans="1:27" s="115" customFormat="1" ht="20.25" customHeight="1" x14ac:dyDescent="0.25">
      <c r="A202" s="1174" t="s">
        <v>66</v>
      </c>
      <c r="B202" s="1274" t="s">
        <v>762</v>
      </c>
      <c r="C202" s="4143"/>
      <c r="D202" s="4144"/>
      <c r="E202" s="4145"/>
      <c r="F202" s="4146"/>
      <c r="G202" s="4147"/>
      <c r="H202" s="4148"/>
      <c r="I202" s="4149"/>
      <c r="J202" s="1274" t="s">
        <v>872</v>
      </c>
      <c r="K202" s="4177"/>
      <c r="L202" s="4178"/>
      <c r="M202" s="4179"/>
      <c r="N202" s="4180"/>
      <c r="O202" s="4181"/>
    </row>
    <row r="203" spans="1:27" s="115" customFormat="1" ht="20.25" customHeight="1" x14ac:dyDescent="0.25">
      <c r="A203" s="4033"/>
      <c r="B203" s="4150"/>
      <c r="C203" s="4151"/>
      <c r="D203" s="4152"/>
      <c r="E203" s="4153"/>
      <c r="F203" s="4154"/>
      <c r="G203" s="4155"/>
      <c r="H203" s="4156"/>
      <c r="I203" s="4157"/>
      <c r="J203" s="1274" t="s">
        <v>873</v>
      </c>
      <c r="K203" s="4158"/>
      <c r="L203" s="1274" t="s">
        <v>874</v>
      </c>
      <c r="M203" s="4159"/>
      <c r="N203" s="1274" t="s">
        <v>875</v>
      </c>
      <c r="O203" s="4067"/>
    </row>
    <row r="204" spans="1:27" s="115" customFormat="1" ht="15.75" x14ac:dyDescent="0.25">
      <c r="A204" s="737">
        <v>1</v>
      </c>
      <c r="B204" s="4063" t="e">
        <f>#REF!</f>
        <v>#REF!</v>
      </c>
      <c r="C204" s="4717"/>
      <c r="D204" s="4718"/>
      <c r="E204" s="4719"/>
      <c r="F204" s="4720"/>
      <c r="G204" s="4721"/>
      <c r="H204" s="4722"/>
      <c r="I204" s="4723"/>
      <c r="J204" s="4063" t="e">
        <f>COUNTIFS(#REF!, 1,#REF!, B204)</f>
        <v>#REF!</v>
      </c>
      <c r="K204" s="4716"/>
      <c r="L204" s="4063" t="e">
        <f>COUNTIFS(#REF!, 2,#REF!, B204)</f>
        <v>#REF!</v>
      </c>
      <c r="M204" s="4715"/>
      <c r="N204" s="4063" t="e">
        <f>COUNTIFS(#REF!, 3,#REF!, B204)</f>
        <v>#REF!</v>
      </c>
      <c r="O204" s="4714"/>
    </row>
    <row r="205" spans="1:27" s="115" customFormat="1" ht="15.75" customHeight="1" x14ac:dyDescent="0.25">
      <c r="A205" s="737">
        <v>2</v>
      </c>
      <c r="B205" s="4063" t="e">
        <f>#REF!</f>
        <v>#REF!</v>
      </c>
      <c r="C205" s="4733"/>
      <c r="D205" s="4734"/>
      <c r="E205" s="4735"/>
      <c r="F205" s="4736"/>
      <c r="G205" s="4737"/>
      <c r="H205" s="4738"/>
      <c r="I205" s="4739"/>
      <c r="J205" s="4063" t="e">
        <f>COUNTIFS(#REF!, 1,#REF!, B205)</f>
        <v>#REF!</v>
      </c>
      <c r="K205" s="4740"/>
      <c r="L205" s="4063" t="e">
        <f>COUNTIFS(#REF!, 2,#REF!, B205)</f>
        <v>#REF!</v>
      </c>
      <c r="M205" s="4741"/>
      <c r="N205" s="4063" t="e">
        <f>COUNTIFS(#REF!, 3,#REF!, B205)</f>
        <v>#REF!</v>
      </c>
      <c r="O205" s="4742"/>
    </row>
    <row r="206" spans="1:27" s="115" customFormat="1" ht="15.75" customHeight="1" x14ac:dyDescent="0.25">
      <c r="A206" s="737">
        <v>3</v>
      </c>
      <c r="B206" s="4063" t="e">
        <f>#REF!</f>
        <v>#REF!</v>
      </c>
      <c r="C206" s="4724"/>
      <c r="D206" s="4725"/>
      <c r="E206" s="4726"/>
      <c r="F206" s="4727"/>
      <c r="G206" s="4728"/>
      <c r="H206" s="4729"/>
      <c r="I206" s="4730"/>
      <c r="J206" s="4063" t="e">
        <f>COUNTIFS(#REF!, 1,#REF!, B206)</f>
        <v>#REF!</v>
      </c>
      <c r="K206" s="4731"/>
      <c r="L206" s="4063" t="e">
        <f>COUNTIFS(#REF!, 2,#REF!, B206)</f>
        <v>#REF!</v>
      </c>
      <c r="M206" s="4732"/>
      <c r="N206" s="4063" t="e">
        <f>COUNTIFS(#REF!, 3,#REF!, B206)</f>
        <v>#REF!</v>
      </c>
      <c r="O206" s="4743"/>
    </row>
    <row r="207" spans="1:27" s="115" customFormat="1" ht="15.75" customHeight="1" x14ac:dyDescent="0.25">
      <c r="A207" s="737">
        <v>4</v>
      </c>
      <c r="B207" s="4063" t="e">
        <f>#REF!</f>
        <v>#REF!</v>
      </c>
      <c r="C207" s="4700"/>
      <c r="D207" s="4701"/>
      <c r="E207" s="4702"/>
      <c r="F207" s="4703"/>
      <c r="G207" s="4704"/>
      <c r="H207" s="4705"/>
      <c r="I207" s="4706"/>
      <c r="J207" s="4063" t="e">
        <f>COUNTIFS(#REF!, 1,#REF!, B207)</f>
        <v>#REF!</v>
      </c>
      <c r="K207" s="4744"/>
      <c r="L207" s="4063" t="e">
        <f>COUNTIFS(#REF!, 2,#REF!, B207)</f>
        <v>#REF!</v>
      </c>
      <c r="M207" s="4772"/>
      <c r="N207" s="4063" t="e">
        <f>COUNTIFS(#REF!, 3,#REF!, B207)</f>
        <v>#REF!</v>
      </c>
      <c r="O207" s="4760"/>
    </row>
    <row r="208" spans="1:27" s="115" customFormat="1" ht="15.75" customHeight="1" x14ac:dyDescent="0.25">
      <c r="A208" s="737">
        <v>5</v>
      </c>
      <c r="B208" s="4063" t="e">
        <f>#REF!</f>
        <v>#REF!</v>
      </c>
      <c r="C208" s="4693"/>
      <c r="D208" s="4694"/>
      <c r="E208" s="4695"/>
      <c r="F208" s="4696"/>
      <c r="G208" s="4697"/>
      <c r="H208" s="4698"/>
      <c r="I208" s="4699"/>
      <c r="J208" s="4063" t="e">
        <f>COUNTIFS(#REF!, 1,#REF!, B208)</f>
        <v>#REF!</v>
      </c>
      <c r="K208" s="4745"/>
      <c r="L208" s="4063" t="e">
        <f>COUNTIFS(#REF!, 2,#REF!, B208)</f>
        <v>#REF!</v>
      </c>
      <c r="M208" s="4771"/>
      <c r="N208" s="4063" t="e">
        <f>COUNTIFS(#REF!, 3,#REF!, B208)</f>
        <v>#REF!</v>
      </c>
      <c r="O208" s="4754"/>
    </row>
    <row r="209" spans="1:15" s="115" customFormat="1" ht="15.75" customHeight="1" x14ac:dyDescent="0.25">
      <c r="A209" s="737">
        <v>6</v>
      </c>
      <c r="B209" s="4063" t="e">
        <f>#REF!</f>
        <v>#REF!</v>
      </c>
      <c r="C209" s="4679"/>
      <c r="D209" s="4680"/>
      <c r="E209" s="4681"/>
      <c r="F209" s="4682"/>
      <c r="G209" s="4683"/>
      <c r="H209" s="4684"/>
      <c r="I209" s="4685"/>
      <c r="J209" s="4063" t="e">
        <f>COUNTIFS(#REF!, 1,#REF!, B209)</f>
        <v>#REF!</v>
      </c>
      <c r="K209" s="4746"/>
      <c r="L209" s="4063" t="e">
        <f>COUNTIFS(#REF!, 2,#REF!, B209)</f>
        <v>#REF!</v>
      </c>
      <c r="M209" s="4770"/>
      <c r="N209" s="4063" t="e">
        <f>COUNTIFS(#REF!, 3,#REF!, B209)</f>
        <v>#REF!</v>
      </c>
      <c r="O209" s="4755"/>
    </row>
    <row r="210" spans="1:15" s="115" customFormat="1" ht="15.75" customHeight="1" x14ac:dyDescent="0.25">
      <c r="A210" s="737">
        <v>7</v>
      </c>
      <c r="B210" s="4063" t="e">
        <f>#REF!</f>
        <v>#REF!</v>
      </c>
      <c r="C210" s="4686"/>
      <c r="D210" s="4687"/>
      <c r="E210" s="4688"/>
      <c r="F210" s="4689"/>
      <c r="G210" s="4690"/>
      <c r="H210" s="4691"/>
      <c r="I210" s="4692"/>
      <c r="J210" s="4063" t="e">
        <f>COUNTIFS(#REF!, 1,#REF!, B210)</f>
        <v>#REF!</v>
      </c>
      <c r="K210" s="4747"/>
      <c r="L210" s="4063" t="e">
        <f>COUNTIFS(#REF!, 2,#REF!, B210)</f>
        <v>#REF!</v>
      </c>
      <c r="M210" s="4769"/>
      <c r="N210" s="4063" t="e">
        <f>COUNTIFS(#REF!, 3,#REF!, B210)</f>
        <v>#REF!</v>
      </c>
      <c r="O210" s="4756"/>
    </row>
    <row r="211" spans="1:15" s="115" customFormat="1" ht="15.75" customHeight="1" x14ac:dyDescent="0.25">
      <c r="A211" s="737">
        <v>8</v>
      </c>
      <c r="B211" s="4063" t="e">
        <f>#REF!</f>
        <v>#REF!</v>
      </c>
      <c r="C211" s="4672"/>
      <c r="D211" s="4673"/>
      <c r="E211" s="4674"/>
      <c r="F211" s="4675"/>
      <c r="G211" s="4676"/>
      <c r="H211" s="4677"/>
      <c r="I211" s="4678"/>
      <c r="J211" s="4063" t="e">
        <f>COUNTIFS(#REF!, 1,#REF!, B211)</f>
        <v>#REF!</v>
      </c>
      <c r="K211" s="4748"/>
      <c r="L211" s="4063" t="e">
        <f>COUNTIFS(#REF!, 2,#REF!, B211)</f>
        <v>#REF!</v>
      </c>
      <c r="M211" s="4768"/>
      <c r="N211" s="4063" t="e">
        <f>COUNTIFS(#REF!, 3,#REF!, B211)</f>
        <v>#REF!</v>
      </c>
      <c r="O211" s="4757"/>
    </row>
    <row r="212" spans="1:15" s="115" customFormat="1" ht="15.75" customHeight="1" x14ac:dyDescent="0.25">
      <c r="A212" s="737">
        <v>9</v>
      </c>
      <c r="B212" s="4063" t="e">
        <f>#REF!</f>
        <v>#REF!</v>
      </c>
      <c r="C212" s="4665"/>
      <c r="D212" s="4666"/>
      <c r="E212" s="4667"/>
      <c r="F212" s="4668"/>
      <c r="G212" s="4669"/>
      <c r="H212" s="4670"/>
      <c r="I212" s="4671"/>
      <c r="J212" s="4063" t="e">
        <f>COUNTIFS(#REF!, 1,#REF!, B212)</f>
        <v>#REF!</v>
      </c>
      <c r="K212" s="4749"/>
      <c r="L212" s="4063" t="e">
        <f>COUNTIFS(#REF!, 2,#REF!, B212)</f>
        <v>#REF!</v>
      </c>
      <c r="M212" s="4767"/>
      <c r="N212" s="4063" t="e">
        <f>COUNTIFS(#REF!, 3,#REF!, B212)</f>
        <v>#REF!</v>
      </c>
      <c r="O212" s="4758"/>
    </row>
    <row r="213" spans="1:15" s="115" customFormat="1" ht="15.75" customHeight="1" x14ac:dyDescent="0.25">
      <c r="A213" s="737">
        <v>10</v>
      </c>
      <c r="B213" s="4063" t="e">
        <f>#REF!</f>
        <v>#REF!</v>
      </c>
      <c r="C213" s="4658"/>
      <c r="D213" s="4659"/>
      <c r="E213" s="4660"/>
      <c r="F213" s="4661"/>
      <c r="G213" s="4662"/>
      <c r="H213" s="4663"/>
      <c r="I213" s="4664"/>
      <c r="J213" s="4063" t="e">
        <f>COUNTIFS(#REF!, 1,#REF!, B213)</f>
        <v>#REF!</v>
      </c>
      <c r="K213" s="4750"/>
      <c r="L213" s="4063" t="e">
        <f>COUNTIFS(#REF!, 2,#REF!, B213)</f>
        <v>#REF!</v>
      </c>
      <c r="M213" s="4766"/>
      <c r="N213" s="4063" t="e">
        <f>COUNTIFS(#REF!, 3,#REF!, B213)</f>
        <v>#REF!</v>
      </c>
      <c r="O213" s="4759"/>
    </row>
    <row r="214" spans="1:15" s="115" customFormat="1" ht="15.75" customHeight="1" x14ac:dyDescent="0.25">
      <c r="A214" s="737">
        <v>11</v>
      </c>
      <c r="B214" s="4063" t="e">
        <f>#REF!</f>
        <v>#REF!</v>
      </c>
      <c r="C214" s="4651"/>
      <c r="D214" s="4652"/>
      <c r="E214" s="4653"/>
      <c r="F214" s="4654"/>
      <c r="G214" s="4655"/>
      <c r="H214" s="4656"/>
      <c r="I214" s="4657"/>
      <c r="J214" s="4063" t="e">
        <f>COUNTIFS(#REF!, 1,#REF!, B214)</f>
        <v>#REF!</v>
      </c>
      <c r="K214" s="4753"/>
      <c r="L214" s="4063" t="e">
        <f>COUNTIFS(#REF!, 2,#REF!, B214)</f>
        <v>#REF!</v>
      </c>
      <c r="M214" s="4773"/>
      <c r="N214" s="4063" t="e">
        <f>COUNTIFS(#REF!, 3,#REF!, B214)</f>
        <v>#REF!</v>
      </c>
      <c r="O214" s="4763"/>
    </row>
    <row r="215" spans="1:15" s="115" customFormat="1" ht="15.75" customHeight="1" x14ac:dyDescent="0.25">
      <c r="A215" s="737">
        <v>12</v>
      </c>
      <c r="B215" s="4063" t="e">
        <f>#REF!</f>
        <v>#REF!</v>
      </c>
      <c r="C215" s="4707"/>
      <c r="D215" s="4708"/>
      <c r="E215" s="4709"/>
      <c r="F215" s="4710"/>
      <c r="G215" s="4711"/>
      <c r="H215" s="4712"/>
      <c r="I215" s="4713"/>
      <c r="J215" s="4063" t="e">
        <f>COUNTIFS(#REF!, 1,#REF!, B215)</f>
        <v>#REF!</v>
      </c>
      <c r="K215" s="4752"/>
      <c r="L215" s="4063" t="e">
        <f>COUNTIFS(#REF!, 2,#REF!, B215)</f>
        <v>#REF!</v>
      </c>
      <c r="M215" s="4765"/>
      <c r="N215" s="4063" t="e">
        <f>COUNTIFS(#REF!, 3,#REF!, B215)</f>
        <v>#REF!</v>
      </c>
      <c r="O215" s="4762"/>
    </row>
    <row r="216" spans="1:15" s="115" customFormat="1" ht="15.75" customHeight="1" x14ac:dyDescent="0.25">
      <c r="A216" s="737">
        <v>13</v>
      </c>
      <c r="B216" s="4063" t="e">
        <f>#REF!</f>
        <v>#REF!</v>
      </c>
      <c r="C216" s="4644"/>
      <c r="D216" s="4645"/>
      <c r="E216" s="4646"/>
      <c r="F216" s="4647"/>
      <c r="G216" s="4648"/>
      <c r="H216" s="4649"/>
      <c r="I216" s="4650"/>
      <c r="J216" s="4063" t="e">
        <f>COUNTIFS(#REF!, 1,#REF!, B216)</f>
        <v>#REF!</v>
      </c>
      <c r="K216" s="4751"/>
      <c r="L216" s="4063" t="e">
        <f>COUNTIFS(#REF!, 2,#REF!, B216)</f>
        <v>#REF!</v>
      </c>
      <c r="M216" s="4764"/>
      <c r="N216" s="4063" t="e">
        <f>COUNTIFS(#REF!, 3,#REF!, B216)</f>
        <v>#REF!</v>
      </c>
      <c r="O216" s="4761"/>
    </row>
    <row r="217" spans="1:15" s="115" customFormat="1" ht="15.75" customHeight="1" x14ac:dyDescent="0.25">
      <c r="A217" s="737">
        <v>14</v>
      </c>
      <c r="B217" s="4063" t="e">
        <f>#REF!</f>
        <v>#REF!</v>
      </c>
      <c r="C217" s="4774"/>
      <c r="D217" s="4775"/>
      <c r="E217" s="4776"/>
      <c r="F217" s="4777"/>
      <c r="G217" s="4778"/>
      <c r="H217" s="4779"/>
      <c r="I217" s="4780"/>
      <c r="J217" s="4063" t="e">
        <f>COUNTIFS(#REF!, 1,#REF!, B217)</f>
        <v>#REF!</v>
      </c>
      <c r="K217" s="4788"/>
      <c r="L217" s="4063" t="e">
        <f>COUNTIFS(#REF!, 2,#REF!, B217)</f>
        <v>#REF!</v>
      </c>
      <c r="M217" s="4789"/>
      <c r="N217" s="4063" t="e">
        <f>COUNTIFS(#REF!, 3,#REF!, B217)</f>
        <v>#REF!</v>
      </c>
      <c r="O217" s="4790"/>
    </row>
    <row r="218" spans="1:15" s="115" customFormat="1" ht="15.75" customHeight="1" x14ac:dyDescent="0.25">
      <c r="A218" s="737">
        <v>15</v>
      </c>
      <c r="B218" s="4063" t="e">
        <f>#REF!</f>
        <v>#REF!</v>
      </c>
      <c r="C218" s="4781"/>
      <c r="D218" s="4782"/>
      <c r="E218" s="4783"/>
      <c r="F218" s="4784"/>
      <c r="G218" s="4785"/>
      <c r="H218" s="4786"/>
      <c r="I218" s="4787"/>
      <c r="J218" s="4063" t="e">
        <f>COUNTIFS(#REF!, 1,#REF!, B218)</f>
        <v>#REF!</v>
      </c>
      <c r="K218" s="4791"/>
      <c r="L218" s="4063" t="e">
        <f>COUNTIFS(#REF!, 2,#REF!, B218)</f>
        <v>#REF!</v>
      </c>
      <c r="M218" s="4802"/>
      <c r="N218" s="4063" t="e">
        <f>COUNTIFS(#REF!, 3,#REF!, B218)</f>
        <v>#REF!</v>
      </c>
      <c r="O218" s="4803"/>
    </row>
    <row r="219" spans="1:15" s="115" customFormat="1" ht="15.75" customHeight="1" x14ac:dyDescent="0.25">
      <c r="A219" s="737">
        <v>16</v>
      </c>
      <c r="B219" s="4063" t="e">
        <f>#REF!</f>
        <v>#REF!</v>
      </c>
      <c r="C219" s="4792"/>
      <c r="D219" s="4793"/>
      <c r="E219" s="4794"/>
      <c r="F219" s="4795"/>
      <c r="G219" s="4796"/>
      <c r="H219" s="4797"/>
      <c r="I219" s="4798"/>
      <c r="J219" s="4063" t="e">
        <f>COUNTIFS(#REF!, 1,#REF!, B219)</f>
        <v>#REF!</v>
      </c>
      <c r="K219" s="4801"/>
      <c r="L219" s="4063" t="e">
        <f>COUNTIFS(#REF!, 2,#REF!, B219)</f>
        <v>#REF!</v>
      </c>
      <c r="M219" s="4799"/>
      <c r="N219" s="4063" t="e">
        <f>COUNTIFS(#REF!, 3,#REF!, B219)</f>
        <v>#REF!</v>
      </c>
      <c r="O219" s="4800"/>
    </row>
    <row r="220" spans="1:15" s="115" customFormat="1" ht="15.75" customHeight="1" x14ac:dyDescent="0.25">
      <c r="A220" s="737">
        <v>17</v>
      </c>
      <c r="B220" s="4063" t="e">
        <f>#REF!</f>
        <v>#REF!</v>
      </c>
      <c r="C220" s="4589"/>
      <c r="D220" s="4590"/>
      <c r="E220" s="4591"/>
      <c r="F220" s="4592"/>
      <c r="G220" s="4593"/>
      <c r="H220" s="4594"/>
      <c r="I220" s="4595"/>
      <c r="J220" s="4063" t="e">
        <f>COUNTIFS(#REF!, 1,#REF!, B220)</f>
        <v>#REF!</v>
      </c>
      <c r="K220" s="4587"/>
      <c r="L220" s="4063" t="e">
        <f>COUNTIFS(#REF!, 2,#REF!, B220)</f>
        <v>#REF!</v>
      </c>
      <c r="M220" s="4588"/>
      <c r="N220" s="4063" t="e">
        <f>COUNTIFS(#REF!, 3,#REF!, B220)</f>
        <v>#REF!</v>
      </c>
      <c r="O220" s="4066"/>
    </row>
    <row r="221" spans="1:15" s="115" customFormat="1" ht="15.75" customHeight="1" x14ac:dyDescent="0.25">
      <c r="A221" s="737">
        <v>18</v>
      </c>
      <c r="B221" s="4063" t="e">
        <f>#REF!</f>
        <v>#REF!</v>
      </c>
      <c r="C221" s="4580"/>
      <c r="D221" s="4581"/>
      <c r="E221" s="4582"/>
      <c r="F221" s="4583"/>
      <c r="G221" s="4584"/>
      <c r="H221" s="4585"/>
      <c r="I221" s="4586"/>
      <c r="J221" s="4063" t="e">
        <f>COUNTIFS(#REF!, 1,#REF!, B221)</f>
        <v>#REF!</v>
      </c>
      <c r="K221" s="4579"/>
      <c r="L221" s="4063" t="e">
        <f>COUNTIFS(#REF!, 2,#REF!, B221)</f>
        <v>#REF!</v>
      </c>
      <c r="M221" s="4578"/>
      <c r="N221" s="4063" t="e">
        <f>COUNTIFS(#REF!, 3,#REF!, B221)</f>
        <v>#REF!</v>
      </c>
      <c r="O221" s="4577"/>
    </row>
    <row r="222" spans="1:15" s="115" customFormat="1" ht="15.75" customHeight="1" x14ac:dyDescent="0.25">
      <c r="A222" s="737">
        <v>19</v>
      </c>
      <c r="B222" s="4063" t="e">
        <f>#REF!</f>
        <v>#REF!</v>
      </c>
      <c r="C222" s="4596"/>
      <c r="D222" s="4597"/>
      <c r="E222" s="4598"/>
      <c r="F222" s="4599"/>
      <c r="G222" s="4600"/>
      <c r="H222" s="4601"/>
      <c r="I222" s="4602"/>
      <c r="J222" s="4063" t="e">
        <f>COUNTIFS(#REF!, 1,#REF!, B222)</f>
        <v>#REF!</v>
      </c>
      <c r="K222" s="4610"/>
      <c r="L222" s="4063" t="e">
        <f>COUNTIFS(#REF!, 2,#REF!, B222)</f>
        <v>#REF!</v>
      </c>
      <c r="M222" s="4575"/>
      <c r="N222" s="4063" t="e">
        <f>COUNTIFS(#REF!, 3,#REF!, B222)</f>
        <v>#REF!</v>
      </c>
      <c r="O222" s="4576"/>
    </row>
    <row r="223" spans="1:15" s="115" customFormat="1" ht="15.75" customHeight="1" x14ac:dyDescent="0.25">
      <c r="A223" s="737">
        <v>20</v>
      </c>
      <c r="B223" s="4063" t="e">
        <f>#REF!</f>
        <v>#REF!</v>
      </c>
      <c r="C223" s="4603"/>
      <c r="D223" s="4604"/>
      <c r="E223" s="4605"/>
      <c r="F223" s="4606"/>
      <c r="G223" s="4607"/>
      <c r="H223" s="4608"/>
      <c r="I223" s="4609"/>
      <c r="J223" s="4063" t="e">
        <f>COUNTIFS(#REF!, 1,#REF!, B223)</f>
        <v>#REF!</v>
      </c>
      <c r="K223" s="4611"/>
      <c r="L223" s="4063" t="e">
        <f>COUNTIFS(#REF!, 2,#REF!, B223)</f>
        <v>#REF!</v>
      </c>
      <c r="M223" s="4574"/>
      <c r="N223" s="4063" t="e">
        <f>COUNTIFS(#REF!, 3,#REF!, B223)</f>
        <v>#REF!</v>
      </c>
      <c r="O223" s="4573"/>
    </row>
    <row r="224" spans="1:15" s="115" customFormat="1" ht="15.75" customHeight="1" x14ac:dyDescent="0.25">
      <c r="A224" s="737">
        <v>21</v>
      </c>
      <c r="B224" s="4063" t="e">
        <f>#REF!</f>
        <v>#REF!</v>
      </c>
      <c r="C224" s="4633"/>
      <c r="D224" s="4634"/>
      <c r="E224" s="4635"/>
      <c r="F224" s="4636"/>
      <c r="G224" s="4637"/>
      <c r="H224" s="4638"/>
      <c r="I224" s="4639"/>
      <c r="J224" s="4063" t="e">
        <f>COUNTIFS(#REF!, 1,#REF!, B224)</f>
        <v>#REF!</v>
      </c>
      <c r="K224" s="4643"/>
      <c r="L224" s="4063" t="e">
        <f>COUNTIFS(#REF!, 2,#REF!, B224)</f>
        <v>#REF!</v>
      </c>
      <c r="M224" s="4572"/>
      <c r="N224" s="4063" t="e">
        <f>COUNTIFS(#REF!, 3,#REF!, B224)</f>
        <v>#REF!</v>
      </c>
      <c r="O224" s="4568"/>
    </row>
    <row r="225" spans="1:15" s="115" customFormat="1" ht="15.75" customHeight="1" x14ac:dyDescent="0.25">
      <c r="A225" s="737">
        <v>22</v>
      </c>
      <c r="B225" s="4063" t="e">
        <f>#REF!</f>
        <v>#REF!</v>
      </c>
      <c r="C225" s="4626"/>
      <c r="D225" s="4627"/>
      <c r="E225" s="4628"/>
      <c r="F225" s="4629"/>
      <c r="G225" s="4630"/>
      <c r="H225" s="4631"/>
      <c r="I225" s="4632"/>
      <c r="J225" s="4063" t="e">
        <f>COUNTIFS(#REF!, 1,#REF!, B225)</f>
        <v>#REF!</v>
      </c>
      <c r="K225" s="4642"/>
      <c r="L225" s="4063" t="e">
        <f>COUNTIFS(#REF!, 2,#REF!, B225)</f>
        <v>#REF!</v>
      </c>
      <c r="M225" s="4571"/>
      <c r="N225" s="4063" t="e">
        <f>COUNTIFS(#REF!, 3,#REF!, B225)</f>
        <v>#REF!</v>
      </c>
      <c r="O225" s="4567"/>
    </row>
    <row r="226" spans="1:15" s="115" customFormat="1" ht="15.75" customHeight="1" x14ac:dyDescent="0.25">
      <c r="A226" s="737">
        <v>23</v>
      </c>
      <c r="B226" s="4063" t="e">
        <f>#REF!</f>
        <v>#REF!</v>
      </c>
      <c r="C226" s="4619"/>
      <c r="D226" s="4620"/>
      <c r="E226" s="4621"/>
      <c r="F226" s="4622"/>
      <c r="G226" s="4623"/>
      <c r="H226" s="4624"/>
      <c r="I226" s="4625"/>
      <c r="J226" s="4063" t="e">
        <f>COUNTIFS(#REF!, 1,#REF!, B226)</f>
        <v>#REF!</v>
      </c>
      <c r="K226" s="4641"/>
      <c r="L226" s="4063" t="e">
        <f>COUNTIFS(#REF!, 2,#REF!, B226)</f>
        <v>#REF!</v>
      </c>
      <c r="M226" s="4570"/>
      <c r="N226" s="4063" t="e">
        <f>COUNTIFS(#REF!, 3,#REF!, B226)</f>
        <v>#REF!</v>
      </c>
      <c r="O226" s="4566"/>
    </row>
    <row r="227" spans="1:15" s="115" customFormat="1" ht="15.75" customHeight="1" x14ac:dyDescent="0.25">
      <c r="A227" s="737">
        <v>24</v>
      </c>
      <c r="B227" s="4063" t="e">
        <f>#REF!</f>
        <v>#REF!</v>
      </c>
      <c r="C227" s="4612"/>
      <c r="D227" s="4613"/>
      <c r="E227" s="4614"/>
      <c r="F227" s="4615"/>
      <c r="G227" s="4616"/>
      <c r="H227" s="4617"/>
      <c r="I227" s="4618"/>
      <c r="J227" s="4063" t="e">
        <f>COUNTIFS(#REF!, 1,#REF!, B227)</f>
        <v>#REF!</v>
      </c>
      <c r="K227" s="4640"/>
      <c r="L227" s="4063" t="e">
        <f>COUNTIFS(#REF!, 2,#REF!, B227)</f>
        <v>#REF!</v>
      </c>
      <c r="M227" s="4569"/>
      <c r="N227" s="4063" t="e">
        <f>COUNTIFS(#REF!, 3,#REF!, B227)</f>
        <v>#REF!</v>
      </c>
      <c r="O227" s="4565"/>
    </row>
    <row r="228" spans="1:15" s="115" customFormat="1" ht="15.75" customHeight="1" x14ac:dyDescent="0.25">
      <c r="A228" s="737">
        <v>25</v>
      </c>
      <c r="B228" s="4063" t="e">
        <f>#REF!</f>
        <v>#REF!</v>
      </c>
      <c r="C228" s="4473"/>
      <c r="D228" s="4474"/>
      <c r="E228" s="4475"/>
      <c r="F228" s="4476"/>
      <c r="G228" s="4477"/>
      <c r="H228" s="4478"/>
      <c r="I228" s="4479"/>
      <c r="J228" s="4063" t="e">
        <f>COUNTIFS(#REF!, 1,#REF!, B228)</f>
        <v>#REF!</v>
      </c>
      <c r="K228" s="4488"/>
      <c r="L228" s="4063" t="e">
        <f>COUNTIFS(#REF!, 2,#REF!, B228)</f>
        <v>#REF!</v>
      </c>
      <c r="M228" s="4564"/>
      <c r="N228" s="4063" t="e">
        <f>COUNTIFS(#REF!, 3,#REF!, B228)</f>
        <v>#REF!</v>
      </c>
      <c r="O228" s="4064"/>
    </row>
    <row r="229" spans="1:15" s="115" customFormat="1" ht="15.75" customHeight="1" x14ac:dyDescent="0.25">
      <c r="A229" s="737">
        <v>26</v>
      </c>
      <c r="B229" s="4063" t="e">
        <f>#REF!</f>
        <v>#REF!</v>
      </c>
      <c r="C229" s="4480"/>
      <c r="D229" s="4481"/>
      <c r="E229" s="4482"/>
      <c r="F229" s="4483"/>
      <c r="G229" s="4484"/>
      <c r="H229" s="4485"/>
      <c r="I229" s="4486"/>
      <c r="J229" s="4063" t="e">
        <f>COUNTIFS(#REF!, 1,#REF!, B229)</f>
        <v>#REF!</v>
      </c>
      <c r="K229" s="4487"/>
      <c r="L229" s="4063" t="e">
        <f>COUNTIFS(#REF!, 2,#REF!, B229)</f>
        <v>#REF!</v>
      </c>
      <c r="M229" s="4563"/>
      <c r="N229" s="4063" t="e">
        <f>COUNTIFS(#REF!, 3,#REF!, B229)</f>
        <v>#REF!</v>
      </c>
      <c r="O229" s="4065"/>
    </row>
    <row r="230" spans="1:15" s="115" customFormat="1" ht="15.75" customHeight="1" x14ac:dyDescent="0.25">
      <c r="A230" s="737">
        <v>27</v>
      </c>
      <c r="B230" s="4063" t="e">
        <f>#REF!</f>
        <v>#REF!</v>
      </c>
      <c r="C230" s="4463"/>
      <c r="D230" s="4464"/>
      <c r="E230" s="4465"/>
      <c r="F230" s="4466"/>
      <c r="G230" s="4467"/>
      <c r="H230" s="4468"/>
      <c r="I230" s="4469"/>
      <c r="J230" s="4063" t="e">
        <f>COUNTIFS(#REF!, 1,#REF!, B230)</f>
        <v>#REF!</v>
      </c>
      <c r="K230" s="4470"/>
      <c r="L230" s="4063" t="e">
        <f>COUNTIFS(#REF!, 2,#REF!, B230)</f>
        <v>#REF!</v>
      </c>
      <c r="M230" s="4471"/>
      <c r="N230" s="4063" t="e">
        <f>COUNTIFS(#REF!, 3,#REF!, B230)</f>
        <v>#REF!</v>
      </c>
      <c r="O230" s="4472"/>
    </row>
    <row r="231" spans="1:15" s="115" customFormat="1" ht="15.75" x14ac:dyDescent="0.25">
      <c r="A231" s="732"/>
    </row>
    <row r="232" spans="1:15" s="789" customFormat="1" ht="33" customHeight="1" x14ac:dyDescent="0.25">
      <c r="A232" s="790" t="s">
        <v>876</v>
      </c>
      <c r="B232" s="1173" t="s">
        <v>877</v>
      </c>
      <c r="C232" s="1173"/>
      <c r="D232" s="1173"/>
      <c r="E232" s="1173"/>
      <c r="F232" s="1173"/>
      <c r="G232" s="1173"/>
      <c r="H232" s="1173"/>
      <c r="I232" s="1173"/>
      <c r="J232" s="1173"/>
      <c r="K232" s="1173"/>
      <c r="L232" s="1173"/>
      <c r="M232" s="1173"/>
      <c r="N232" s="1173"/>
      <c r="O232" s="1173"/>
    </row>
    <row r="233" spans="1:15" s="789" customFormat="1" ht="15.75" x14ac:dyDescent="0.25">
      <c r="A233" s="4406" t="s">
        <v>878</v>
      </c>
      <c r="B233" s="4407"/>
      <c r="C233" s="4408"/>
      <c r="D233" s="4409"/>
      <c r="E233" s="4410"/>
      <c r="F233" s="4411"/>
      <c r="G233" s="4412"/>
      <c r="H233" s="4413"/>
      <c r="I233" s="4414"/>
      <c r="J233" s="4415"/>
      <c r="K233" s="4416"/>
      <c r="L233" s="4417"/>
      <c r="M233" s="4418"/>
      <c r="N233" s="4419"/>
      <c r="O233" s="4420"/>
    </row>
    <row r="234" spans="1:15" s="789" customFormat="1" ht="15.75" x14ac:dyDescent="0.25">
      <c r="A234" s="791"/>
      <c r="B234" s="792"/>
      <c r="C234" s="792"/>
      <c r="D234" s="792"/>
      <c r="E234" s="792"/>
      <c r="F234" s="792"/>
      <c r="G234" s="792"/>
      <c r="H234" s="792"/>
      <c r="I234" s="792"/>
      <c r="J234" s="792"/>
      <c r="K234" s="792"/>
      <c r="L234" s="792"/>
      <c r="M234" s="792"/>
      <c r="N234" s="792"/>
      <c r="O234" s="792"/>
    </row>
    <row r="235" spans="1:15" s="789" customFormat="1" ht="15.75" x14ac:dyDescent="0.25">
      <c r="A235" s="791"/>
      <c r="B235" s="792"/>
      <c r="C235" s="792"/>
      <c r="D235" s="792"/>
      <c r="E235" s="792"/>
      <c r="F235" s="792"/>
      <c r="G235" s="792"/>
      <c r="H235" s="792"/>
      <c r="I235" s="792"/>
      <c r="J235" s="792"/>
      <c r="K235" s="792"/>
      <c r="L235" s="792"/>
      <c r="M235" s="792"/>
      <c r="N235" s="792"/>
      <c r="O235" s="792"/>
    </row>
    <row r="236" spans="1:15" s="789" customFormat="1" ht="15.75" x14ac:dyDescent="0.25">
      <c r="A236" s="793"/>
      <c r="B236" s="794"/>
      <c r="C236" s="794"/>
      <c r="D236" s="794"/>
      <c r="E236" s="794"/>
      <c r="F236" s="794"/>
      <c r="G236" s="794"/>
      <c r="H236" s="794"/>
      <c r="I236" s="794"/>
      <c r="J236" s="794"/>
      <c r="K236" s="794"/>
      <c r="L236" s="794"/>
      <c r="M236" s="794"/>
      <c r="N236" s="794"/>
      <c r="O236" s="794"/>
    </row>
    <row r="237" spans="1:15" s="115" customFormat="1" ht="15.75" x14ac:dyDescent="0.25">
      <c r="A237" s="795"/>
      <c r="B237" s="128"/>
      <c r="C237" s="128"/>
      <c r="D237" s="128"/>
      <c r="E237" s="128"/>
      <c r="F237" s="128"/>
      <c r="G237" s="128"/>
      <c r="H237" s="128"/>
      <c r="I237" s="128"/>
      <c r="J237" s="128"/>
      <c r="K237" s="128"/>
      <c r="L237" s="128"/>
      <c r="M237" s="128"/>
      <c r="N237" s="128"/>
      <c r="O237" s="128"/>
    </row>
    <row r="238" spans="1:15" s="115" customFormat="1" ht="15.75" x14ac:dyDescent="0.25">
      <c r="A238" s="732"/>
    </row>
    <row r="239" spans="1:15" s="789" customFormat="1" ht="33" customHeight="1" x14ac:dyDescent="0.25">
      <c r="A239" s="790" t="s">
        <v>879</v>
      </c>
      <c r="B239" s="1173" t="s">
        <v>880</v>
      </c>
      <c r="C239" s="1173"/>
      <c r="D239" s="1173"/>
      <c r="E239" s="1173"/>
      <c r="F239" s="1173"/>
      <c r="G239" s="1173"/>
      <c r="H239" s="1173"/>
      <c r="I239" s="1173"/>
      <c r="J239" s="1173"/>
      <c r="K239" s="1173"/>
      <c r="L239" s="1173"/>
      <c r="M239" s="1173"/>
      <c r="N239" s="1173"/>
      <c r="O239" s="1173"/>
    </row>
    <row r="240" spans="1:15" s="789" customFormat="1" ht="15.75" x14ac:dyDescent="0.25">
      <c r="A240" s="4406" t="s">
        <v>878</v>
      </c>
      <c r="B240" s="4421"/>
      <c r="C240" s="4422"/>
      <c r="D240" s="4423"/>
      <c r="E240" s="4424"/>
      <c r="F240" s="4425"/>
      <c r="G240" s="4426"/>
      <c r="H240" s="4427"/>
      <c r="I240" s="4428"/>
      <c r="J240" s="4429"/>
      <c r="K240" s="4430"/>
      <c r="L240" s="4431"/>
      <c r="M240" s="4432"/>
      <c r="N240" s="4433"/>
      <c r="O240" s="4434"/>
    </row>
    <row r="241" spans="1:15" s="789" customFormat="1" ht="15.75" x14ac:dyDescent="0.25">
      <c r="A241" s="793"/>
      <c r="B241" s="794"/>
      <c r="C241" s="794"/>
      <c r="D241" s="794"/>
      <c r="E241" s="794"/>
      <c r="F241" s="794"/>
      <c r="G241" s="794"/>
      <c r="H241" s="794"/>
      <c r="I241" s="794"/>
      <c r="J241" s="794"/>
      <c r="K241" s="794"/>
      <c r="L241" s="794"/>
      <c r="M241" s="794"/>
      <c r="N241" s="794"/>
      <c r="O241" s="794"/>
    </row>
    <row r="242" spans="1:15" s="789" customFormat="1" ht="15.75" x14ac:dyDescent="0.25">
      <c r="A242" s="793"/>
      <c r="B242" s="794"/>
      <c r="C242" s="794"/>
      <c r="D242" s="794"/>
      <c r="E242" s="794"/>
      <c r="F242" s="794"/>
      <c r="G242" s="794"/>
      <c r="H242" s="794"/>
      <c r="I242" s="794"/>
      <c r="J242" s="794"/>
      <c r="K242" s="794"/>
      <c r="L242" s="794"/>
      <c r="M242" s="794"/>
      <c r="N242" s="794"/>
      <c r="O242" s="794"/>
    </row>
    <row r="243" spans="1:15" s="789" customFormat="1" ht="15.75" x14ac:dyDescent="0.25">
      <c r="A243" s="793"/>
      <c r="B243" s="794"/>
      <c r="C243" s="794"/>
      <c r="D243" s="794"/>
      <c r="E243" s="794"/>
      <c r="F243" s="794"/>
      <c r="G243" s="794"/>
      <c r="H243" s="794"/>
      <c r="I243" s="794"/>
      <c r="J243" s="794"/>
      <c r="K243" s="794"/>
      <c r="L243" s="794"/>
      <c r="M243" s="794"/>
      <c r="N243" s="794"/>
      <c r="O243" s="794"/>
    </row>
    <row r="244" spans="1:15" s="789" customFormat="1" ht="15.75" x14ac:dyDescent="0.25">
      <c r="A244" s="793"/>
      <c r="B244" s="794"/>
      <c r="C244" s="794"/>
      <c r="D244" s="794"/>
      <c r="E244" s="794"/>
      <c r="F244" s="794"/>
      <c r="G244" s="794"/>
      <c r="H244" s="794"/>
      <c r="I244" s="794"/>
      <c r="J244" s="794"/>
      <c r="K244" s="794"/>
      <c r="L244" s="794"/>
      <c r="M244" s="794"/>
      <c r="N244" s="794"/>
      <c r="O244" s="794"/>
    </row>
    <row r="245" spans="1:15" s="115" customFormat="1" ht="15.75" x14ac:dyDescent="0.25">
      <c r="A245" s="732"/>
    </row>
    <row r="246" spans="1:15" s="789" customFormat="1" ht="66.75" customHeight="1" x14ac:dyDescent="0.25">
      <c r="A246" s="790" t="s">
        <v>881</v>
      </c>
      <c r="B246" s="1173" t="s">
        <v>882</v>
      </c>
      <c r="C246" s="1173"/>
      <c r="D246" s="1173"/>
      <c r="E246" s="1173"/>
      <c r="F246" s="1173"/>
      <c r="G246" s="1173"/>
      <c r="H246" s="1173"/>
      <c r="I246" s="1173"/>
      <c r="J246" s="1173"/>
      <c r="K246" s="1173"/>
      <c r="L246" s="1173"/>
      <c r="M246" s="1173"/>
      <c r="N246" s="1173"/>
      <c r="O246" s="1173"/>
    </row>
    <row r="247" spans="1:15" s="789" customFormat="1" ht="15.75" x14ac:dyDescent="0.25">
      <c r="A247" s="4406" t="s">
        <v>878</v>
      </c>
      <c r="B247" s="4435"/>
      <c r="C247" s="4436"/>
      <c r="D247" s="4437"/>
      <c r="E247" s="4438"/>
      <c r="F247" s="4439"/>
      <c r="G247" s="4440"/>
      <c r="H247" s="4441"/>
      <c r="I247" s="4442"/>
      <c r="J247" s="4443"/>
      <c r="K247" s="4444"/>
      <c r="L247" s="4445"/>
      <c r="M247" s="4446"/>
      <c r="N247" s="4447"/>
      <c r="O247" s="4448"/>
    </row>
    <row r="248" spans="1:15" s="789" customFormat="1" ht="15.75" x14ac:dyDescent="0.25">
      <c r="A248" s="793"/>
      <c r="B248" s="794"/>
      <c r="C248" s="794"/>
      <c r="D248" s="794"/>
      <c r="E248" s="794"/>
      <c r="F248" s="794"/>
      <c r="G248" s="794"/>
      <c r="H248" s="794"/>
      <c r="I248" s="794"/>
      <c r="J248" s="794"/>
      <c r="K248" s="794"/>
      <c r="L248" s="794"/>
      <c r="M248" s="794"/>
      <c r="N248" s="794"/>
      <c r="O248" s="794"/>
    </row>
    <row r="249" spans="1:15" s="789" customFormat="1" ht="15.75" x14ac:dyDescent="0.25">
      <c r="A249" s="793"/>
      <c r="B249" s="794"/>
      <c r="C249" s="794"/>
      <c r="D249" s="794"/>
      <c r="E249" s="794"/>
      <c r="F249" s="794"/>
      <c r="G249" s="794"/>
      <c r="H249" s="794"/>
      <c r="I249" s="794"/>
      <c r="J249" s="794"/>
      <c r="K249" s="794"/>
      <c r="L249" s="794"/>
      <c r="M249" s="794"/>
      <c r="N249" s="794"/>
      <c r="O249" s="794"/>
    </row>
    <row r="250" spans="1:15" s="789" customFormat="1" ht="15.75" x14ac:dyDescent="0.25">
      <c r="A250" s="793"/>
      <c r="B250" s="794"/>
      <c r="C250" s="794"/>
      <c r="D250" s="794"/>
      <c r="E250" s="794"/>
      <c r="F250" s="794"/>
      <c r="G250" s="794"/>
      <c r="H250" s="794"/>
      <c r="I250" s="794"/>
      <c r="J250" s="794"/>
      <c r="K250" s="794"/>
      <c r="L250" s="794"/>
      <c r="M250" s="794"/>
      <c r="N250" s="794"/>
      <c r="O250" s="794"/>
    </row>
    <row r="251" spans="1:15" s="115" customFormat="1" ht="15.75" x14ac:dyDescent="0.25">
      <c r="A251" s="795"/>
      <c r="B251" s="128"/>
      <c r="C251" s="128"/>
      <c r="D251" s="128"/>
      <c r="E251" s="128"/>
      <c r="F251" s="128"/>
      <c r="G251" s="128"/>
      <c r="H251" s="128"/>
      <c r="I251" s="128"/>
      <c r="J251" s="128"/>
      <c r="K251" s="128"/>
      <c r="L251" s="128"/>
      <c r="M251" s="128"/>
      <c r="N251" s="128"/>
      <c r="O251" s="128"/>
    </row>
    <row r="252" spans="1:15" s="115" customFormat="1" ht="15.75" x14ac:dyDescent="0.25">
      <c r="A252" s="732"/>
    </row>
    <row r="253" spans="1:15" s="138" customFormat="1" ht="49.5" customHeight="1" x14ac:dyDescent="0.25">
      <c r="A253" s="138" t="s">
        <v>883</v>
      </c>
      <c r="B253" s="1173" t="s">
        <v>884</v>
      </c>
      <c r="C253" s="1173"/>
      <c r="D253" s="1173"/>
      <c r="E253" s="1173"/>
      <c r="F253" s="1173"/>
      <c r="G253" s="1173"/>
      <c r="H253" s="1173"/>
      <c r="I253" s="1173"/>
      <c r="J253" s="1173"/>
      <c r="K253" s="1173"/>
      <c r="L253" s="1173"/>
      <c r="M253" s="1173"/>
      <c r="N253" s="1173"/>
      <c r="O253" s="1173"/>
    </row>
    <row r="254" spans="1:15" s="789" customFormat="1" ht="15.75" x14ac:dyDescent="0.25">
      <c r="A254" s="4406" t="s">
        <v>878</v>
      </c>
      <c r="B254" s="4449"/>
      <c r="C254" s="4450"/>
      <c r="D254" s="4451"/>
      <c r="E254" s="4452"/>
      <c r="F254" s="4453"/>
      <c r="G254" s="4454"/>
      <c r="H254" s="4455"/>
      <c r="I254" s="4456"/>
      <c r="J254" s="4457"/>
      <c r="K254" s="4458"/>
      <c r="L254" s="4459"/>
      <c r="M254" s="4460"/>
      <c r="N254" s="4461"/>
      <c r="O254" s="4462"/>
    </row>
    <row r="255" spans="1:15" s="138" customFormat="1" ht="15.75" x14ac:dyDescent="0.25">
      <c r="A255" s="796"/>
      <c r="B255" s="794"/>
      <c r="C255" s="794"/>
      <c r="D255" s="794"/>
      <c r="E255" s="794"/>
      <c r="F255" s="794"/>
      <c r="G255" s="794"/>
      <c r="H255" s="794"/>
      <c r="I255" s="794"/>
      <c r="J255" s="794"/>
      <c r="K255" s="794"/>
      <c r="L255" s="794"/>
      <c r="M255" s="794"/>
      <c r="N255" s="794"/>
      <c r="O255" s="794"/>
    </row>
    <row r="256" spans="1:15" s="138" customFormat="1" ht="15.75" x14ac:dyDescent="0.25">
      <c r="A256" s="796"/>
      <c r="B256" s="794"/>
      <c r="C256" s="794"/>
      <c r="D256" s="794"/>
      <c r="E256" s="794"/>
      <c r="F256" s="794"/>
      <c r="G256" s="794"/>
      <c r="H256" s="794"/>
      <c r="I256" s="794"/>
      <c r="J256" s="794"/>
      <c r="K256" s="794"/>
      <c r="L256" s="794"/>
      <c r="M256" s="794"/>
      <c r="N256" s="794"/>
      <c r="O256" s="794"/>
    </row>
    <row r="257" spans="1:15" s="138" customFormat="1" ht="15.75" x14ac:dyDescent="0.25">
      <c r="A257" s="796"/>
      <c r="B257" s="794"/>
      <c r="C257" s="794"/>
      <c r="D257" s="794"/>
      <c r="E257" s="794"/>
      <c r="F257" s="794"/>
      <c r="G257" s="794"/>
      <c r="H257" s="794"/>
      <c r="I257" s="794"/>
      <c r="J257" s="794"/>
      <c r="K257" s="794"/>
      <c r="L257" s="794"/>
      <c r="M257" s="794"/>
      <c r="N257" s="794"/>
      <c r="O257" s="794"/>
    </row>
    <row r="258" spans="1:15" s="138" customFormat="1" ht="15.75" x14ac:dyDescent="0.25">
      <c r="A258" s="796"/>
      <c r="B258" s="794"/>
      <c r="C258" s="794"/>
      <c r="D258" s="794"/>
      <c r="E258" s="794"/>
      <c r="F258" s="794"/>
      <c r="G258" s="794"/>
      <c r="H258" s="794"/>
      <c r="I258" s="794"/>
      <c r="J258" s="794"/>
      <c r="K258" s="794"/>
      <c r="L258" s="794"/>
      <c r="M258" s="794"/>
      <c r="N258" s="794"/>
      <c r="O258" s="794"/>
    </row>
    <row r="259" spans="1:15" s="138" customFormat="1" ht="15.75" x14ac:dyDescent="0.25">
      <c r="A259" s="796"/>
      <c r="B259" s="794"/>
      <c r="C259" s="794"/>
      <c r="D259" s="794"/>
      <c r="E259" s="794"/>
      <c r="F259" s="794"/>
      <c r="G259" s="794"/>
      <c r="H259" s="794"/>
      <c r="I259" s="794"/>
      <c r="J259" s="794"/>
      <c r="K259" s="794"/>
      <c r="L259" s="794"/>
      <c r="M259" s="794"/>
      <c r="N259" s="794"/>
      <c r="O259" s="794"/>
    </row>
    <row r="260" spans="1:15" s="115" customFormat="1" ht="15.75" x14ac:dyDescent="0.25">
      <c r="A260" s="795"/>
      <c r="B260" s="128"/>
      <c r="C260" s="128"/>
      <c r="D260" s="128"/>
      <c r="E260" s="128"/>
      <c r="F260" s="128"/>
      <c r="G260" s="128"/>
      <c r="H260" s="128"/>
      <c r="I260" s="128"/>
      <c r="J260" s="128"/>
      <c r="K260" s="128"/>
      <c r="L260" s="128"/>
      <c r="M260" s="128"/>
      <c r="N260" s="128"/>
      <c r="O260" s="128"/>
    </row>
    <row r="261" spans="1:15" s="115" customFormat="1" ht="15.75" x14ac:dyDescent="0.25">
      <c r="A261" s="732"/>
    </row>
    <row r="262" spans="1:15" s="115" customFormat="1" ht="15.75" x14ac:dyDescent="0.25">
      <c r="A262" s="732" t="s">
        <v>885</v>
      </c>
      <c r="B262" s="115" t="s">
        <v>886</v>
      </c>
    </row>
    <row r="263" spans="1:15" s="115" customFormat="1" ht="15.75" x14ac:dyDescent="0.25">
      <c r="A263" s="732"/>
    </row>
    <row r="264" spans="1:15" s="115" customFormat="1" ht="48" customHeight="1" x14ac:dyDescent="0.25">
      <c r="A264" s="790" t="s">
        <v>887</v>
      </c>
      <c r="B264" s="1173" t="s">
        <v>888</v>
      </c>
      <c r="C264" s="1173"/>
      <c r="D264" s="1173"/>
      <c r="E264" s="1173"/>
      <c r="F264" s="1173"/>
      <c r="G264" s="1173"/>
      <c r="H264" s="1173"/>
      <c r="I264" s="1173"/>
      <c r="J264" s="1173"/>
      <c r="K264" s="1173"/>
      <c r="L264" s="1173"/>
      <c r="M264" s="1173"/>
      <c r="N264" s="1173"/>
      <c r="O264" s="1173"/>
    </row>
    <row r="265" spans="1:15" s="789" customFormat="1" ht="15.75" x14ac:dyDescent="0.25">
      <c r="A265" s="4406" t="s">
        <v>878</v>
      </c>
      <c r="B265" s="4545"/>
      <c r="C265" s="4546"/>
      <c r="D265" s="4547"/>
      <c r="E265" s="4548"/>
      <c r="F265" s="4549"/>
      <c r="G265" s="4550"/>
      <c r="H265" s="4551"/>
      <c r="I265" s="4552"/>
      <c r="J265" s="4553"/>
      <c r="K265" s="4554"/>
      <c r="L265" s="4555"/>
      <c r="M265" s="4556"/>
      <c r="N265" s="4557"/>
      <c r="O265" s="4558"/>
    </row>
    <row r="266" spans="1:15" s="115" customFormat="1" ht="15.75" x14ac:dyDescent="0.25">
      <c r="A266" s="793"/>
      <c r="B266" s="794"/>
      <c r="C266" s="794"/>
      <c r="D266" s="794"/>
      <c r="E266" s="794"/>
      <c r="F266" s="794"/>
      <c r="G266" s="794"/>
      <c r="H266" s="794"/>
      <c r="I266" s="794"/>
      <c r="J266" s="794"/>
      <c r="K266" s="794"/>
      <c r="L266" s="794"/>
      <c r="M266" s="794"/>
      <c r="N266" s="794"/>
      <c r="O266" s="794"/>
    </row>
    <row r="267" spans="1:15" s="115" customFormat="1" ht="15.75" x14ac:dyDescent="0.25">
      <c r="A267" s="793"/>
      <c r="B267" s="794"/>
      <c r="C267" s="794"/>
      <c r="D267" s="794"/>
      <c r="E267" s="794"/>
      <c r="F267" s="794"/>
      <c r="G267" s="794"/>
      <c r="H267" s="794"/>
      <c r="I267" s="794"/>
      <c r="J267" s="794"/>
      <c r="K267" s="794"/>
      <c r="L267" s="794"/>
      <c r="M267" s="794"/>
      <c r="N267" s="794"/>
      <c r="O267" s="794"/>
    </row>
    <row r="268" spans="1:15" s="115" customFormat="1" ht="15.75" x14ac:dyDescent="0.25">
      <c r="A268" s="793"/>
      <c r="B268" s="794"/>
      <c r="C268" s="794"/>
      <c r="D268" s="794"/>
      <c r="E268" s="794"/>
      <c r="F268" s="794"/>
      <c r="G268" s="794"/>
      <c r="H268" s="794"/>
      <c r="I268" s="794"/>
      <c r="J268" s="794"/>
      <c r="K268" s="794"/>
      <c r="L268" s="794"/>
      <c r="M268" s="794"/>
      <c r="N268" s="794"/>
      <c r="O268" s="794"/>
    </row>
    <row r="269" spans="1:15" s="115" customFormat="1" ht="15.75" x14ac:dyDescent="0.25">
      <c r="A269" s="732"/>
    </row>
    <row r="270" spans="1:15" s="115" customFormat="1" ht="33" customHeight="1" x14ac:dyDescent="0.25">
      <c r="A270" s="138" t="s">
        <v>889</v>
      </c>
      <c r="B270" s="1173" t="s">
        <v>890</v>
      </c>
      <c r="C270" s="1173"/>
      <c r="D270" s="1173"/>
      <c r="E270" s="1173"/>
      <c r="F270" s="1173"/>
      <c r="G270" s="1173"/>
      <c r="H270" s="1173"/>
      <c r="I270" s="1173"/>
      <c r="J270" s="1173"/>
      <c r="K270" s="1173"/>
      <c r="L270" s="1173"/>
      <c r="M270" s="1173"/>
      <c r="N270" s="1173"/>
      <c r="O270" s="1173"/>
    </row>
    <row r="271" spans="1:15" s="789" customFormat="1" ht="15.75" x14ac:dyDescent="0.25">
      <c r="A271" s="4406" t="s">
        <v>878</v>
      </c>
      <c r="B271" s="4531"/>
      <c r="C271" s="4532"/>
      <c r="D271" s="4533"/>
      <c r="E271" s="4534"/>
      <c r="F271" s="4535"/>
      <c r="G271" s="4536"/>
      <c r="H271" s="4537"/>
      <c r="I271" s="4538"/>
      <c r="J271" s="4539"/>
      <c r="K271" s="4540"/>
      <c r="L271" s="4541"/>
      <c r="M271" s="4542"/>
      <c r="N271" s="4543"/>
      <c r="O271" s="4544"/>
    </row>
    <row r="272" spans="1:15" s="115" customFormat="1" ht="15.75" x14ac:dyDescent="0.25">
      <c r="A272" s="796"/>
      <c r="B272" s="794"/>
      <c r="C272" s="794"/>
      <c r="D272" s="794"/>
      <c r="E272" s="794"/>
      <c r="F272" s="794"/>
      <c r="G272" s="794"/>
      <c r="H272" s="794"/>
      <c r="I272" s="794"/>
      <c r="J272" s="794"/>
      <c r="K272" s="794"/>
      <c r="L272" s="794"/>
      <c r="M272" s="794"/>
      <c r="N272" s="794"/>
      <c r="O272" s="794"/>
    </row>
    <row r="273" spans="1:15" s="115" customFormat="1" ht="15.75" x14ac:dyDescent="0.25">
      <c r="A273" s="796"/>
      <c r="B273" s="794"/>
      <c r="C273" s="794"/>
      <c r="D273" s="794"/>
      <c r="E273" s="794"/>
      <c r="F273" s="794"/>
      <c r="G273" s="794"/>
      <c r="H273" s="794"/>
      <c r="I273" s="794"/>
      <c r="J273" s="794"/>
      <c r="K273" s="794"/>
      <c r="L273" s="794"/>
      <c r="M273" s="794"/>
      <c r="N273" s="794"/>
      <c r="O273" s="794"/>
    </row>
    <row r="274" spans="1:15" s="115" customFormat="1" ht="15.75" x14ac:dyDescent="0.25">
      <c r="A274" s="796"/>
      <c r="B274" s="794"/>
      <c r="C274" s="794"/>
      <c r="D274" s="794"/>
      <c r="E274" s="794"/>
      <c r="F274" s="794"/>
      <c r="G274" s="794"/>
      <c r="H274" s="794"/>
      <c r="I274" s="794"/>
      <c r="J274" s="794"/>
      <c r="K274" s="794"/>
      <c r="L274" s="794"/>
      <c r="M274" s="794"/>
      <c r="N274" s="794"/>
      <c r="O274" s="794"/>
    </row>
    <row r="275" spans="1:15" s="115" customFormat="1" ht="15.75" x14ac:dyDescent="0.25">
      <c r="A275" s="796"/>
      <c r="B275" s="794"/>
      <c r="C275" s="794"/>
      <c r="D275" s="794"/>
      <c r="E275" s="794"/>
      <c r="F275" s="794"/>
      <c r="G275" s="794"/>
      <c r="H275" s="794"/>
      <c r="I275" s="794"/>
      <c r="J275" s="794"/>
      <c r="K275" s="794"/>
      <c r="L275" s="794"/>
      <c r="M275" s="794"/>
      <c r="N275" s="794"/>
      <c r="O275" s="794"/>
    </row>
    <row r="276" spans="1:15" s="115" customFormat="1" ht="15.75" x14ac:dyDescent="0.25">
      <c r="A276" s="796"/>
      <c r="B276" s="794"/>
      <c r="C276" s="794"/>
      <c r="D276" s="794"/>
      <c r="E276" s="794"/>
      <c r="F276" s="794"/>
      <c r="G276" s="794"/>
      <c r="H276" s="794"/>
      <c r="I276" s="794"/>
      <c r="J276" s="794"/>
      <c r="K276" s="794"/>
      <c r="L276" s="794"/>
      <c r="M276" s="794"/>
      <c r="N276" s="794"/>
      <c r="O276" s="794"/>
    </row>
    <row r="277" spans="1:15" s="115" customFormat="1" ht="15.75" x14ac:dyDescent="0.25">
      <c r="A277" s="114"/>
    </row>
    <row r="278" spans="1:15" s="789" customFormat="1" ht="30" customHeight="1" x14ac:dyDescent="0.25">
      <c r="A278" s="138" t="s">
        <v>891</v>
      </c>
      <c r="B278" s="1173" t="s">
        <v>892</v>
      </c>
      <c r="C278" s="1173"/>
      <c r="D278" s="1173"/>
      <c r="E278" s="1173"/>
      <c r="F278" s="1173"/>
      <c r="G278" s="1173"/>
      <c r="H278" s="1173"/>
      <c r="I278" s="1173"/>
      <c r="J278" s="1173"/>
      <c r="K278" s="1173"/>
      <c r="L278" s="1173"/>
      <c r="M278" s="1173"/>
      <c r="N278" s="1173"/>
      <c r="O278" s="1173"/>
    </row>
    <row r="279" spans="1:15" s="789" customFormat="1" ht="15.75" x14ac:dyDescent="0.25">
      <c r="A279" s="4406" t="s">
        <v>878</v>
      </c>
      <c r="B279" s="4517"/>
      <c r="C279" s="4518"/>
      <c r="D279" s="4519"/>
      <c r="E279" s="4520"/>
      <c r="F279" s="4521"/>
      <c r="G279" s="4522"/>
      <c r="H279" s="4523"/>
      <c r="I279" s="4524"/>
      <c r="J279" s="4525"/>
      <c r="K279" s="4526"/>
      <c r="L279" s="4527"/>
      <c r="M279" s="4528"/>
      <c r="N279" s="4529"/>
      <c r="O279" s="4530"/>
    </row>
    <row r="280" spans="1:15" s="115" customFormat="1" ht="15.75" x14ac:dyDescent="0.25">
      <c r="A280" s="796"/>
      <c r="B280" s="794"/>
      <c r="C280" s="794"/>
      <c r="D280" s="794"/>
      <c r="E280" s="794"/>
      <c r="F280" s="794"/>
      <c r="G280" s="794"/>
      <c r="H280" s="794"/>
      <c r="I280" s="794"/>
      <c r="J280" s="794"/>
      <c r="K280" s="794"/>
      <c r="L280" s="794"/>
      <c r="M280" s="794"/>
      <c r="N280" s="794"/>
      <c r="O280" s="794"/>
    </row>
    <row r="281" spans="1:15" s="115" customFormat="1" ht="15.75" x14ac:dyDescent="0.25">
      <c r="A281" s="796"/>
      <c r="B281" s="794"/>
      <c r="C281" s="794"/>
      <c r="D281" s="794"/>
      <c r="E281" s="794"/>
      <c r="F281" s="794"/>
      <c r="G281" s="794"/>
      <c r="H281" s="794"/>
      <c r="I281" s="794"/>
      <c r="J281" s="794"/>
      <c r="K281" s="794"/>
      <c r="L281" s="794"/>
      <c r="M281" s="794"/>
      <c r="N281" s="794"/>
      <c r="O281" s="794"/>
    </row>
    <row r="282" spans="1:15" s="115" customFormat="1" ht="15.75" x14ac:dyDescent="0.25">
      <c r="A282" s="796"/>
      <c r="B282" s="794"/>
      <c r="C282" s="794"/>
      <c r="D282" s="794"/>
      <c r="E282" s="794"/>
      <c r="F282" s="794"/>
      <c r="G282" s="794"/>
      <c r="H282" s="794"/>
      <c r="I282" s="794"/>
      <c r="J282" s="794"/>
      <c r="K282" s="794"/>
      <c r="L282" s="794"/>
      <c r="M282" s="794"/>
      <c r="N282" s="794"/>
      <c r="O282" s="794"/>
    </row>
    <row r="283" spans="1:15" s="115" customFormat="1" ht="15.75" x14ac:dyDescent="0.25">
      <c r="A283" s="796"/>
      <c r="B283" s="794"/>
      <c r="C283" s="794"/>
      <c r="D283" s="794"/>
      <c r="E283" s="794"/>
      <c r="F283" s="794"/>
      <c r="G283" s="794"/>
      <c r="H283" s="794"/>
      <c r="I283" s="794"/>
      <c r="J283" s="794"/>
      <c r="K283" s="794"/>
      <c r="L283" s="794"/>
      <c r="M283" s="794"/>
      <c r="N283" s="794"/>
      <c r="O283" s="794"/>
    </row>
    <row r="284" spans="1:15" s="115" customFormat="1" ht="15.75" x14ac:dyDescent="0.25">
      <c r="A284" s="114"/>
    </row>
    <row r="285" spans="1:15" s="789" customFormat="1" ht="32.25" customHeight="1" x14ac:dyDescent="0.25">
      <c r="A285" s="790" t="s">
        <v>893</v>
      </c>
      <c r="B285" s="1173" t="s">
        <v>894</v>
      </c>
      <c r="C285" s="1173"/>
      <c r="D285" s="1173"/>
      <c r="E285" s="1173"/>
      <c r="F285" s="1173"/>
      <c r="G285" s="1173"/>
      <c r="H285" s="1173"/>
      <c r="I285" s="1173"/>
      <c r="J285" s="1173"/>
      <c r="K285" s="1173"/>
      <c r="L285" s="1173"/>
      <c r="M285" s="1173"/>
      <c r="N285" s="1173"/>
      <c r="O285" s="1173"/>
    </row>
    <row r="286" spans="1:15" s="789" customFormat="1" ht="15.75" x14ac:dyDescent="0.25">
      <c r="A286" s="4406" t="s">
        <v>878</v>
      </c>
      <c r="B286" s="4503"/>
      <c r="C286" s="4504"/>
      <c r="D286" s="4505"/>
      <c r="E286" s="4506"/>
      <c r="F286" s="4507"/>
      <c r="G286" s="4508"/>
      <c r="H286" s="4509"/>
      <c r="I286" s="4510"/>
      <c r="J286" s="4511"/>
      <c r="K286" s="4512"/>
      <c r="L286" s="4513"/>
      <c r="M286" s="4514"/>
      <c r="N286" s="4515"/>
      <c r="O286" s="4516"/>
    </row>
    <row r="287" spans="1:15" s="115" customFormat="1" ht="15.75" x14ac:dyDescent="0.25">
      <c r="A287" s="796"/>
      <c r="B287" s="794"/>
      <c r="C287" s="794"/>
      <c r="D287" s="794"/>
      <c r="E287" s="794"/>
      <c r="F287" s="794"/>
      <c r="G287" s="794"/>
      <c r="H287" s="794"/>
      <c r="I287" s="794"/>
      <c r="J287" s="794"/>
      <c r="K287" s="794"/>
      <c r="L287" s="794"/>
      <c r="M287" s="794"/>
      <c r="N287" s="794"/>
      <c r="O287" s="794"/>
    </row>
    <row r="288" spans="1:15" s="115" customFormat="1" ht="15.75" x14ac:dyDescent="0.25">
      <c r="A288" s="796"/>
      <c r="B288" s="794"/>
      <c r="C288" s="794"/>
      <c r="D288" s="794"/>
      <c r="E288" s="794"/>
      <c r="F288" s="794"/>
      <c r="G288" s="794"/>
      <c r="H288" s="794"/>
      <c r="I288" s="794"/>
      <c r="J288" s="794"/>
      <c r="K288" s="794"/>
      <c r="L288" s="794"/>
      <c r="M288" s="794"/>
      <c r="N288" s="794"/>
      <c r="O288" s="794"/>
    </row>
    <row r="289" spans="1:15" s="115" customFormat="1" ht="15.75" x14ac:dyDescent="0.25">
      <c r="A289" s="796"/>
      <c r="B289" s="794"/>
      <c r="C289" s="794"/>
      <c r="D289" s="794"/>
      <c r="E289" s="794"/>
      <c r="F289" s="794"/>
      <c r="G289" s="794"/>
      <c r="H289" s="794"/>
      <c r="I289" s="794"/>
      <c r="J289" s="794"/>
      <c r="K289" s="794"/>
      <c r="L289" s="794"/>
      <c r="M289" s="794"/>
      <c r="N289" s="794"/>
      <c r="O289" s="794"/>
    </row>
    <row r="290" spans="1:15" s="115" customFormat="1" ht="15.75" x14ac:dyDescent="0.25">
      <c r="A290" s="796"/>
      <c r="B290" s="794"/>
      <c r="C290" s="794"/>
      <c r="D290" s="794"/>
      <c r="E290" s="794"/>
      <c r="F290" s="794"/>
      <c r="G290" s="794"/>
      <c r="H290" s="794"/>
      <c r="I290" s="794"/>
      <c r="J290" s="794"/>
      <c r="K290" s="794"/>
      <c r="L290" s="794"/>
      <c r="M290" s="794"/>
      <c r="N290" s="794"/>
      <c r="O290" s="794"/>
    </row>
    <row r="291" spans="1:15" s="115" customFormat="1" ht="15.75" x14ac:dyDescent="0.25">
      <c r="A291" s="732"/>
    </row>
    <row r="292" spans="1:15" s="115" customFormat="1" ht="15.75" x14ac:dyDescent="0.25">
      <c r="A292" s="732" t="s">
        <v>895</v>
      </c>
      <c r="B292" s="4006" t="s">
        <v>896</v>
      </c>
      <c r="C292" s="4006"/>
      <c r="D292" s="4006"/>
      <c r="E292" s="4006"/>
      <c r="F292" s="4006"/>
      <c r="G292" s="4006"/>
      <c r="H292" s="4006"/>
      <c r="I292" s="4006"/>
      <c r="J292" s="4006"/>
      <c r="K292" s="4006"/>
      <c r="L292" s="4006"/>
      <c r="M292" s="4006"/>
      <c r="N292" s="4006"/>
      <c r="O292" s="4006"/>
    </row>
    <row r="293" spans="1:15" s="789" customFormat="1" ht="15.75" x14ac:dyDescent="0.25">
      <c r="A293" s="4406" t="s">
        <v>878</v>
      </c>
      <c r="B293" s="4489"/>
      <c r="C293" s="4490"/>
      <c r="D293" s="4491"/>
      <c r="E293" s="4492"/>
      <c r="F293" s="4493"/>
      <c r="G293" s="4494"/>
      <c r="H293" s="4495"/>
      <c r="I293" s="4496"/>
      <c r="J293" s="4497"/>
      <c r="K293" s="4498"/>
      <c r="L293" s="4499"/>
      <c r="M293" s="4500"/>
      <c r="N293" s="4501"/>
      <c r="O293" s="4502"/>
    </row>
    <row r="294" spans="1:15" s="115" customFormat="1" ht="15.75" x14ac:dyDescent="0.25">
      <c r="A294" s="796"/>
      <c r="B294" s="794"/>
      <c r="C294" s="794"/>
      <c r="D294" s="794"/>
      <c r="E294" s="794"/>
      <c r="F294" s="794"/>
      <c r="G294" s="794"/>
      <c r="H294" s="794"/>
      <c r="I294" s="794"/>
      <c r="J294" s="794"/>
      <c r="K294" s="794"/>
      <c r="L294" s="794"/>
      <c r="M294" s="794"/>
      <c r="N294" s="794"/>
      <c r="O294" s="794"/>
    </row>
    <row r="295" spans="1:15" s="115" customFormat="1" ht="15.75" x14ac:dyDescent="0.25">
      <c r="A295" s="796"/>
      <c r="B295" s="794"/>
      <c r="C295" s="794"/>
      <c r="D295" s="794"/>
      <c r="E295" s="794"/>
      <c r="F295" s="794"/>
      <c r="G295" s="794"/>
      <c r="H295" s="794"/>
      <c r="I295" s="794"/>
      <c r="J295" s="794"/>
      <c r="K295" s="794"/>
      <c r="L295" s="794"/>
      <c r="M295" s="794"/>
      <c r="N295" s="794"/>
      <c r="O295" s="794"/>
    </row>
    <row r="296" spans="1:15" s="115" customFormat="1" ht="15.75" x14ac:dyDescent="0.25">
      <c r="A296" s="796"/>
      <c r="B296" s="794"/>
      <c r="C296" s="794"/>
      <c r="D296" s="794"/>
      <c r="E296" s="794"/>
      <c r="F296" s="794"/>
      <c r="G296" s="794"/>
      <c r="H296" s="794"/>
      <c r="I296" s="794"/>
      <c r="J296" s="794"/>
      <c r="K296" s="794"/>
      <c r="L296" s="794"/>
      <c r="M296" s="794"/>
      <c r="N296" s="794"/>
      <c r="O296" s="794"/>
    </row>
    <row r="297" spans="1:15" s="115" customFormat="1" ht="15.75" x14ac:dyDescent="0.25">
      <c r="A297" s="796"/>
      <c r="B297" s="794"/>
      <c r="C297" s="794"/>
      <c r="D297" s="794"/>
      <c r="E297" s="794"/>
      <c r="F297" s="794"/>
      <c r="G297" s="794"/>
      <c r="H297" s="794"/>
      <c r="I297" s="794"/>
      <c r="J297" s="794"/>
      <c r="K297" s="794"/>
      <c r="L297" s="794"/>
      <c r="M297" s="794"/>
      <c r="N297" s="794"/>
      <c r="O297" s="794"/>
    </row>
    <row r="298" spans="1:15" s="115" customFormat="1" ht="15.75" x14ac:dyDescent="0.25">
      <c r="A298" s="796"/>
      <c r="B298" s="794"/>
      <c r="C298" s="794"/>
      <c r="D298" s="794"/>
      <c r="E298" s="794"/>
      <c r="F298" s="794"/>
      <c r="G298" s="794"/>
      <c r="H298" s="794"/>
      <c r="I298" s="794"/>
      <c r="J298" s="794"/>
      <c r="K298" s="794"/>
      <c r="L298" s="794"/>
      <c r="M298" s="794"/>
      <c r="N298" s="794"/>
      <c r="O298" s="794"/>
    </row>
    <row r="299" spans="1:15" s="115" customFormat="1" ht="15.75" x14ac:dyDescent="0.25">
      <c r="A299" s="732"/>
    </row>
    <row r="300" spans="1:15" s="115" customFormat="1" ht="15.75" x14ac:dyDescent="0.25">
      <c r="A300" s="114" t="s">
        <v>897</v>
      </c>
    </row>
    <row r="301" spans="1:15" s="115" customFormat="1" ht="32.25" customHeight="1" x14ac:dyDescent="0.25">
      <c r="A301" s="138" t="s">
        <v>898</v>
      </c>
      <c r="B301" s="1173" t="s">
        <v>899</v>
      </c>
      <c r="C301" s="1173"/>
      <c r="D301" s="1173"/>
      <c r="E301" s="1173"/>
      <c r="F301" s="1173"/>
      <c r="G301" s="1173"/>
      <c r="H301" s="1173"/>
      <c r="I301" s="1173"/>
      <c r="J301" s="1173"/>
      <c r="K301" s="1173"/>
      <c r="L301" s="1173"/>
      <c r="M301" s="1173"/>
      <c r="N301" s="1173"/>
      <c r="O301" s="1173"/>
    </row>
    <row r="302" spans="1:15" s="115" customFormat="1" ht="15.75" x14ac:dyDescent="0.25">
      <c r="A302" s="732" t="s">
        <v>900</v>
      </c>
      <c r="B302" s="115" t="s">
        <v>901</v>
      </c>
    </row>
    <row r="303" spans="1:15" s="789" customFormat="1" ht="35.25" customHeight="1" x14ac:dyDescent="0.25">
      <c r="A303" s="790" t="s">
        <v>902</v>
      </c>
      <c r="B303" s="1173" t="s">
        <v>903</v>
      </c>
      <c r="C303" s="1173"/>
      <c r="D303" s="1173"/>
      <c r="E303" s="1173"/>
      <c r="F303" s="1173"/>
      <c r="G303" s="1173"/>
      <c r="H303" s="1173"/>
      <c r="I303" s="1173"/>
      <c r="J303" s="1173"/>
      <c r="K303" s="1173"/>
      <c r="L303" s="1173"/>
      <c r="M303" s="1173"/>
      <c r="N303" s="1173"/>
      <c r="O303" s="1173"/>
    </row>
    <row r="304" spans="1:15" s="115" customFormat="1" ht="15.75" x14ac:dyDescent="0.25">
      <c r="A304" s="732" t="s">
        <v>454</v>
      </c>
    </row>
    <row r="305" spans="1:15" s="115" customFormat="1" ht="15.75" x14ac:dyDescent="0.25">
      <c r="A305" s="797"/>
    </row>
    <row r="306" spans="1:15" s="115" customFormat="1" ht="15.75" customHeight="1" x14ac:dyDescent="0.25">
      <c r="A306" s="4405" t="s">
        <v>904</v>
      </c>
      <c r="B306" s="4405"/>
      <c r="C306" s="4405"/>
      <c r="D306" s="4405"/>
      <c r="E306" s="4405"/>
      <c r="F306" s="4405"/>
      <c r="G306" s="4405"/>
      <c r="H306" s="4405"/>
      <c r="I306" s="4405"/>
    </row>
    <row r="307" spans="1:15" s="115" customFormat="1" ht="15.75" x14ac:dyDescent="0.25">
      <c r="A307" s="4405"/>
      <c r="B307" s="4405"/>
      <c r="C307" s="4405"/>
      <c r="D307" s="4405"/>
      <c r="E307" s="4405"/>
      <c r="F307" s="4405"/>
      <c r="G307" s="4405"/>
      <c r="H307" s="4405"/>
      <c r="I307" s="4405"/>
    </row>
    <row r="308" spans="1:15" s="115" customFormat="1" ht="15.75" x14ac:dyDescent="0.25">
      <c r="A308" s="4405"/>
      <c r="B308" s="4405"/>
      <c r="C308" s="4405"/>
      <c r="D308" s="4405"/>
      <c r="E308" s="4405"/>
      <c r="F308" s="4405"/>
      <c r="G308" s="4405"/>
      <c r="H308" s="4405"/>
      <c r="I308" s="4405"/>
    </row>
    <row r="309" spans="1:15" s="115" customFormat="1" ht="15.75" x14ac:dyDescent="0.25">
      <c r="A309" s="4405"/>
      <c r="B309" s="4405"/>
      <c r="C309" s="4405"/>
      <c r="D309" s="4405"/>
      <c r="E309" s="4405"/>
      <c r="F309" s="4405"/>
      <c r="G309" s="4405"/>
      <c r="H309" s="4405"/>
      <c r="I309" s="4405"/>
    </row>
    <row r="310" spans="1:15" s="115" customFormat="1" ht="15.75" x14ac:dyDescent="0.25">
      <c r="A310" s="798"/>
      <c r="B310" s="798"/>
      <c r="C310" s="798"/>
      <c r="D310" s="798"/>
      <c r="E310" s="798"/>
      <c r="F310" s="798"/>
      <c r="G310" s="798"/>
      <c r="H310" s="798"/>
      <c r="I310" s="798"/>
    </row>
    <row r="311" spans="1:15" s="115" customFormat="1" ht="15.75" x14ac:dyDescent="0.25">
      <c r="A311" s="797"/>
    </row>
    <row r="312" spans="1:15" s="115" customFormat="1" ht="15.75" x14ac:dyDescent="0.25">
      <c r="A312" s="4026"/>
      <c r="B312" s="4027"/>
      <c r="C312" s="4028"/>
      <c r="D312" s="4029"/>
      <c r="E312" s="4030"/>
      <c r="F312" s="4031"/>
      <c r="G312" s="4032"/>
      <c r="I312" s="1330" t="s">
        <v>905</v>
      </c>
      <c r="J312" s="4399"/>
      <c r="K312" s="4400"/>
      <c r="L312" s="4401"/>
      <c r="M312" s="4402"/>
      <c r="N312" s="4403"/>
      <c r="O312" s="4404"/>
    </row>
    <row r="313" spans="1:15" s="115" customFormat="1" ht="15.75" x14ac:dyDescent="0.25">
      <c r="A313" s="4001" t="s">
        <v>289</v>
      </c>
      <c r="B313" s="4020"/>
      <c r="C313" s="4021"/>
      <c r="D313" s="4022"/>
      <c r="E313" s="4023"/>
      <c r="F313" s="4024"/>
      <c r="G313" s="4025"/>
      <c r="I313" s="4001" t="s">
        <v>906</v>
      </c>
      <c r="J313" s="4393"/>
      <c r="K313" s="4394"/>
      <c r="L313" s="4395"/>
      <c r="M313" s="4396"/>
      <c r="N313" s="4397"/>
      <c r="O313" s="4398"/>
    </row>
    <row r="314" spans="1:15" s="115" customFormat="1" ht="15.75" x14ac:dyDescent="0.25">
      <c r="A314" s="137"/>
    </row>
    <row r="315" spans="1:15" s="115" customFormat="1" ht="15.75" x14ac:dyDescent="0.25">
      <c r="A315" s="137"/>
    </row>
    <row r="316" spans="1:15" s="115" customFormat="1" ht="15.75" x14ac:dyDescent="0.25">
      <c r="A316" s="137"/>
    </row>
    <row r="317" spans="1:15" s="115" customFormat="1" ht="15.75" x14ac:dyDescent="0.25">
      <c r="A317" s="4019" t="s">
        <v>11</v>
      </c>
      <c r="B317" s="4019"/>
      <c r="C317" s="4019"/>
      <c r="D317" s="4019"/>
      <c r="E317" s="4006"/>
      <c r="F317" s="4006"/>
      <c r="G317" s="4006"/>
      <c r="H317" s="4006"/>
      <c r="I317" s="4006"/>
      <c r="K317" s="4392" t="e">
        <f>#REF!</f>
        <v>#REF!</v>
      </c>
      <c r="L317" s="4392"/>
      <c r="M317" s="4392"/>
      <c r="N317" s="4392"/>
      <c r="O317" s="4392"/>
    </row>
    <row r="318" spans="1:15" s="115" customFormat="1" ht="15.75" x14ac:dyDescent="0.25">
      <c r="A318" s="799"/>
      <c r="B318" s="799"/>
      <c r="C318" s="799"/>
      <c r="D318" s="799"/>
      <c r="E318" s="4001" t="s">
        <v>289</v>
      </c>
      <c r="F318" s="4007"/>
      <c r="G318" s="4008"/>
      <c r="H318" s="4009"/>
      <c r="I318" s="4010"/>
      <c r="K318" s="4001" t="s">
        <v>288</v>
      </c>
      <c r="L318" s="4388"/>
      <c r="M318" s="4389"/>
      <c r="N318" s="4390"/>
      <c r="O318" s="4391"/>
    </row>
    <row r="319" spans="1:15" s="115" customFormat="1" ht="15.75" x14ac:dyDescent="0.25">
      <c r="A319" s="799"/>
      <c r="B319" s="799"/>
      <c r="C319" s="799"/>
      <c r="D319" s="799"/>
      <c r="E319" s="137"/>
      <c r="F319" s="137"/>
      <c r="G319" s="137"/>
      <c r="H319" s="137"/>
      <c r="I319" s="137"/>
      <c r="K319" s="137"/>
      <c r="L319" s="137"/>
      <c r="M319" s="137"/>
      <c r="N319" s="137"/>
      <c r="O319" s="137"/>
    </row>
    <row r="320" spans="1:15" s="115" customFormat="1" ht="15.75" x14ac:dyDescent="0.25">
      <c r="A320" s="4019" t="s">
        <v>907</v>
      </c>
      <c r="B320" s="4019"/>
      <c r="C320" s="4019"/>
      <c r="D320" s="4019"/>
      <c r="E320" s="4006"/>
      <c r="F320" s="4006"/>
      <c r="G320" s="4006"/>
      <c r="H320" s="4006"/>
      <c r="I320" s="4006"/>
      <c r="K320" s="4392" t="e">
        <f>#REF!</f>
        <v>#REF!</v>
      </c>
      <c r="L320" s="4392"/>
      <c r="M320" s="4392"/>
      <c r="N320" s="4392"/>
      <c r="O320" s="4392"/>
    </row>
    <row r="321" spans="1:15" s="115" customFormat="1" ht="15.75" x14ac:dyDescent="0.25">
      <c r="E321" s="4001" t="s">
        <v>289</v>
      </c>
      <c r="F321" s="4002"/>
      <c r="G321" s="4003"/>
      <c r="H321" s="4004"/>
      <c r="I321" s="4005"/>
      <c r="K321" s="4001" t="s">
        <v>288</v>
      </c>
      <c r="L321" s="4559"/>
      <c r="M321" s="4560"/>
      <c r="N321" s="4561"/>
      <c r="O321" s="4562"/>
    </row>
    <row r="322" spans="1:15" s="115" customFormat="1" ht="220.5" x14ac:dyDescent="0.25">
      <c r="A322" s="732" t="s">
        <v>908</v>
      </c>
    </row>
    <row r="323" spans="1:15" s="115" customFormat="1" ht="15.75" x14ac:dyDescent="0.25"/>
    <row r="324" spans="1:15" s="115" customFormat="1" ht="15.75" x14ac:dyDescent="0.25"/>
    <row r="325" spans="1:15" s="115" customFormat="1" ht="15.75" x14ac:dyDescent="0.25"/>
    <row r="326" spans="1:15" s="115" customFormat="1" ht="15.75" x14ac:dyDescent="0.25"/>
    <row r="327" spans="1:15" s="115" customFormat="1" ht="15.75" x14ac:dyDescent="0.25"/>
    <row r="328" spans="1:15" s="115" customFormat="1" ht="15.75" x14ac:dyDescent="0.25"/>
    <row r="329" spans="1:15" s="115" customFormat="1" ht="15.75" x14ac:dyDescent="0.25"/>
    <row r="330" spans="1:15" s="115" customFormat="1" ht="15.75" x14ac:dyDescent="0.25"/>
    <row r="331" spans="1:15" s="115" customFormat="1" ht="15.75" x14ac:dyDescent="0.25"/>
    <row r="332" spans="1:15" s="115" customFormat="1" ht="15.75" x14ac:dyDescent="0.25"/>
    <row r="333" spans="1:15" s="115" customFormat="1" ht="15.75" x14ac:dyDescent="0.25"/>
    <row r="334" spans="1:15" s="115" customFormat="1" ht="15.75" x14ac:dyDescent="0.25"/>
    <row r="335" spans="1:15" s="115" customFormat="1" ht="15.75" x14ac:dyDescent="0.25"/>
    <row r="336" spans="1:15" s="115" customFormat="1" ht="15.75" x14ac:dyDescent="0.25"/>
    <row r="337" s="115" customFormat="1" ht="15.75" x14ac:dyDescent="0.25"/>
    <row r="338" s="115" customFormat="1" ht="15.75" x14ac:dyDescent="0.25"/>
    <row r="339" s="115" customFormat="1" ht="15.75" x14ac:dyDescent="0.25"/>
    <row r="340" s="115" customFormat="1" ht="15.75" x14ac:dyDescent="0.25"/>
    <row r="341" s="115" customFormat="1" ht="15.75" x14ac:dyDescent="0.25"/>
    <row r="342" s="115" customFormat="1" ht="15.75" x14ac:dyDescent="0.25"/>
    <row r="343" s="115" customFormat="1" ht="15.75" x14ac:dyDescent="0.25"/>
    <row r="344" s="115" customFormat="1" ht="15.75" x14ac:dyDescent="0.25"/>
    <row r="345" s="115" customFormat="1" ht="15.75" x14ac:dyDescent="0.25"/>
    <row r="346" s="115" customFormat="1" ht="15.75" x14ac:dyDescent="0.25"/>
    <row r="347" s="115" customFormat="1" ht="15.75" x14ac:dyDescent="0.25"/>
    <row r="348" s="115" customFormat="1" ht="15.75" x14ac:dyDescent="0.25"/>
    <row r="349" s="115" customFormat="1" ht="15.75" x14ac:dyDescent="0.25"/>
    <row r="350" s="115" customFormat="1" ht="15.75" x14ac:dyDescent="0.25"/>
  </sheetData>
  <mergeCells count="335">
    <mergeCell ref="M87:N87"/>
    <mergeCell ref="M88:N88"/>
    <mergeCell ref="M84:N84"/>
    <mergeCell ref="M85:N85"/>
    <mergeCell ref="A52:O52"/>
    <mergeCell ref="A53:O53"/>
    <mergeCell ref="A54:O54"/>
    <mergeCell ref="A55:H55"/>
    <mergeCell ref="I55:O55"/>
    <mergeCell ref="B79:I79"/>
    <mergeCell ref="M79:N79"/>
    <mergeCell ref="M78:N78"/>
    <mergeCell ref="B78:I78"/>
    <mergeCell ref="M77:N77"/>
    <mergeCell ref="B77:I77"/>
    <mergeCell ref="B75:I76"/>
    <mergeCell ref="M83:N83"/>
    <mergeCell ref="M86:N86"/>
    <mergeCell ref="B62:H62"/>
    <mergeCell ref="I60:O60"/>
    <mergeCell ref="B58:E58"/>
    <mergeCell ref="F58:P58"/>
    <mergeCell ref="B60:H60"/>
    <mergeCell ref="B95:I95"/>
    <mergeCell ref="B94:I94"/>
    <mergeCell ref="B93:I93"/>
    <mergeCell ref="B92:I92"/>
    <mergeCell ref="B91:I91"/>
    <mergeCell ref="B90:I90"/>
    <mergeCell ref="B89:I89"/>
    <mergeCell ref="B88:I88"/>
    <mergeCell ref="B87:I87"/>
    <mergeCell ref="B86:I86"/>
    <mergeCell ref="B85:I85"/>
    <mergeCell ref="B84:I84"/>
    <mergeCell ref="B83:I83"/>
    <mergeCell ref="B82:I82"/>
    <mergeCell ref="M82:N82"/>
    <mergeCell ref="B81:I81"/>
    <mergeCell ref="M81:N81"/>
    <mergeCell ref="B80:I80"/>
    <mergeCell ref="M80:N80"/>
    <mergeCell ref="O75:O76"/>
    <mergeCell ref="M75:N76"/>
    <mergeCell ref="J75:L75"/>
    <mergeCell ref="B73:O73"/>
    <mergeCell ref="H69:L69"/>
    <mergeCell ref="B69:F69"/>
    <mergeCell ref="B67:F67"/>
    <mergeCell ref="J66:K66"/>
    <mergeCell ref="F66:H66"/>
    <mergeCell ref="B66:D66"/>
    <mergeCell ref="A1:O1"/>
    <mergeCell ref="A2:O2"/>
    <mergeCell ref="A3:O3"/>
    <mergeCell ref="A15:O15"/>
    <mergeCell ref="A16:O16"/>
    <mergeCell ref="A17:O17"/>
    <mergeCell ref="A18:O18"/>
    <mergeCell ref="A19:O19"/>
    <mergeCell ref="A21:O21"/>
    <mergeCell ref="B217:I217"/>
    <mergeCell ref="B218:I218"/>
    <mergeCell ref="J217:K217"/>
    <mergeCell ref="L217:M217"/>
    <mergeCell ref="N217:O217"/>
    <mergeCell ref="J218:K218"/>
    <mergeCell ref="B219:I219"/>
    <mergeCell ref="L219:M219"/>
    <mergeCell ref="N219:O219"/>
    <mergeCell ref="J219:K219"/>
    <mergeCell ref="L218:M218"/>
    <mergeCell ref="N218:O218"/>
    <mergeCell ref="L216:M216"/>
    <mergeCell ref="L215:M215"/>
    <mergeCell ref="L213:M213"/>
    <mergeCell ref="L212:M212"/>
    <mergeCell ref="L211:M211"/>
    <mergeCell ref="L210:M210"/>
    <mergeCell ref="L209:M209"/>
    <mergeCell ref="L208:M208"/>
    <mergeCell ref="L207:M207"/>
    <mergeCell ref="L214:M214"/>
    <mergeCell ref="N208:O208"/>
    <mergeCell ref="N209:O209"/>
    <mergeCell ref="N210:O210"/>
    <mergeCell ref="N211:O211"/>
    <mergeCell ref="N212:O212"/>
    <mergeCell ref="N213:O213"/>
    <mergeCell ref="N207:O207"/>
    <mergeCell ref="N216:O216"/>
    <mergeCell ref="N215:O215"/>
    <mergeCell ref="N214:O214"/>
    <mergeCell ref="J207:K207"/>
    <mergeCell ref="J208:K208"/>
    <mergeCell ref="J209:K209"/>
    <mergeCell ref="J210:K210"/>
    <mergeCell ref="J211:K211"/>
    <mergeCell ref="J212:K212"/>
    <mergeCell ref="J213:K213"/>
    <mergeCell ref="J216:K216"/>
    <mergeCell ref="J215:K215"/>
    <mergeCell ref="J214:K214"/>
    <mergeCell ref="N204:O204"/>
    <mergeCell ref="L204:M204"/>
    <mergeCell ref="J204:K204"/>
    <mergeCell ref="B204:I204"/>
    <mergeCell ref="B206:I206"/>
    <mergeCell ref="J206:K206"/>
    <mergeCell ref="L206:M206"/>
    <mergeCell ref="B205:I205"/>
    <mergeCell ref="J205:K205"/>
    <mergeCell ref="L205:M205"/>
    <mergeCell ref="N205:O205"/>
    <mergeCell ref="N206:O206"/>
    <mergeCell ref="B216:I216"/>
    <mergeCell ref="B214:I214"/>
    <mergeCell ref="B213:I213"/>
    <mergeCell ref="B212:I212"/>
    <mergeCell ref="B211:I211"/>
    <mergeCell ref="B209:I209"/>
    <mergeCell ref="B210:I210"/>
    <mergeCell ref="B208:I208"/>
    <mergeCell ref="B207:I207"/>
    <mergeCell ref="B215:I215"/>
    <mergeCell ref="J220:K220"/>
    <mergeCell ref="L220:M220"/>
    <mergeCell ref="B220:I220"/>
    <mergeCell ref="B222:I222"/>
    <mergeCell ref="B223:I223"/>
    <mergeCell ref="J222:K222"/>
    <mergeCell ref="J223:K223"/>
    <mergeCell ref="B227:I227"/>
    <mergeCell ref="B226:I226"/>
    <mergeCell ref="B225:I225"/>
    <mergeCell ref="B224:I224"/>
    <mergeCell ref="J227:K227"/>
    <mergeCell ref="J226:K226"/>
    <mergeCell ref="J225:K225"/>
    <mergeCell ref="J224:K224"/>
    <mergeCell ref="L224:M224"/>
    <mergeCell ref="N223:O223"/>
    <mergeCell ref="L223:M223"/>
    <mergeCell ref="L222:M222"/>
    <mergeCell ref="N222:O222"/>
    <mergeCell ref="N221:O221"/>
    <mergeCell ref="L221:M221"/>
    <mergeCell ref="J221:K221"/>
    <mergeCell ref="B221:I221"/>
    <mergeCell ref="A75:A76"/>
    <mergeCell ref="K318:O318"/>
    <mergeCell ref="K317:O317"/>
    <mergeCell ref="I313:O313"/>
    <mergeCell ref="I312:O312"/>
    <mergeCell ref="A306:I309"/>
    <mergeCell ref="B303:O303"/>
    <mergeCell ref="B301:O301"/>
    <mergeCell ref="A233:O233"/>
    <mergeCell ref="B239:O239"/>
    <mergeCell ref="A240:O240"/>
    <mergeCell ref="B246:O246"/>
    <mergeCell ref="A247:O247"/>
    <mergeCell ref="B253:O253"/>
    <mergeCell ref="A254:O254"/>
    <mergeCell ref="B232:O232"/>
    <mergeCell ref="B230:I230"/>
    <mergeCell ref="J230:K230"/>
    <mergeCell ref="L230:M230"/>
    <mergeCell ref="N230:O230"/>
    <mergeCell ref="B228:I228"/>
    <mergeCell ref="B229:I229"/>
    <mergeCell ref="J229:K229"/>
    <mergeCell ref="J228:K228"/>
    <mergeCell ref="A107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B103:I103"/>
    <mergeCell ref="B102:I102"/>
    <mergeCell ref="B101:I101"/>
    <mergeCell ref="B100:I100"/>
    <mergeCell ref="B99:I99"/>
    <mergeCell ref="B98:I98"/>
    <mergeCell ref="B97:I97"/>
    <mergeCell ref="B96:I96"/>
    <mergeCell ref="M89:N89"/>
    <mergeCell ref="M90:N90"/>
    <mergeCell ref="M91:N91"/>
    <mergeCell ref="M92:N92"/>
    <mergeCell ref="M93:N93"/>
    <mergeCell ref="M94:N94"/>
    <mergeCell ref="M95:N95"/>
    <mergeCell ref="M96:N96"/>
    <mergeCell ref="M97:N97"/>
    <mergeCell ref="M98:N98"/>
    <mergeCell ref="M99:N99"/>
    <mergeCell ref="M100:N100"/>
    <mergeCell ref="M101:N101"/>
    <mergeCell ref="O107:O108"/>
    <mergeCell ref="M109:N109"/>
    <mergeCell ref="K109:L109"/>
    <mergeCell ref="K108:L108"/>
    <mergeCell ref="M110:N110"/>
    <mergeCell ref="M111:N111"/>
    <mergeCell ref="M112:N112"/>
    <mergeCell ref="C107:N107"/>
    <mergeCell ref="M108:N108"/>
    <mergeCell ref="G109:H109"/>
    <mergeCell ref="G110:H110"/>
    <mergeCell ref="G111:H111"/>
    <mergeCell ref="G112:H112"/>
    <mergeCell ref="C108:D108"/>
    <mergeCell ref="G108:H108"/>
    <mergeCell ref="M113:N113"/>
    <mergeCell ref="M114:N114"/>
    <mergeCell ref="M116:N116"/>
    <mergeCell ref="I113:J113"/>
    <mergeCell ref="I112:J112"/>
    <mergeCell ref="I111:J111"/>
    <mergeCell ref="I110:J110"/>
    <mergeCell ref="I109:J109"/>
    <mergeCell ref="I108:J108"/>
    <mergeCell ref="K113:L113"/>
    <mergeCell ref="K114:L114"/>
    <mergeCell ref="K115:L115"/>
    <mergeCell ref="K116:L116"/>
    <mergeCell ref="K112:L112"/>
    <mergeCell ref="K111:L111"/>
    <mergeCell ref="K110:L110"/>
    <mergeCell ref="M130:N130"/>
    <mergeCell ref="J165:Q165"/>
    <mergeCell ref="J130:K130"/>
    <mergeCell ref="J169:Q169"/>
    <mergeCell ref="G116:H116"/>
    <mergeCell ref="G115:H115"/>
    <mergeCell ref="G114:H114"/>
    <mergeCell ref="I116:J116"/>
    <mergeCell ref="I115:J115"/>
    <mergeCell ref="I114:J114"/>
    <mergeCell ref="M115:N115"/>
    <mergeCell ref="J135:Q135"/>
    <mergeCell ref="N136:Q136"/>
    <mergeCell ref="J137:Q137"/>
    <mergeCell ref="J141:Q141"/>
    <mergeCell ref="J145:Q145"/>
    <mergeCell ref="J149:Q149"/>
    <mergeCell ref="J153:Q153"/>
    <mergeCell ref="J157:Q157"/>
    <mergeCell ref="J161:Q161"/>
    <mergeCell ref="M102:N102"/>
    <mergeCell ref="M103:N103"/>
    <mergeCell ref="N228:O228"/>
    <mergeCell ref="N229:O229"/>
    <mergeCell ref="N220:O220"/>
    <mergeCell ref="N203:O203"/>
    <mergeCell ref="B173:I173"/>
    <mergeCell ref="B169:I169"/>
    <mergeCell ref="B165:I165"/>
    <mergeCell ref="B161:I161"/>
    <mergeCell ref="B157:I157"/>
    <mergeCell ref="B153:I153"/>
    <mergeCell ref="B149:I149"/>
    <mergeCell ref="B145:I145"/>
    <mergeCell ref="B141:I141"/>
    <mergeCell ref="B186:I186"/>
    <mergeCell ref="B202:I203"/>
    <mergeCell ref="B200:O200"/>
    <mergeCell ref="J203:K203"/>
    <mergeCell ref="L203:M203"/>
    <mergeCell ref="J136:M136"/>
    <mergeCell ref="J173:Q173"/>
    <mergeCell ref="J186:Q186"/>
    <mergeCell ref="J202:O202"/>
    <mergeCell ref="C111:D111"/>
    <mergeCell ref="C110:D110"/>
    <mergeCell ref="C109:D109"/>
    <mergeCell ref="A320:D320"/>
    <mergeCell ref="A317:D317"/>
    <mergeCell ref="A313:G313"/>
    <mergeCell ref="A312:G312"/>
    <mergeCell ref="A202:A203"/>
    <mergeCell ref="A135:A136"/>
    <mergeCell ref="B136:E136"/>
    <mergeCell ref="B137:I137"/>
    <mergeCell ref="B135:I135"/>
    <mergeCell ref="F136:I136"/>
    <mergeCell ref="B131:C131"/>
    <mergeCell ref="B130:C130"/>
    <mergeCell ref="E131:H131"/>
    <mergeCell ref="G130:H130"/>
    <mergeCell ref="G113:H113"/>
    <mergeCell ref="A293:O293"/>
    <mergeCell ref="B292:O292"/>
    <mergeCell ref="A286:O286"/>
    <mergeCell ref="B285:O285"/>
    <mergeCell ref="A279:O279"/>
    <mergeCell ref="B278:O278"/>
    <mergeCell ref="E321:I321"/>
    <mergeCell ref="E320:I320"/>
    <mergeCell ref="E318:I318"/>
    <mergeCell ref="E317:I317"/>
    <mergeCell ref="C116:D116"/>
    <mergeCell ref="C115:D115"/>
    <mergeCell ref="C114:D114"/>
    <mergeCell ref="C113:D113"/>
    <mergeCell ref="C112:D112"/>
    <mergeCell ref="A271:O271"/>
    <mergeCell ref="B270:O270"/>
    <mergeCell ref="A265:O265"/>
    <mergeCell ref="B264:O264"/>
    <mergeCell ref="K321:O321"/>
    <mergeCell ref="K320:O320"/>
    <mergeCell ref="L229:M229"/>
    <mergeCell ref="L228:M228"/>
    <mergeCell ref="N227:O227"/>
    <mergeCell ref="N226:O226"/>
    <mergeCell ref="N225:O225"/>
    <mergeCell ref="N224:O224"/>
    <mergeCell ref="L227:M227"/>
    <mergeCell ref="L226:M226"/>
    <mergeCell ref="L225:M225"/>
    <mergeCell ref="E116:F116"/>
    <mergeCell ref="E115:F115"/>
    <mergeCell ref="E114:F114"/>
    <mergeCell ref="E113:F113"/>
    <mergeCell ref="E112:F112"/>
    <mergeCell ref="E111:F111"/>
    <mergeCell ref="E110:F110"/>
    <mergeCell ref="E109:F109"/>
    <mergeCell ref="E108:F108"/>
  </mergeCells>
  <pageMargins left="0.59055113792419434" right="0.31496062874794006" top="0.31496062874794006" bottom="0.5118110179901123" header="0" footer="0.19685038924217224"/>
  <pageSetup paperSize="9" fitToWidth="0" fitToHeight="0" orientation="portrait"/>
  <rowBreaks count="1" manualBreakCount="1">
    <brk id="5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workbookViewId="0"/>
  </sheetViews>
  <sheetFormatPr defaultColWidth="9.140625" defaultRowHeight="15.75" x14ac:dyDescent="0.25"/>
  <cols>
    <col min="1" max="1" width="9.85546875" style="115" customWidth="1"/>
    <col min="2" max="2" width="8" style="115" customWidth="1"/>
    <col min="3" max="3" width="3.7109375" style="115" customWidth="1"/>
    <col min="4" max="5" width="6.140625" style="115" customWidth="1"/>
    <col min="6" max="6" width="4.28515625" style="115" customWidth="1"/>
    <col min="7" max="7" width="10.140625" style="115" customWidth="1"/>
    <col min="8" max="8" width="10.42578125" style="115" customWidth="1"/>
    <col min="9" max="9" width="11.28515625" style="115" customWidth="1"/>
    <col min="10" max="10" width="1.140625" style="115" customWidth="1"/>
    <col min="11" max="11" width="0.85546875" style="115" customWidth="1"/>
    <col min="12" max="12" width="9.85546875" style="115" customWidth="1"/>
    <col min="13" max="13" width="8" style="115" customWidth="1"/>
    <col min="14" max="14" width="3.7109375" style="115" customWidth="1"/>
    <col min="15" max="16" width="6.140625" style="115" customWidth="1"/>
    <col min="17" max="17" width="4.28515625" style="115" customWidth="1"/>
    <col min="18" max="18" width="10.140625" style="115" customWidth="1"/>
    <col min="19" max="19" width="10.42578125" style="115" customWidth="1"/>
    <col min="20" max="20" width="11.28515625" style="115" customWidth="1"/>
    <col min="21" max="23" width="1.28515625" style="115" customWidth="1"/>
    <col min="24" max="25" width="1.42578125" style="115" customWidth="1"/>
    <col min="26" max="27" width="1.5703125" style="115" customWidth="1"/>
    <col min="28" max="28" width="9.140625" style="115" bestFit="1" customWidth="1"/>
    <col min="29" max="16384" width="9.140625" style="115"/>
  </cols>
  <sheetData>
    <row r="1" spans="1:20" ht="20.25" x14ac:dyDescent="0.25">
      <c r="A1" s="789"/>
      <c r="B1" s="789"/>
      <c r="C1" s="789"/>
      <c r="D1" s="789"/>
      <c r="E1" s="789"/>
      <c r="F1" s="800" t="s">
        <v>909</v>
      </c>
      <c r="G1" s="789"/>
      <c r="H1" s="789"/>
      <c r="I1" s="789"/>
      <c r="J1" s="801"/>
      <c r="K1" s="789"/>
      <c r="L1" s="789"/>
      <c r="M1" s="789"/>
      <c r="N1" s="789"/>
      <c r="O1" s="789"/>
      <c r="P1" s="789"/>
      <c r="Q1" s="800" t="s">
        <v>909</v>
      </c>
      <c r="R1" s="789"/>
      <c r="S1" s="789"/>
      <c r="T1" s="789"/>
    </row>
    <row r="2" spans="1:20" x14ac:dyDescent="0.25">
      <c r="A2" s="5029" t="s">
        <v>910</v>
      </c>
      <c r="B2" s="5034"/>
      <c r="C2" s="5035"/>
      <c r="D2" s="802"/>
      <c r="H2" s="803" t="s">
        <v>765</v>
      </c>
      <c r="I2" s="803" t="s">
        <v>766</v>
      </c>
      <c r="J2" s="804"/>
      <c r="L2" s="5029" t="s">
        <v>910</v>
      </c>
      <c r="M2" s="5151"/>
      <c r="N2" s="5152"/>
      <c r="O2" s="131"/>
      <c r="S2" s="803" t="s">
        <v>765</v>
      </c>
      <c r="T2" s="803" t="s">
        <v>766</v>
      </c>
    </row>
    <row r="3" spans="1:20" x14ac:dyDescent="0.25">
      <c r="A3" s="5029"/>
      <c r="B3" s="5036"/>
      <c r="C3" s="5037"/>
      <c r="D3" s="57"/>
      <c r="H3" s="803" t="s">
        <v>771</v>
      </c>
      <c r="I3" s="803" t="s">
        <v>772</v>
      </c>
      <c r="J3" s="804"/>
      <c r="L3" s="5029"/>
      <c r="M3" s="5175"/>
      <c r="N3" s="5176"/>
      <c r="S3" s="803" t="s">
        <v>771</v>
      </c>
      <c r="T3" s="803" t="s">
        <v>772</v>
      </c>
    </row>
    <row r="4" spans="1:20" x14ac:dyDescent="0.25">
      <c r="A4" s="5024" t="s">
        <v>911</v>
      </c>
      <c r="B4" s="5038"/>
      <c r="C4" s="5039"/>
      <c r="D4" s="805"/>
      <c r="E4" s="806"/>
      <c r="H4" s="803" t="s">
        <v>265</v>
      </c>
      <c r="I4" s="803" t="s">
        <v>264</v>
      </c>
      <c r="J4" s="804"/>
      <c r="L4" s="5024" t="s">
        <v>911</v>
      </c>
      <c r="M4" s="5177"/>
      <c r="N4" s="5178"/>
      <c r="O4" s="789"/>
      <c r="P4" s="806"/>
      <c r="S4" s="803" t="s">
        <v>265</v>
      </c>
      <c r="T4" s="803" t="s">
        <v>264</v>
      </c>
    </row>
    <row r="5" spans="1:20" x14ac:dyDescent="0.25">
      <c r="A5" s="5007"/>
      <c r="B5" s="5040"/>
      <c r="C5" s="5041"/>
      <c r="D5" s="789"/>
      <c r="E5" s="806"/>
      <c r="H5" s="803" t="s">
        <v>774</v>
      </c>
      <c r="I5" s="803" t="s">
        <v>775</v>
      </c>
      <c r="J5" s="804"/>
      <c r="L5" s="5024"/>
      <c r="M5" s="5179"/>
      <c r="N5" s="5180"/>
      <c r="O5" s="789"/>
      <c r="P5" s="806"/>
      <c r="S5" s="803" t="s">
        <v>774</v>
      </c>
      <c r="T5" s="803" t="s">
        <v>775</v>
      </c>
    </row>
    <row r="6" spans="1:20" x14ac:dyDescent="0.25">
      <c r="A6" s="806"/>
      <c r="B6" s="806"/>
      <c r="C6" s="806"/>
      <c r="D6" s="808" t="s">
        <v>70</v>
      </c>
      <c r="E6" s="809"/>
      <c r="F6" s="120"/>
      <c r="G6" s="120"/>
      <c r="H6" s="120"/>
      <c r="I6" s="120"/>
      <c r="J6" s="804"/>
      <c r="L6" s="806"/>
      <c r="M6" s="806"/>
      <c r="N6" s="806"/>
      <c r="O6" s="808" t="s">
        <v>70</v>
      </c>
      <c r="P6" s="809"/>
      <c r="Q6" s="120"/>
      <c r="R6" s="120"/>
      <c r="S6" s="120"/>
      <c r="T6" s="120"/>
    </row>
    <row r="7" spans="1:20" ht="6" customHeight="1" x14ac:dyDescent="0.25">
      <c r="A7" s="806"/>
      <c r="B7" s="806"/>
      <c r="C7" s="806"/>
      <c r="D7" s="806"/>
      <c r="E7" s="806"/>
      <c r="J7" s="804"/>
      <c r="L7" s="806"/>
      <c r="M7" s="806"/>
      <c r="N7" s="806"/>
      <c r="O7" s="806"/>
      <c r="P7" s="806"/>
    </row>
    <row r="8" spans="1:20" x14ac:dyDescent="0.25">
      <c r="A8" s="737" t="s">
        <v>912</v>
      </c>
      <c r="B8" s="3999" t="s">
        <v>598</v>
      </c>
      <c r="C8" s="5042"/>
      <c r="D8" s="5043"/>
      <c r="E8" s="5044"/>
      <c r="F8" s="5045"/>
      <c r="G8" s="5046"/>
      <c r="H8" s="810" t="s">
        <v>599</v>
      </c>
      <c r="I8" s="737" t="s">
        <v>913</v>
      </c>
      <c r="J8" s="804"/>
      <c r="L8" s="737" t="s">
        <v>912</v>
      </c>
      <c r="M8" s="3999" t="s">
        <v>598</v>
      </c>
      <c r="N8" s="5146"/>
      <c r="O8" s="5147"/>
      <c r="P8" s="5148"/>
      <c r="Q8" s="5149"/>
      <c r="R8" s="5150"/>
      <c r="S8" s="810" t="s">
        <v>599</v>
      </c>
      <c r="T8" s="737" t="s">
        <v>913</v>
      </c>
    </row>
    <row r="9" spans="1:20" ht="18" customHeight="1" x14ac:dyDescent="0.25">
      <c r="A9" s="810"/>
      <c r="B9" s="5013"/>
      <c r="C9" s="5047"/>
      <c r="D9" s="5048"/>
      <c r="E9" s="5049"/>
      <c r="F9" s="5050"/>
      <c r="G9" s="5051"/>
      <c r="H9" s="810"/>
      <c r="I9" s="810"/>
      <c r="J9" s="804"/>
      <c r="L9" s="810"/>
      <c r="M9" s="5013"/>
      <c r="N9" s="5141"/>
      <c r="O9" s="5142"/>
      <c r="P9" s="5143"/>
      <c r="Q9" s="5144"/>
      <c r="R9" s="5145"/>
      <c r="S9" s="810"/>
      <c r="T9" s="810"/>
    </row>
    <row r="10" spans="1:20" ht="18" customHeight="1" x14ac:dyDescent="0.25">
      <c r="A10" s="807"/>
      <c r="B10" s="5007"/>
      <c r="C10" s="5052"/>
      <c r="D10" s="5053"/>
      <c r="E10" s="5054"/>
      <c r="F10" s="5055"/>
      <c r="G10" s="5056"/>
      <c r="H10" s="810"/>
      <c r="I10" s="810"/>
      <c r="J10" s="804"/>
      <c r="L10" s="807"/>
      <c r="M10" s="5007"/>
      <c r="N10" s="5136"/>
      <c r="O10" s="5137"/>
      <c r="P10" s="5138"/>
      <c r="Q10" s="5139"/>
      <c r="R10" s="5140"/>
      <c r="S10" s="810"/>
      <c r="T10" s="810"/>
    </row>
    <row r="11" spans="1:20" ht="18" customHeight="1" x14ac:dyDescent="0.25">
      <c r="A11" s="811"/>
      <c r="B11" s="4996"/>
      <c r="C11" s="5057"/>
      <c r="D11" s="5058"/>
      <c r="E11" s="5059"/>
      <c r="F11" s="5060"/>
      <c r="G11" s="5061"/>
      <c r="H11" s="810"/>
      <c r="I11" s="810"/>
      <c r="J11" s="804"/>
      <c r="L11" s="811"/>
      <c r="M11" s="4996"/>
      <c r="N11" s="5170"/>
      <c r="O11" s="5171"/>
      <c r="P11" s="5172"/>
      <c r="Q11" s="5173"/>
      <c r="R11" s="5174"/>
      <c r="S11" s="810"/>
      <c r="T11" s="810"/>
    </row>
    <row r="12" spans="1:20" ht="18" customHeight="1" x14ac:dyDescent="0.25">
      <c r="A12" s="811"/>
      <c r="B12" s="4996"/>
      <c r="C12" s="5062"/>
      <c r="D12" s="5063"/>
      <c r="E12" s="5064"/>
      <c r="F12" s="5065"/>
      <c r="G12" s="5066"/>
      <c r="H12" s="810"/>
      <c r="I12" s="810"/>
      <c r="J12" s="804"/>
      <c r="L12" s="811"/>
      <c r="M12" s="4996"/>
      <c r="N12" s="5165"/>
      <c r="O12" s="5166"/>
      <c r="P12" s="5167"/>
      <c r="Q12" s="5168"/>
      <c r="R12" s="5169"/>
      <c r="S12" s="810"/>
      <c r="T12" s="810"/>
    </row>
    <row r="13" spans="1:20" ht="6.75" customHeight="1" x14ac:dyDescent="0.25">
      <c r="A13" s="789"/>
      <c r="B13" s="789"/>
      <c r="C13" s="789"/>
      <c r="D13" s="789"/>
      <c r="E13" s="789"/>
      <c r="J13" s="804"/>
      <c r="L13" s="789"/>
      <c r="M13" s="789"/>
      <c r="N13" s="789"/>
      <c r="O13" s="789"/>
      <c r="P13" s="789"/>
    </row>
    <row r="14" spans="1:20" s="334" customFormat="1" ht="14.25" customHeight="1" x14ac:dyDescent="0.25">
      <c r="A14" s="812" t="s">
        <v>76</v>
      </c>
      <c r="B14" s="812"/>
      <c r="C14" s="812"/>
      <c r="D14" s="812" t="s">
        <v>84</v>
      </c>
      <c r="E14" s="812"/>
      <c r="F14" s="812"/>
      <c r="G14" s="813" t="s">
        <v>94</v>
      </c>
      <c r="H14" s="812"/>
      <c r="I14" s="812"/>
      <c r="J14" s="814"/>
      <c r="L14" s="812" t="s">
        <v>76</v>
      </c>
      <c r="M14" s="812"/>
      <c r="N14" s="812"/>
      <c r="O14" s="812" t="s">
        <v>84</v>
      </c>
      <c r="P14" s="812"/>
      <c r="Q14" s="812"/>
      <c r="R14" s="813" t="s">
        <v>94</v>
      </c>
      <c r="S14" s="812"/>
      <c r="T14" s="812"/>
    </row>
    <row r="15" spans="1:20" ht="11.25" customHeight="1" x14ac:dyDescent="0.25">
      <c r="A15" s="1114" t="s">
        <v>914</v>
      </c>
      <c r="B15" s="5075"/>
      <c r="C15" s="5076"/>
      <c r="D15" s="5077"/>
      <c r="E15" s="5078"/>
      <c r="F15" s="5079"/>
      <c r="G15" s="5080"/>
      <c r="H15" s="5081"/>
      <c r="I15" s="5082"/>
      <c r="J15" s="804"/>
      <c r="L15" s="1114" t="s">
        <v>914</v>
      </c>
      <c r="M15" s="5157"/>
      <c r="N15" s="5158"/>
      <c r="O15" s="5159"/>
      <c r="P15" s="5160"/>
      <c r="Q15" s="5161"/>
      <c r="R15" s="5162"/>
      <c r="S15" s="5163"/>
      <c r="T15" s="5164"/>
    </row>
    <row r="16" spans="1:20" ht="14.25" customHeight="1" x14ac:dyDescent="0.25">
      <c r="C16" s="4991"/>
      <c r="D16" s="5071"/>
      <c r="E16" s="5072"/>
      <c r="F16" s="5073"/>
      <c r="G16" s="5074"/>
      <c r="J16" s="804"/>
      <c r="N16" s="4991"/>
      <c r="O16" s="5132"/>
      <c r="P16" s="5133"/>
      <c r="Q16" s="5134"/>
      <c r="R16" s="5135"/>
    </row>
    <row r="17" spans="1:20" ht="10.5" customHeight="1" x14ac:dyDescent="0.25">
      <c r="A17" s="789"/>
      <c r="B17" s="789"/>
      <c r="C17" s="1114" t="s">
        <v>915</v>
      </c>
      <c r="D17" s="5067"/>
      <c r="E17" s="5068"/>
      <c r="F17" s="5069"/>
      <c r="G17" s="5070"/>
      <c r="J17" s="804"/>
      <c r="L17" s="789"/>
      <c r="M17" s="789"/>
      <c r="N17" s="1114" t="s">
        <v>915</v>
      </c>
      <c r="O17" s="5153"/>
      <c r="P17" s="5154"/>
      <c r="Q17" s="5155"/>
      <c r="R17" s="5156"/>
    </row>
    <row r="18" spans="1:20" x14ac:dyDescent="0.25">
      <c r="A18" s="807" t="s">
        <v>916</v>
      </c>
      <c r="B18" s="811"/>
      <c r="C18" s="789"/>
      <c r="D18" s="789"/>
      <c r="H18" s="737" t="s">
        <v>66</v>
      </c>
      <c r="I18" s="810"/>
      <c r="J18" s="804"/>
      <c r="L18" s="807" t="s">
        <v>916</v>
      </c>
      <c r="M18" s="811"/>
      <c r="N18" s="789"/>
      <c r="O18" s="789"/>
      <c r="S18" s="737" t="s">
        <v>66</v>
      </c>
      <c r="T18" s="810"/>
    </row>
    <row r="19" spans="1:20" x14ac:dyDescent="0.25">
      <c r="A19" s="807" t="s">
        <v>294</v>
      </c>
      <c r="B19" s="811"/>
      <c r="C19" s="789"/>
      <c r="D19" s="789"/>
      <c r="H19" s="737" t="s">
        <v>622</v>
      </c>
      <c r="I19" s="810"/>
      <c r="J19" s="804"/>
      <c r="L19" s="807" t="s">
        <v>294</v>
      </c>
      <c r="M19" s="811"/>
      <c r="N19" s="789"/>
      <c r="O19" s="789"/>
      <c r="S19" s="737" t="s">
        <v>622</v>
      </c>
      <c r="T19" s="810"/>
    </row>
    <row r="20" spans="1:20" ht="5.25" customHeight="1" x14ac:dyDescent="0.25">
      <c r="A20" s="789"/>
      <c r="B20" s="789"/>
      <c r="C20" s="789"/>
      <c r="D20" s="789"/>
      <c r="J20" s="804"/>
      <c r="L20" s="789"/>
      <c r="M20" s="789"/>
      <c r="N20" s="789"/>
      <c r="O20" s="789"/>
    </row>
    <row r="21" spans="1:20" ht="5.25" customHeight="1" x14ac:dyDescent="0.25">
      <c r="A21" s="815"/>
      <c r="B21" s="815"/>
      <c r="C21" s="816"/>
      <c r="D21" s="816"/>
      <c r="E21" s="816"/>
      <c r="F21" s="816"/>
      <c r="G21" s="816"/>
      <c r="H21" s="816"/>
      <c r="I21" s="816"/>
      <c r="J21" s="817"/>
      <c r="K21" s="818"/>
      <c r="L21" s="815"/>
      <c r="M21" s="815"/>
      <c r="N21" s="816"/>
      <c r="O21" s="816"/>
      <c r="P21" s="816"/>
      <c r="Q21" s="816"/>
      <c r="R21" s="816"/>
      <c r="S21" s="816"/>
      <c r="T21" s="816"/>
    </row>
    <row r="22" spans="1:20" ht="5.25" customHeight="1" x14ac:dyDescent="0.25">
      <c r="J22" s="819"/>
      <c r="K22" s="820"/>
    </row>
    <row r="23" spans="1:20" ht="20.25" x14ac:dyDescent="0.3">
      <c r="F23" s="821" t="s">
        <v>909</v>
      </c>
      <c r="J23" s="804"/>
      <c r="Q23" s="821" t="s">
        <v>909</v>
      </c>
    </row>
    <row r="24" spans="1:20" x14ac:dyDescent="0.25">
      <c r="A24" s="5029" t="s">
        <v>910</v>
      </c>
      <c r="B24" s="5130"/>
      <c r="C24" s="5131"/>
      <c r="D24" s="802"/>
      <c r="H24" s="803" t="s">
        <v>765</v>
      </c>
      <c r="I24" s="803" t="s">
        <v>766</v>
      </c>
      <c r="J24" s="804"/>
      <c r="L24" s="5029" t="s">
        <v>910</v>
      </c>
      <c r="M24" s="5032"/>
      <c r="N24" s="5033"/>
      <c r="O24" s="131"/>
      <c r="S24" s="803" t="s">
        <v>765</v>
      </c>
      <c r="T24" s="803" t="s">
        <v>766</v>
      </c>
    </row>
    <row r="25" spans="1:20" x14ac:dyDescent="0.25">
      <c r="A25" s="5029"/>
      <c r="B25" s="5128"/>
      <c r="C25" s="5129"/>
      <c r="D25" s="57"/>
      <c r="H25" s="803" t="s">
        <v>771</v>
      </c>
      <c r="I25" s="803" t="s">
        <v>772</v>
      </c>
      <c r="J25" s="804"/>
      <c r="L25" s="5029"/>
      <c r="M25" s="5030"/>
      <c r="N25" s="5031"/>
      <c r="S25" s="803" t="s">
        <v>771</v>
      </c>
      <c r="T25" s="803" t="s">
        <v>772</v>
      </c>
    </row>
    <row r="26" spans="1:20" x14ac:dyDescent="0.25">
      <c r="A26" s="5024" t="s">
        <v>911</v>
      </c>
      <c r="B26" s="5126"/>
      <c r="C26" s="5127"/>
      <c r="D26" s="805"/>
      <c r="E26" s="806"/>
      <c r="H26" s="803" t="s">
        <v>265</v>
      </c>
      <c r="I26" s="803" t="s">
        <v>264</v>
      </c>
      <c r="J26" s="804"/>
      <c r="L26" s="5024" t="s">
        <v>911</v>
      </c>
      <c r="M26" s="5027"/>
      <c r="N26" s="5028"/>
      <c r="O26" s="789"/>
      <c r="P26" s="806"/>
      <c r="S26" s="803" t="s">
        <v>265</v>
      </c>
      <c r="T26" s="803" t="s">
        <v>264</v>
      </c>
    </row>
    <row r="27" spans="1:20" x14ac:dyDescent="0.25">
      <c r="A27" s="5007"/>
      <c r="B27" s="5124"/>
      <c r="C27" s="5125"/>
      <c r="D27" s="789"/>
      <c r="E27" s="806"/>
      <c r="H27" s="803" t="s">
        <v>774</v>
      </c>
      <c r="I27" s="803" t="s">
        <v>775</v>
      </c>
      <c r="J27" s="804"/>
      <c r="L27" s="5024"/>
      <c r="M27" s="5025"/>
      <c r="N27" s="5026"/>
      <c r="O27" s="789"/>
      <c r="P27" s="806"/>
      <c r="S27" s="803" t="s">
        <v>774</v>
      </c>
      <c r="T27" s="803" t="s">
        <v>775</v>
      </c>
    </row>
    <row r="28" spans="1:20" x14ac:dyDescent="0.25">
      <c r="A28" s="806"/>
      <c r="B28" s="806"/>
      <c r="C28" s="806"/>
      <c r="D28" s="808" t="s">
        <v>70</v>
      </c>
      <c r="E28" s="809"/>
      <c r="F28" s="120"/>
      <c r="G28" s="120"/>
      <c r="H28" s="120"/>
      <c r="I28" s="120"/>
      <c r="J28" s="804"/>
      <c r="L28" s="806"/>
      <c r="M28" s="806"/>
      <c r="N28" s="806"/>
      <c r="O28" s="808" t="s">
        <v>70</v>
      </c>
      <c r="P28" s="809"/>
      <c r="Q28" s="120"/>
      <c r="R28" s="120"/>
      <c r="S28" s="120"/>
      <c r="T28" s="120"/>
    </row>
    <row r="29" spans="1:20" ht="6.75" customHeight="1" x14ac:dyDescent="0.25">
      <c r="A29" s="806"/>
      <c r="B29" s="806"/>
      <c r="C29" s="806"/>
      <c r="D29" s="806"/>
      <c r="E29" s="806"/>
      <c r="J29" s="804"/>
      <c r="L29" s="806"/>
      <c r="M29" s="806"/>
      <c r="N29" s="806"/>
      <c r="O29" s="806"/>
      <c r="P29" s="806"/>
    </row>
    <row r="30" spans="1:20" x14ac:dyDescent="0.25">
      <c r="A30" s="737" t="s">
        <v>912</v>
      </c>
      <c r="B30" s="3999" t="s">
        <v>598</v>
      </c>
      <c r="C30" s="5119"/>
      <c r="D30" s="5120"/>
      <c r="E30" s="5121"/>
      <c r="F30" s="5122"/>
      <c r="G30" s="5123"/>
      <c r="H30" s="810" t="s">
        <v>599</v>
      </c>
      <c r="I30" s="737" t="s">
        <v>913</v>
      </c>
      <c r="J30" s="804"/>
      <c r="L30" s="737" t="s">
        <v>912</v>
      </c>
      <c r="M30" s="3999" t="s">
        <v>598</v>
      </c>
      <c r="N30" s="5019"/>
      <c r="O30" s="5020"/>
      <c r="P30" s="5021"/>
      <c r="Q30" s="5022"/>
      <c r="R30" s="5023"/>
      <c r="S30" s="810" t="s">
        <v>599</v>
      </c>
      <c r="T30" s="737" t="s">
        <v>913</v>
      </c>
    </row>
    <row r="31" spans="1:20" ht="18" customHeight="1" x14ac:dyDescent="0.25">
      <c r="A31" s="810"/>
      <c r="B31" s="5013"/>
      <c r="C31" s="5114"/>
      <c r="D31" s="5115"/>
      <c r="E31" s="5116"/>
      <c r="F31" s="5117"/>
      <c r="G31" s="5118"/>
      <c r="H31" s="810"/>
      <c r="I31" s="810"/>
      <c r="J31" s="804"/>
      <c r="L31" s="810"/>
      <c r="M31" s="5013"/>
      <c r="N31" s="5014"/>
      <c r="O31" s="5015"/>
      <c r="P31" s="5016"/>
      <c r="Q31" s="5017"/>
      <c r="R31" s="5018"/>
      <c r="S31" s="810"/>
      <c r="T31" s="810"/>
    </row>
    <row r="32" spans="1:20" ht="18" customHeight="1" x14ac:dyDescent="0.25">
      <c r="A32" s="807"/>
      <c r="B32" s="5007"/>
      <c r="C32" s="5109"/>
      <c r="D32" s="5110"/>
      <c r="E32" s="5111"/>
      <c r="F32" s="5112"/>
      <c r="G32" s="5113"/>
      <c r="H32" s="810"/>
      <c r="I32" s="810"/>
      <c r="J32" s="804"/>
      <c r="L32" s="807"/>
      <c r="M32" s="5007"/>
      <c r="N32" s="5008"/>
      <c r="O32" s="5009"/>
      <c r="P32" s="5010"/>
      <c r="Q32" s="5011"/>
      <c r="R32" s="5012"/>
      <c r="S32" s="810"/>
      <c r="T32" s="810"/>
    </row>
    <row r="33" spans="1:20" ht="18" customHeight="1" x14ac:dyDescent="0.25">
      <c r="A33" s="811"/>
      <c r="B33" s="4996"/>
      <c r="C33" s="5104"/>
      <c r="D33" s="5105"/>
      <c r="E33" s="5106"/>
      <c r="F33" s="5107"/>
      <c r="G33" s="5108"/>
      <c r="H33" s="810"/>
      <c r="I33" s="810"/>
      <c r="J33" s="804"/>
      <c r="L33" s="811"/>
      <c r="M33" s="4996"/>
      <c r="N33" s="5002"/>
      <c r="O33" s="5003"/>
      <c r="P33" s="5004"/>
      <c r="Q33" s="5005"/>
      <c r="R33" s="5006"/>
      <c r="S33" s="810"/>
      <c r="T33" s="810"/>
    </row>
    <row r="34" spans="1:20" ht="18" customHeight="1" x14ac:dyDescent="0.25">
      <c r="A34" s="811"/>
      <c r="B34" s="4996"/>
      <c r="C34" s="5099"/>
      <c r="D34" s="5100"/>
      <c r="E34" s="5101"/>
      <c r="F34" s="5102"/>
      <c r="G34" s="5103"/>
      <c r="H34" s="810"/>
      <c r="I34" s="810"/>
      <c r="J34" s="804"/>
      <c r="L34" s="811"/>
      <c r="M34" s="4996"/>
      <c r="N34" s="4997"/>
      <c r="O34" s="4998"/>
      <c r="P34" s="4999"/>
      <c r="Q34" s="5000"/>
      <c r="R34" s="5001"/>
      <c r="S34" s="810"/>
      <c r="T34" s="810"/>
    </row>
    <row r="35" spans="1:20" ht="6.75" customHeight="1" x14ac:dyDescent="0.25">
      <c r="A35" s="789"/>
      <c r="B35" s="789"/>
      <c r="C35" s="789"/>
      <c r="D35" s="789"/>
      <c r="E35" s="789"/>
      <c r="J35" s="804"/>
      <c r="L35" s="789"/>
      <c r="M35" s="789"/>
      <c r="N35" s="789"/>
      <c r="O35" s="789"/>
      <c r="P35" s="789"/>
    </row>
    <row r="36" spans="1:20" s="334" customFormat="1" ht="14.25" customHeight="1" x14ac:dyDescent="0.25">
      <c r="A36" s="812" t="s">
        <v>76</v>
      </c>
      <c r="B36" s="812"/>
      <c r="C36" s="812"/>
      <c r="D36" s="812" t="s">
        <v>84</v>
      </c>
      <c r="E36" s="812"/>
      <c r="F36" s="812"/>
      <c r="G36" s="813" t="s">
        <v>94</v>
      </c>
      <c r="H36" s="812"/>
      <c r="I36" s="812"/>
      <c r="J36" s="814"/>
      <c r="L36" s="812" t="s">
        <v>76</v>
      </c>
      <c r="M36" s="812"/>
      <c r="N36" s="812"/>
      <c r="O36" s="812" t="s">
        <v>84</v>
      </c>
      <c r="P36" s="812"/>
      <c r="Q36" s="812"/>
      <c r="R36" s="813" t="s">
        <v>94</v>
      </c>
      <c r="S36" s="812"/>
      <c r="T36" s="812"/>
    </row>
    <row r="37" spans="1:20" ht="11.25" customHeight="1" x14ac:dyDescent="0.25">
      <c r="A37" s="1114" t="s">
        <v>914</v>
      </c>
      <c r="B37" s="5083"/>
      <c r="C37" s="5084"/>
      <c r="D37" s="5085"/>
      <c r="E37" s="5086"/>
      <c r="F37" s="5087"/>
      <c r="G37" s="5088"/>
      <c r="H37" s="5089"/>
      <c r="I37" s="5090"/>
      <c r="J37" s="804"/>
      <c r="L37" s="1114" t="s">
        <v>914</v>
      </c>
      <c r="M37" s="4979"/>
      <c r="N37" s="4980"/>
      <c r="O37" s="4981"/>
      <c r="P37" s="4982"/>
      <c r="Q37" s="4983"/>
      <c r="R37" s="4984"/>
      <c r="S37" s="4985"/>
      <c r="T37" s="4986"/>
    </row>
    <row r="38" spans="1:20" ht="14.25" customHeight="1" x14ac:dyDescent="0.25">
      <c r="C38" s="4991"/>
      <c r="D38" s="5091"/>
      <c r="E38" s="5092"/>
      <c r="F38" s="5093"/>
      <c r="G38" s="5094"/>
      <c r="J38" s="804"/>
      <c r="N38" s="4991"/>
      <c r="O38" s="4992"/>
      <c r="P38" s="4993"/>
      <c r="Q38" s="4994"/>
      <c r="R38" s="4995"/>
    </row>
    <row r="39" spans="1:20" ht="10.5" customHeight="1" x14ac:dyDescent="0.25">
      <c r="A39" s="789"/>
      <c r="B39" s="789"/>
      <c r="C39" s="1114" t="s">
        <v>915</v>
      </c>
      <c r="D39" s="5095"/>
      <c r="E39" s="5096"/>
      <c r="F39" s="5097"/>
      <c r="G39" s="5098"/>
      <c r="J39" s="804"/>
      <c r="L39" s="789"/>
      <c r="M39" s="789"/>
      <c r="N39" s="1114" t="s">
        <v>915</v>
      </c>
      <c r="O39" s="4987"/>
      <c r="P39" s="4988"/>
      <c r="Q39" s="4989"/>
      <c r="R39" s="4990"/>
    </row>
    <row r="40" spans="1:20" x14ac:dyDescent="0.25">
      <c r="A40" s="807" t="s">
        <v>916</v>
      </c>
      <c r="B40" s="811"/>
      <c r="C40" s="789"/>
      <c r="D40" s="789"/>
      <c r="H40" s="737" t="s">
        <v>66</v>
      </c>
      <c r="I40" s="810"/>
      <c r="J40" s="804"/>
      <c r="L40" s="807" t="s">
        <v>916</v>
      </c>
      <c r="M40" s="811"/>
      <c r="N40" s="789"/>
      <c r="O40" s="789"/>
      <c r="S40" s="737" t="s">
        <v>66</v>
      </c>
      <c r="T40" s="810"/>
    </row>
    <row r="41" spans="1:20" x14ac:dyDescent="0.25">
      <c r="A41" s="807" t="s">
        <v>294</v>
      </c>
      <c r="B41" s="811"/>
      <c r="C41" s="789"/>
      <c r="D41" s="789"/>
      <c r="H41" s="737" t="s">
        <v>622</v>
      </c>
      <c r="I41" s="810"/>
      <c r="J41" s="804"/>
      <c r="L41" s="807" t="s">
        <v>294</v>
      </c>
      <c r="M41" s="811"/>
      <c r="N41" s="789"/>
      <c r="O41" s="789"/>
      <c r="S41" s="737" t="s">
        <v>622</v>
      </c>
      <c r="T41" s="810"/>
    </row>
    <row r="42" spans="1:20" ht="4.5" customHeight="1" x14ac:dyDescent="0.25"/>
    <row r="43" spans="1:20" ht="4.5" customHeight="1" x14ac:dyDescent="0.25"/>
    <row r="44" spans="1:20" ht="4.5" customHeight="1" x14ac:dyDescent="0.25"/>
    <row r="45" spans="1:20" ht="4.5" customHeight="1" x14ac:dyDescent="0.25"/>
    <row r="46" spans="1:20" ht="4.5" customHeight="1" x14ac:dyDescent="0.25"/>
    <row r="47" spans="1:20" ht="4.5" customHeight="1" x14ac:dyDescent="0.25"/>
    <row r="48" spans="1:20" ht="4.5" customHeight="1" x14ac:dyDescent="0.25"/>
    <row r="49" ht="4.5" customHeight="1" x14ac:dyDescent="0.25"/>
    <row r="50" ht="4.5" customHeight="1" x14ac:dyDescent="0.25"/>
    <row r="51" ht="4.5" customHeight="1" x14ac:dyDescent="0.25"/>
    <row r="52" ht="4.5" customHeight="1" x14ac:dyDescent="0.25"/>
    <row r="53" ht="4.5" customHeight="1" x14ac:dyDescent="0.25"/>
    <row r="54" ht="4.5" customHeight="1" x14ac:dyDescent="0.25"/>
    <row r="55" ht="4.5" customHeight="1" x14ac:dyDescent="0.25"/>
    <row r="56" ht="4.5" customHeight="1" x14ac:dyDescent="0.25"/>
    <row r="57" ht="4.5" customHeight="1" x14ac:dyDescent="0.25"/>
    <row r="58" ht="4.5" customHeight="1" x14ac:dyDescent="0.25"/>
    <row r="59" ht="4.5" customHeight="1" x14ac:dyDescent="0.25"/>
    <row r="60" ht="4.5" customHeight="1" x14ac:dyDescent="0.25"/>
    <row r="61" ht="4.5" customHeight="1" x14ac:dyDescent="0.25"/>
    <row r="62" ht="4.5" customHeight="1" x14ac:dyDescent="0.25"/>
    <row r="63" ht="4.5" customHeight="1" x14ac:dyDescent="0.25"/>
    <row r="64" ht="4.5" customHeight="1" x14ac:dyDescent="0.25"/>
    <row r="65" ht="4.5" customHeight="1" x14ac:dyDescent="0.25"/>
    <row r="66" ht="4.5" customHeight="1" x14ac:dyDescent="0.25"/>
    <row r="67" ht="4.5" customHeight="1" x14ac:dyDescent="0.25"/>
  </sheetData>
  <mergeCells count="48">
    <mergeCell ref="N17:R17"/>
    <mergeCell ref="L15:T15"/>
    <mergeCell ref="M12:R12"/>
    <mergeCell ref="M11:R11"/>
    <mergeCell ref="L3:N3"/>
    <mergeCell ref="L4:N4"/>
    <mergeCell ref="L5:N5"/>
    <mergeCell ref="N16:R16"/>
    <mergeCell ref="M10:R10"/>
    <mergeCell ref="M9:R9"/>
    <mergeCell ref="M8:R8"/>
    <mergeCell ref="L2:N2"/>
    <mergeCell ref="B32:G32"/>
    <mergeCell ref="B31:G31"/>
    <mergeCell ref="B30:G30"/>
    <mergeCell ref="A27:C27"/>
    <mergeCell ref="A26:C26"/>
    <mergeCell ref="A37:I37"/>
    <mergeCell ref="C38:G38"/>
    <mergeCell ref="C39:G39"/>
    <mergeCell ref="B34:G34"/>
    <mergeCell ref="B33:G33"/>
    <mergeCell ref="L25:N25"/>
    <mergeCell ref="L24:N24"/>
    <mergeCell ref="A2:C2"/>
    <mergeCell ref="A3:C3"/>
    <mergeCell ref="A4:C4"/>
    <mergeCell ref="A5:C5"/>
    <mergeCell ref="B8:G8"/>
    <mergeCell ref="B9:G9"/>
    <mergeCell ref="B10:G10"/>
    <mergeCell ref="B11:G11"/>
    <mergeCell ref="B12:G12"/>
    <mergeCell ref="C17:G17"/>
    <mergeCell ref="C16:G16"/>
    <mergeCell ref="A15:I15"/>
    <mergeCell ref="A25:C25"/>
    <mergeCell ref="A24:C24"/>
    <mergeCell ref="M32:R32"/>
    <mergeCell ref="M31:R31"/>
    <mergeCell ref="M30:R30"/>
    <mergeCell ref="L27:N27"/>
    <mergeCell ref="L26:N26"/>
    <mergeCell ref="L37:T37"/>
    <mergeCell ref="N39:R39"/>
    <mergeCell ref="N38:R38"/>
    <mergeCell ref="M34:R34"/>
    <mergeCell ref="M33:R33"/>
  </mergeCells>
  <pageMargins left="0.23622046411037445" right="0.23622046411037445" top="0.23622046411037445" bottom="0.23622046411037445" header="0" footer="0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8"/>
  <sheetViews>
    <sheetView workbookViewId="0"/>
  </sheetViews>
  <sheetFormatPr defaultColWidth="9.140625" defaultRowHeight="15" x14ac:dyDescent="0.25"/>
  <cols>
    <col min="1" max="3" width="5" style="69" customWidth="1"/>
    <col min="4" max="4" width="9.5703125" style="69" customWidth="1"/>
    <col min="5" max="5" width="4" style="69" customWidth="1"/>
    <col min="6" max="6" width="4.140625" style="69" customWidth="1"/>
    <col min="7" max="7" width="5.140625" style="69" customWidth="1"/>
    <col min="8" max="9" width="4.85546875" style="69" customWidth="1"/>
    <col min="10" max="10" width="5.140625" style="69" customWidth="1"/>
    <col min="11" max="11" width="5.5703125" style="69" customWidth="1"/>
    <col min="12" max="12" width="5.140625" style="69" customWidth="1"/>
    <col min="13" max="13" width="4.85546875" style="69" customWidth="1"/>
    <col min="14" max="15" width="5.140625" style="69" customWidth="1"/>
    <col min="16" max="16" width="4.7109375" style="69" customWidth="1"/>
    <col min="17" max="18" width="5.140625" style="69" customWidth="1"/>
    <col min="19" max="35" width="1.28515625" style="69" customWidth="1"/>
    <col min="36" max="36" width="9.140625" style="69" bestFit="1" customWidth="1"/>
    <col min="37" max="16384" width="9.140625" style="69"/>
  </cols>
  <sheetData>
    <row r="1" spans="1:18" ht="18.75" x14ac:dyDescent="0.3">
      <c r="M1" s="113" t="s">
        <v>238</v>
      </c>
    </row>
    <row r="2" spans="1:18" ht="15.75" x14ac:dyDescent="0.25">
      <c r="L2" s="114" t="s">
        <v>239</v>
      </c>
    </row>
    <row r="3" spans="1:18" ht="15.75" x14ac:dyDescent="0.25">
      <c r="L3" s="114" t="s">
        <v>240</v>
      </c>
    </row>
    <row r="4" spans="1:18" ht="15.75" x14ac:dyDescent="0.25">
      <c r="L4" s="114" t="s">
        <v>241</v>
      </c>
    </row>
    <row r="5" spans="1:18" ht="15.75" x14ac:dyDescent="0.25">
      <c r="L5" s="115" t="s">
        <v>242</v>
      </c>
      <c r="P5" s="116"/>
    </row>
    <row r="6" spans="1:18" ht="24.75" customHeight="1" x14ac:dyDescent="0.25">
      <c r="R6" s="117" t="s">
        <v>243</v>
      </c>
    </row>
    <row r="8" spans="1:18" ht="18.75" x14ac:dyDescent="0.3">
      <c r="A8" s="1074" t="s">
        <v>244</v>
      </c>
      <c r="B8" s="1074"/>
      <c r="C8" s="1074"/>
      <c r="D8" s="1074"/>
      <c r="E8" s="1074"/>
      <c r="F8" s="1074"/>
      <c r="G8" s="1074"/>
      <c r="H8" s="1074"/>
      <c r="I8" s="1074"/>
      <c r="J8" s="1074"/>
      <c r="K8" s="1074"/>
      <c r="L8" s="1074"/>
      <c r="M8" s="1074"/>
      <c r="N8" s="1074"/>
      <c r="O8" s="1074"/>
      <c r="P8" s="1074"/>
      <c r="Q8" s="1074"/>
      <c r="R8" s="1074"/>
    </row>
    <row r="9" spans="1:18" ht="18.75" x14ac:dyDescent="0.3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</row>
    <row r="10" spans="1:18" s="119" customFormat="1" ht="18.75" customHeight="1" x14ac:dyDescent="0.25">
      <c r="A10" s="1075" t="e">
        <f>#REF!</f>
        <v>#REF!</v>
      </c>
      <c r="B10" s="1076"/>
      <c r="C10" s="1077"/>
      <c r="D10" s="1078"/>
      <c r="E10" s="1079"/>
      <c r="F10" s="1080"/>
      <c r="G10" s="1081"/>
      <c r="H10" s="1082"/>
      <c r="I10" s="1083"/>
      <c r="J10" s="1084"/>
      <c r="K10" s="1085"/>
      <c r="L10" s="1086"/>
      <c r="M10" s="1087"/>
      <c r="N10" s="1088"/>
      <c r="O10" s="1089"/>
      <c r="P10" s="1090"/>
      <c r="Q10" s="1091"/>
      <c r="R10" s="1092"/>
    </row>
    <row r="11" spans="1:18" s="115" customFormat="1" ht="20.25" customHeight="1" x14ac:dyDescent="0.25">
      <c r="A11" s="1111" t="s">
        <v>245</v>
      </c>
      <c r="B11" s="1111"/>
      <c r="C11" s="1111"/>
      <c r="D11" s="1111"/>
      <c r="E11" s="1111"/>
      <c r="F11" s="1111"/>
      <c r="G11" s="1111"/>
      <c r="H11" s="1111"/>
      <c r="I11" s="1111"/>
      <c r="J11" s="1111"/>
      <c r="K11" s="1111"/>
      <c r="L11" s="1111"/>
      <c r="M11" s="1111"/>
      <c r="N11" s="1111"/>
      <c r="O11" s="1111"/>
      <c r="P11" s="1111"/>
      <c r="Q11" s="1111"/>
    </row>
    <row r="12" spans="1:18" s="115" customFormat="1" ht="18.75" x14ac:dyDescent="0.3">
      <c r="A12" s="1093" t="e">
        <f>#REF!</f>
        <v>#REF!</v>
      </c>
      <c r="B12" s="1094"/>
      <c r="C12" s="1095"/>
      <c r="D12" s="1096"/>
      <c r="E12" s="1097"/>
      <c r="F12" s="1098"/>
      <c r="G12" s="1099"/>
      <c r="H12" s="1100"/>
      <c r="I12" s="1101"/>
      <c r="J12" s="1102"/>
      <c r="K12" s="1103"/>
      <c r="L12" s="1104"/>
      <c r="M12" s="1105"/>
      <c r="N12" s="1106"/>
      <c r="O12" s="1107"/>
      <c r="P12" s="1108"/>
      <c r="Q12" s="1109"/>
      <c r="R12" s="1110"/>
    </row>
    <row r="13" spans="1:18" s="115" customFormat="1" ht="15.75" x14ac:dyDescent="0.25">
      <c r="A13" s="114"/>
      <c r="B13" s="1112"/>
      <c r="C13" s="1112"/>
      <c r="D13" s="1112"/>
      <c r="E13" s="1112"/>
      <c r="F13" s="1113"/>
      <c r="G13" s="1113"/>
      <c r="H13" s="1113"/>
      <c r="I13" s="1113"/>
      <c r="J13" s="1113"/>
      <c r="K13" s="1113"/>
      <c r="L13" s="1113"/>
      <c r="M13" s="1113"/>
      <c r="N13" s="1113"/>
      <c r="O13" s="1113"/>
      <c r="P13" s="1113"/>
    </row>
    <row r="14" spans="1:18" s="115" customFormat="1" ht="15.75" x14ac:dyDescent="0.25">
      <c r="A14" s="120" t="s">
        <v>246</v>
      </c>
      <c r="B14" s="120"/>
      <c r="C14" s="120"/>
      <c r="D14" s="120"/>
      <c r="E14" s="121" t="e">
        <f>#REF!</f>
        <v>#REF!</v>
      </c>
      <c r="F14" s="120"/>
      <c r="G14" s="120"/>
      <c r="H14" s="120"/>
      <c r="I14" s="122"/>
      <c r="J14" s="120"/>
      <c r="K14" s="120"/>
      <c r="L14" s="120"/>
      <c r="M14" s="120"/>
      <c r="N14" s="120"/>
      <c r="O14" s="120"/>
      <c r="P14" s="120"/>
      <c r="Q14" s="120"/>
      <c r="R14" s="120"/>
    </row>
    <row r="15" spans="1:18" s="115" customFormat="1" ht="20.25" customHeight="1" x14ac:dyDescent="0.25">
      <c r="A15" s="1114" t="s">
        <v>247</v>
      </c>
      <c r="B15" s="1115"/>
      <c r="C15" s="1116"/>
      <c r="D15" s="1117"/>
      <c r="E15" s="1118"/>
      <c r="F15" s="1119"/>
      <c r="G15" s="1120"/>
      <c r="H15" s="1121"/>
      <c r="I15" s="1122"/>
      <c r="J15" s="1123"/>
      <c r="K15" s="1124"/>
      <c r="L15" s="1125"/>
      <c r="M15" s="1126"/>
      <c r="N15" s="1127"/>
      <c r="O15" s="1128"/>
      <c r="P15" s="1129"/>
      <c r="Q15" s="1130"/>
    </row>
    <row r="16" spans="1:18" s="115" customFormat="1" ht="15.75" x14ac:dyDescent="0.25">
      <c r="A16" s="120" t="s">
        <v>248</v>
      </c>
      <c r="B16" s="120"/>
      <c r="C16" s="120"/>
      <c r="D16" s="120"/>
      <c r="E16" s="121" t="e">
        <f>#REF!&amp;" "&amp;"(четыре дня)"</f>
        <v>#REF!</v>
      </c>
      <c r="F16" s="120"/>
      <c r="G16" s="120"/>
      <c r="H16" s="120"/>
      <c r="I16" s="122"/>
      <c r="J16" s="120"/>
      <c r="K16" s="120"/>
      <c r="L16" s="120"/>
      <c r="M16" s="120"/>
      <c r="N16" s="120"/>
      <c r="O16" s="120"/>
      <c r="P16" s="120"/>
      <c r="Q16" s="120"/>
      <c r="R16" s="120"/>
    </row>
    <row r="17" spans="1:18" s="115" customFormat="1" ht="20.25" customHeight="1" x14ac:dyDescent="0.25">
      <c r="A17" s="1114" t="s">
        <v>249</v>
      </c>
      <c r="B17" s="1131"/>
      <c r="C17" s="1132"/>
      <c r="D17" s="1133"/>
      <c r="E17" s="1134"/>
      <c r="F17" s="1135"/>
      <c r="G17" s="1136"/>
      <c r="H17" s="1137"/>
      <c r="I17" s="1138"/>
      <c r="J17" s="1139"/>
      <c r="K17" s="1140"/>
      <c r="L17" s="1141"/>
      <c r="M17" s="1142"/>
      <c r="N17" s="1143"/>
      <c r="O17" s="1144"/>
      <c r="P17" s="1145"/>
      <c r="Q17" s="1146"/>
    </row>
    <row r="18" spans="1:18" s="115" customFormat="1" ht="19.5" x14ac:dyDescent="0.35">
      <c r="A18" s="123" t="s">
        <v>250</v>
      </c>
      <c r="B18" s="124" t="s">
        <v>251</v>
      </c>
      <c r="E18" s="125">
        <v>3</v>
      </c>
      <c r="F18" s="120" t="s">
        <v>252</v>
      </c>
      <c r="G18" s="120"/>
      <c r="H18" s="126"/>
      <c r="I18" s="120"/>
      <c r="J18" s="120"/>
      <c r="K18" s="120"/>
      <c r="L18" s="120"/>
      <c r="M18" s="120"/>
      <c r="N18" s="120"/>
      <c r="O18" s="120"/>
      <c r="P18" s="120"/>
      <c r="Q18" s="120"/>
      <c r="R18" s="120"/>
    </row>
    <row r="19" spans="1:18" s="115" customFormat="1" ht="21" customHeight="1" x14ac:dyDescent="0.3">
      <c r="A19" s="114"/>
      <c r="E19" s="127" t="e">
        <f>COUNTIF(#REF!, "*г.*")+COUNTIF(#REF!, "*обл*")+COUNTIF(#REF!, "*край*")+COUNTIF(#REF!, "*город*")+COUNTIF(#REF!, "*респ*")</f>
        <v>#REF!</v>
      </c>
      <c r="F19" s="128" t="s">
        <v>253</v>
      </c>
      <c r="G19" s="128"/>
      <c r="H19" s="129" t="e">
        <f>#REF!</f>
        <v>#REF!</v>
      </c>
      <c r="I19" s="128" t="s">
        <v>254</v>
      </c>
      <c r="J19" s="128"/>
      <c r="K19" s="128"/>
      <c r="L19" s="128"/>
      <c r="M19" s="128"/>
      <c r="N19" s="128"/>
      <c r="O19" s="128"/>
      <c r="P19" s="128"/>
      <c r="Q19" s="128"/>
      <c r="R19" s="128"/>
    </row>
    <row r="20" spans="1:18" s="115" customFormat="1" ht="15.75" x14ac:dyDescent="0.25">
      <c r="A20" s="114"/>
      <c r="E20" s="130" t="e">
        <f>#REF!</f>
        <v>#REF!</v>
      </c>
      <c r="J20" s="117" t="s">
        <v>255</v>
      </c>
      <c r="K20" s="131" t="e">
        <f>COUNTIF(#REF!, E20)</f>
        <v>#REF!</v>
      </c>
      <c r="L20" s="115" t="s">
        <v>256</v>
      </c>
    </row>
    <row r="21" spans="1:18" s="115" customFormat="1" ht="18.75" x14ac:dyDescent="0.25">
      <c r="A21" s="114"/>
      <c r="E21" s="130" t="e">
        <f>#REF!</f>
        <v>#REF!</v>
      </c>
      <c r="F21" s="132"/>
      <c r="G21" s="132"/>
      <c r="H21" s="132"/>
      <c r="I21" s="132"/>
      <c r="J21" s="117" t="s">
        <v>255</v>
      </c>
      <c r="K21" s="131" t="e">
        <f>COUNTIF(#REF!, E21)</f>
        <v>#REF!</v>
      </c>
      <c r="L21" s="115" t="s">
        <v>256</v>
      </c>
      <c r="M21" s="132"/>
      <c r="N21" s="132"/>
    </row>
    <row r="22" spans="1:18" s="115" customFormat="1" ht="18.75" x14ac:dyDescent="0.25">
      <c r="A22" s="114"/>
      <c r="E22" s="130" t="e">
        <f>#REF!</f>
        <v>#REF!</v>
      </c>
      <c r="F22" s="132"/>
      <c r="G22" s="132"/>
      <c r="H22" s="132"/>
      <c r="I22" s="132"/>
      <c r="J22" s="117" t="s">
        <v>255</v>
      </c>
      <c r="K22" s="131" t="e">
        <f>COUNTIF(#REF!, E22)</f>
        <v>#REF!</v>
      </c>
      <c r="L22" s="115" t="s">
        <v>256</v>
      </c>
      <c r="M22" s="132"/>
      <c r="N22" s="132"/>
    </row>
    <row r="23" spans="1:18" s="115" customFormat="1" ht="18.75" x14ac:dyDescent="0.25">
      <c r="A23" s="114"/>
      <c r="E23" s="130" t="e">
        <f>#REF!</f>
        <v>#REF!</v>
      </c>
      <c r="F23" s="132"/>
      <c r="G23" s="132"/>
      <c r="H23" s="132"/>
      <c r="I23" s="132"/>
      <c r="J23" s="117" t="s">
        <v>255</v>
      </c>
      <c r="K23" s="131" t="e">
        <f>COUNTIF(#REF!, E23)</f>
        <v>#REF!</v>
      </c>
      <c r="L23" s="115" t="s">
        <v>256</v>
      </c>
      <c r="M23" s="132"/>
      <c r="N23" s="132"/>
    </row>
    <row r="24" spans="1:18" s="115" customFormat="1" ht="18.75" x14ac:dyDescent="0.25">
      <c r="A24" s="114"/>
      <c r="E24" s="130" t="e">
        <f>#REF!</f>
        <v>#REF!</v>
      </c>
      <c r="F24" s="132"/>
      <c r="G24" s="132"/>
      <c r="H24" s="132"/>
      <c r="I24" s="132"/>
      <c r="J24" s="117" t="s">
        <v>255</v>
      </c>
      <c r="K24" s="131" t="e">
        <f>COUNTIF(#REF!, E24)</f>
        <v>#REF!</v>
      </c>
      <c r="L24" s="115" t="s">
        <v>256</v>
      </c>
      <c r="M24" s="132"/>
      <c r="N24" s="132"/>
    </row>
    <row r="25" spans="1:18" s="115" customFormat="1" ht="18.75" x14ac:dyDescent="0.25">
      <c r="A25" s="114"/>
      <c r="E25" s="130" t="e">
        <f>#REF!</f>
        <v>#REF!</v>
      </c>
      <c r="F25" s="132"/>
      <c r="G25" s="132"/>
      <c r="H25" s="132"/>
      <c r="I25" s="132"/>
      <c r="J25" s="117" t="s">
        <v>255</v>
      </c>
      <c r="K25" s="131" t="e">
        <f>COUNTIF(#REF!, E25)</f>
        <v>#REF!</v>
      </c>
      <c r="L25" s="115" t="s">
        <v>256</v>
      </c>
      <c r="M25" s="132"/>
      <c r="N25" s="132"/>
    </row>
    <row r="26" spans="1:18" s="115" customFormat="1" ht="18.75" x14ac:dyDescent="0.25">
      <c r="A26" s="114"/>
      <c r="E26" s="130" t="e">
        <f>#REF!</f>
        <v>#REF!</v>
      </c>
      <c r="F26" s="132"/>
      <c r="G26" s="132"/>
      <c r="H26" s="132"/>
      <c r="I26" s="132"/>
      <c r="J26" s="117" t="s">
        <v>255</v>
      </c>
      <c r="K26" s="131" t="e">
        <f>COUNTIF(#REF!, E26)</f>
        <v>#REF!</v>
      </c>
      <c r="L26" s="115" t="s">
        <v>256</v>
      </c>
      <c r="M26" s="132"/>
      <c r="N26" s="132"/>
    </row>
    <row r="27" spans="1:18" s="115" customFormat="1" ht="18.75" x14ac:dyDescent="0.25">
      <c r="A27" s="114"/>
      <c r="E27" s="130" t="e">
        <f>#REF!</f>
        <v>#REF!</v>
      </c>
      <c r="F27" s="132"/>
      <c r="G27" s="132"/>
      <c r="H27" s="132"/>
      <c r="I27" s="132"/>
      <c r="J27" s="117" t="s">
        <v>255</v>
      </c>
      <c r="K27" s="131" t="e">
        <f>COUNTIF(#REF!, E27)</f>
        <v>#REF!</v>
      </c>
      <c r="L27" s="115" t="s">
        <v>256</v>
      </c>
      <c r="M27" s="132"/>
      <c r="N27" s="132"/>
    </row>
    <row r="28" spans="1:18" s="115" customFormat="1" ht="18.75" x14ac:dyDescent="0.25">
      <c r="A28" s="114"/>
      <c r="E28" s="130" t="e">
        <f>#REF!</f>
        <v>#REF!</v>
      </c>
      <c r="F28" s="132"/>
      <c r="G28" s="132"/>
      <c r="H28" s="132"/>
      <c r="I28" s="132"/>
      <c r="J28" s="117" t="s">
        <v>255</v>
      </c>
      <c r="K28" s="131" t="e">
        <f>COUNTIF(#REF!, E28)</f>
        <v>#REF!</v>
      </c>
      <c r="L28" s="115" t="s">
        <v>256</v>
      </c>
      <c r="M28" s="132"/>
      <c r="N28" s="132"/>
    </row>
    <row r="29" spans="1:18" s="115" customFormat="1" ht="18.75" customHeight="1" x14ac:dyDescent="0.25">
      <c r="A29" s="114"/>
      <c r="E29" s="130" t="e">
        <f>#REF!</f>
        <v>#REF!</v>
      </c>
      <c r="J29" s="117" t="s">
        <v>255</v>
      </c>
      <c r="K29" s="131" t="e">
        <f>COUNTIF(#REF!, E29)</f>
        <v>#REF!</v>
      </c>
      <c r="L29" s="115" t="s">
        <v>256</v>
      </c>
    </row>
    <row r="30" spans="1:18" s="115" customFormat="1" ht="18.75" customHeight="1" x14ac:dyDescent="0.25">
      <c r="A30" s="114"/>
      <c r="E30" s="130" t="e">
        <f>#REF!</f>
        <v>#REF!</v>
      </c>
      <c r="J30" s="117" t="s">
        <v>255</v>
      </c>
      <c r="K30" s="131" t="e">
        <f>COUNTIF(#REF!, E30)</f>
        <v>#REF!</v>
      </c>
      <c r="L30" s="115" t="s">
        <v>256</v>
      </c>
    </row>
    <row r="31" spans="1:18" s="115" customFormat="1" ht="18.75" customHeight="1" x14ac:dyDescent="0.25">
      <c r="A31" s="114"/>
      <c r="E31" s="130" t="e">
        <f>#REF!</f>
        <v>#REF!</v>
      </c>
      <c r="J31" s="117" t="s">
        <v>255</v>
      </c>
      <c r="K31" s="131" t="e">
        <f>COUNTIF(#REF!, E31)</f>
        <v>#REF!</v>
      </c>
      <c r="L31" s="115" t="s">
        <v>256</v>
      </c>
    </row>
    <row r="32" spans="1:18" s="115" customFormat="1" ht="18.75" customHeight="1" x14ac:dyDescent="0.25">
      <c r="A32" s="114"/>
      <c r="E32" s="130" t="e">
        <f>#REF!</f>
        <v>#REF!</v>
      </c>
      <c r="J32" s="117" t="s">
        <v>255</v>
      </c>
      <c r="K32" s="131" t="e">
        <f>COUNTIF(#REF!, E32)</f>
        <v>#REF!</v>
      </c>
      <c r="L32" s="115" t="s">
        <v>256</v>
      </c>
    </row>
    <row r="33" spans="1:18" s="115" customFormat="1" ht="18.75" x14ac:dyDescent="0.25">
      <c r="A33" s="114"/>
      <c r="E33" s="130" t="e">
        <f>#REF!</f>
        <v>#REF!</v>
      </c>
      <c r="F33" s="132"/>
      <c r="G33" s="132"/>
      <c r="H33" s="132"/>
      <c r="I33" s="132"/>
      <c r="J33" s="117" t="s">
        <v>255</v>
      </c>
      <c r="K33" s="131" t="e">
        <f>COUNTIF(#REF!, E33)</f>
        <v>#REF!</v>
      </c>
      <c r="L33" s="115" t="s">
        <v>256</v>
      </c>
      <c r="M33" s="132"/>
      <c r="N33" s="132"/>
    </row>
    <row r="34" spans="1:18" s="115" customFormat="1" ht="18.75" x14ac:dyDescent="0.25">
      <c r="A34" s="114"/>
      <c r="E34" s="130" t="e">
        <f>#REF!</f>
        <v>#REF!</v>
      </c>
      <c r="F34" s="132"/>
      <c r="G34" s="132"/>
      <c r="H34" s="132"/>
      <c r="I34" s="132"/>
      <c r="J34" s="117" t="s">
        <v>255</v>
      </c>
      <c r="K34" s="131" t="e">
        <f>COUNTIF(#REF!, E34)</f>
        <v>#REF!</v>
      </c>
      <c r="L34" s="115" t="s">
        <v>256</v>
      </c>
      <c r="M34" s="132"/>
      <c r="N34" s="132"/>
    </row>
    <row r="35" spans="1:18" s="115" customFormat="1" ht="18.75" x14ac:dyDescent="0.25">
      <c r="A35" s="114"/>
      <c r="E35" s="130" t="e">
        <f>#REF!</f>
        <v>#REF!</v>
      </c>
      <c r="F35" s="132"/>
      <c r="G35" s="132"/>
      <c r="H35" s="132"/>
      <c r="I35" s="132"/>
      <c r="J35" s="117" t="s">
        <v>255</v>
      </c>
      <c r="K35" s="131" t="e">
        <f>COUNTIF(#REF!, E35)</f>
        <v>#REF!</v>
      </c>
      <c r="L35" s="115" t="s">
        <v>256</v>
      </c>
      <c r="M35" s="132"/>
      <c r="N35" s="132"/>
    </row>
    <row r="36" spans="1:18" s="115" customFormat="1" ht="18.75" customHeight="1" x14ac:dyDescent="0.25">
      <c r="A36" s="114"/>
      <c r="E36" s="130" t="e">
        <f>#REF!</f>
        <v>#REF!</v>
      </c>
      <c r="J36" s="117" t="s">
        <v>255</v>
      </c>
      <c r="K36" s="131" t="e">
        <f>COUNTIF(#REF!, E36)</f>
        <v>#REF!</v>
      </c>
      <c r="L36" s="115" t="s">
        <v>256</v>
      </c>
    </row>
    <row r="37" spans="1:18" s="115" customFormat="1" ht="18.75" customHeight="1" x14ac:dyDescent="0.25">
      <c r="A37" s="114"/>
      <c r="E37" s="130" t="e">
        <f>#REF!</f>
        <v>#REF!</v>
      </c>
      <c r="J37" s="117" t="s">
        <v>255</v>
      </c>
      <c r="K37" s="131" t="e">
        <f>COUNTIF(#REF!, E37)</f>
        <v>#REF!</v>
      </c>
      <c r="L37" s="115" t="s">
        <v>256</v>
      </c>
    </row>
    <row r="38" spans="1:18" s="115" customFormat="1" ht="18.75" customHeight="1" x14ac:dyDescent="0.25">
      <c r="A38" s="114"/>
      <c r="E38" s="130" t="e">
        <f>#REF!</f>
        <v>#REF!</v>
      </c>
      <c r="J38" s="117" t="s">
        <v>255</v>
      </c>
      <c r="K38" s="131" t="e">
        <f>COUNTIF(#REF!, E38)</f>
        <v>#REF!</v>
      </c>
      <c r="L38" s="115" t="s">
        <v>256</v>
      </c>
    </row>
    <row r="39" spans="1:18" s="115" customFormat="1" ht="18.75" customHeight="1" x14ac:dyDescent="0.25">
      <c r="A39" s="114"/>
      <c r="E39" s="130" t="e">
        <f>#REF!</f>
        <v>#REF!</v>
      </c>
      <c r="J39" s="117" t="s">
        <v>255</v>
      </c>
      <c r="K39" s="131" t="e">
        <f>COUNTIF(#REF!, E39)</f>
        <v>#REF!</v>
      </c>
      <c r="L39" s="115" t="s">
        <v>256</v>
      </c>
    </row>
    <row r="40" spans="1:18" s="115" customFormat="1" ht="18.75" customHeight="1" x14ac:dyDescent="0.25">
      <c r="A40" s="114"/>
      <c r="E40" s="133"/>
    </row>
    <row r="41" spans="1:18" s="115" customFormat="1" ht="18.75" customHeight="1" x14ac:dyDescent="0.25">
      <c r="A41" s="1176" t="s">
        <v>257</v>
      </c>
      <c r="B41" s="1261"/>
      <c r="C41" s="1262"/>
      <c r="D41" s="1176" t="s">
        <v>258</v>
      </c>
      <c r="E41" s="1243" t="s">
        <v>259</v>
      </c>
      <c r="F41" s="1244"/>
      <c r="G41" s="1245"/>
      <c r="H41" s="1246"/>
      <c r="I41" s="1247"/>
      <c r="J41" s="1248"/>
      <c r="K41" s="1249"/>
      <c r="L41" s="1250"/>
      <c r="M41" s="1251"/>
      <c r="N41" s="1252"/>
      <c r="O41" s="1253"/>
      <c r="P41" s="1254"/>
      <c r="Q41" s="1255"/>
      <c r="R41" s="1256"/>
    </row>
    <row r="42" spans="1:18" s="115" customFormat="1" ht="30.75" customHeight="1" x14ac:dyDescent="0.25">
      <c r="A42" s="1263"/>
      <c r="B42" s="1264"/>
      <c r="C42" s="1265"/>
      <c r="D42" s="1260"/>
      <c r="E42" s="1243" t="s">
        <v>260</v>
      </c>
      <c r="F42" s="1268"/>
      <c r="G42" s="1176" t="s">
        <v>261</v>
      </c>
      <c r="H42" s="1269"/>
      <c r="I42" s="1176" t="s">
        <v>262</v>
      </c>
      <c r="J42" s="1270"/>
      <c r="K42" s="1176" t="s">
        <v>76</v>
      </c>
      <c r="L42" s="1271"/>
      <c r="M42" s="1176" t="s">
        <v>84</v>
      </c>
      <c r="N42" s="1272"/>
      <c r="O42" s="1176" t="s">
        <v>94</v>
      </c>
      <c r="P42" s="1273"/>
      <c r="Q42" s="1266" t="s">
        <v>263</v>
      </c>
      <c r="R42" s="1267"/>
    </row>
    <row r="43" spans="1:18" s="115" customFormat="1" ht="18.75" x14ac:dyDescent="0.3">
      <c r="A43" s="1147" t="s">
        <v>264</v>
      </c>
      <c r="B43" s="1158"/>
      <c r="C43" s="1159"/>
      <c r="D43" s="134" t="e">
        <f>COUNTIF(#REF!, "Ж")</f>
        <v>#REF!</v>
      </c>
      <c r="E43" s="1150" t="e">
        <f>COUNTIFS(#REF!, E42,#REF!, "Ж")</f>
        <v>#REF!</v>
      </c>
      <c r="F43" s="1163"/>
      <c r="G43" s="1150" t="e">
        <f>COUNTIFS(#REF!, G42,#REF!, "Ж")</f>
        <v>#REF!</v>
      </c>
      <c r="H43" s="1258"/>
      <c r="I43" s="1150" t="e">
        <f>COUNTIFS(#REF!, I42,#REF!, "Ж")</f>
        <v>#REF!</v>
      </c>
      <c r="J43" s="1257"/>
      <c r="K43" s="1150" t="e">
        <f>COUNTIFS(#REF!, K42,#REF!, "Ж")</f>
        <v>#REF!</v>
      </c>
      <c r="L43" s="1160"/>
      <c r="M43" s="1150" t="e">
        <f>COUNTIFS(#REF!, M42,#REF!, "Ж")</f>
        <v>#REF!</v>
      </c>
      <c r="N43" s="1161"/>
      <c r="O43" s="1150" t="e">
        <f>COUNTIFS(#REF!, O42,#REF!, "Ж")</f>
        <v>#REF!</v>
      </c>
      <c r="P43" s="1162"/>
      <c r="Q43" s="1150" t="e">
        <f>COUNTIFS(#REF!, "I юн",#REF!, "Ж")+COUNTIFS(#REF!, "II юн",#REF!, "Ж")+COUNTIFS(#REF!, "III юн",#REF!, "Ж")</f>
        <v>#REF!</v>
      </c>
      <c r="R43" s="1259"/>
    </row>
    <row r="44" spans="1:18" s="115" customFormat="1" ht="18.75" x14ac:dyDescent="0.3">
      <c r="A44" s="1147" t="s">
        <v>265</v>
      </c>
      <c r="B44" s="1148"/>
      <c r="C44" s="1149"/>
      <c r="D44" s="134" t="e">
        <f>COUNTIF(#REF!, "М")</f>
        <v>#REF!</v>
      </c>
      <c r="E44" s="1150" t="e">
        <f>COUNTIFS(#REF!, E42,#REF!, "М")</f>
        <v>#REF!</v>
      </c>
      <c r="F44" s="1157"/>
      <c r="G44" s="1150" t="e">
        <f>COUNTIFS(#REF!, G42,#REF!, "М")</f>
        <v>#REF!</v>
      </c>
      <c r="H44" s="1156"/>
      <c r="I44" s="1150" t="e">
        <f>COUNTIFS(#REF!, I42,#REF!, "М")</f>
        <v>#REF!</v>
      </c>
      <c r="J44" s="1155"/>
      <c r="K44" s="1150" t="e">
        <f>COUNTIFS(#REF!, K42,#REF!, "М")</f>
        <v>#REF!</v>
      </c>
      <c r="L44" s="1154"/>
      <c r="M44" s="1150" t="e">
        <f>COUNTIFS(#REF!, M42,#REF!, "М")</f>
        <v>#REF!</v>
      </c>
      <c r="N44" s="1153"/>
      <c r="O44" s="1150" t="e">
        <f>COUNTIFS(#REF!, O42,#REF!, "М")</f>
        <v>#REF!</v>
      </c>
      <c r="P44" s="1152"/>
      <c r="Q44" s="1150" t="e">
        <f>COUNTIFS(#REF!, "I юн",#REF!, "М")+COUNTIFS(#REF!, "II юн",#REF!, "М")+COUNTIFS(#REF!, "III юн",#REF!, "М")</f>
        <v>#REF!</v>
      </c>
      <c r="R44" s="1151"/>
    </row>
    <row r="45" spans="1:18" s="115" customFormat="1" ht="19.5" customHeight="1" x14ac:dyDescent="0.35">
      <c r="A45" s="1164" t="s">
        <v>266</v>
      </c>
      <c r="B45" s="1165"/>
      <c r="C45" s="1166"/>
      <c r="D45" s="136" t="e">
        <f>SUM(D43:D44)</f>
        <v>#REF!</v>
      </c>
      <c r="E45" s="1167" t="e">
        <f>SUM(E43:F44)</f>
        <v>#REF!</v>
      </c>
      <c r="F45" s="1168"/>
      <c r="G45" s="1167" t="e">
        <f>SUM(G43:H44)</f>
        <v>#REF!</v>
      </c>
      <c r="H45" s="1169"/>
      <c r="I45" s="1167" t="e">
        <f>SUM(I43:J44)</f>
        <v>#REF!</v>
      </c>
      <c r="J45" s="1242"/>
      <c r="K45" s="1167" t="e">
        <f>SUM(K43:L44)</f>
        <v>#REF!</v>
      </c>
      <c r="L45" s="1170"/>
      <c r="M45" s="1167" t="e">
        <f>SUM(M43:N44)</f>
        <v>#REF!</v>
      </c>
      <c r="N45" s="1171"/>
      <c r="O45" s="1167" t="e">
        <f>SUM(O43:P44)</f>
        <v>#REF!</v>
      </c>
      <c r="P45" s="1172"/>
      <c r="Q45" s="1167" t="e">
        <f>SUM(Q44:R44)</f>
        <v>#REF!</v>
      </c>
      <c r="R45" s="1241"/>
    </row>
    <row r="46" spans="1:18" s="115" customFormat="1" ht="24" customHeight="1" x14ac:dyDescent="0.35">
      <c r="A46" s="114" t="s">
        <v>267</v>
      </c>
      <c r="G46" s="123"/>
      <c r="M46" s="1240">
        <v>150</v>
      </c>
      <c r="N46" s="1240"/>
      <c r="O46" s="115" t="s">
        <v>268</v>
      </c>
    </row>
    <row r="47" spans="1:18" s="115" customFormat="1" ht="20.25" customHeight="1" x14ac:dyDescent="0.35">
      <c r="A47" s="114"/>
      <c r="J47" s="137"/>
      <c r="K47" s="123"/>
      <c r="M47" s="123"/>
      <c r="O47" s="123"/>
    </row>
    <row r="48" spans="1:18" s="115" customFormat="1" ht="19.5" x14ac:dyDescent="0.35">
      <c r="A48" s="123" t="s">
        <v>269</v>
      </c>
      <c r="B48" s="124" t="s">
        <v>270</v>
      </c>
    </row>
    <row r="49" spans="1:19" s="115" customFormat="1" ht="36" customHeight="1" x14ac:dyDescent="0.25">
      <c r="A49" s="1239" t="s">
        <v>271</v>
      </c>
      <c r="B49" s="1239"/>
      <c r="C49" s="1239"/>
      <c r="D49" s="1239"/>
      <c r="E49" s="1239"/>
      <c r="F49" s="1239"/>
      <c r="G49" s="1239"/>
      <c r="H49" s="1239"/>
      <c r="I49" s="1239"/>
      <c r="J49" s="1239"/>
      <c r="K49" s="1239"/>
      <c r="L49" s="1239"/>
      <c r="M49" s="1239"/>
      <c r="N49" s="1239"/>
      <c r="O49" s="1239"/>
      <c r="P49" s="1239"/>
      <c r="Q49" s="1239"/>
      <c r="R49" s="1239"/>
    </row>
    <row r="50" spans="1:19" s="115" customFormat="1" ht="15.75" x14ac:dyDescent="0.25">
      <c r="A50" s="138"/>
      <c r="B50" s="1173"/>
      <c r="C50" s="1173"/>
      <c r="D50" s="1173"/>
      <c r="E50" s="1173"/>
      <c r="F50" s="1173"/>
      <c r="G50" s="1173"/>
      <c r="H50" s="1173"/>
      <c r="I50" s="1173"/>
      <c r="J50" s="1173"/>
      <c r="K50" s="1173"/>
      <c r="L50" s="1173"/>
      <c r="M50" s="1173"/>
      <c r="N50" s="1173"/>
      <c r="O50" s="1173"/>
      <c r="S50" s="137"/>
    </row>
    <row r="51" spans="1:19" s="115" customFormat="1" ht="19.5" x14ac:dyDescent="0.35">
      <c r="A51" s="123" t="s">
        <v>272</v>
      </c>
      <c r="B51" s="124" t="s">
        <v>273</v>
      </c>
    </row>
    <row r="52" spans="1:19" s="115" customFormat="1" ht="15.75" x14ac:dyDescent="0.25">
      <c r="A52" s="114"/>
    </row>
    <row r="53" spans="1:19" s="115" customFormat="1" ht="19.5" customHeight="1" x14ac:dyDescent="0.25">
      <c r="A53" s="1174" t="s">
        <v>66</v>
      </c>
      <c r="B53" s="1176" t="s">
        <v>274</v>
      </c>
      <c r="C53" s="1177"/>
      <c r="D53" s="1178"/>
      <c r="E53" s="1179"/>
      <c r="F53" s="1180"/>
      <c r="G53" s="1181"/>
      <c r="H53" s="1182"/>
      <c r="I53" s="1183"/>
      <c r="J53" s="1176" t="s">
        <v>275</v>
      </c>
      <c r="K53" s="1192"/>
      <c r="L53" s="1193"/>
      <c r="M53" s="1194"/>
      <c r="N53" s="1195"/>
      <c r="O53" s="1196"/>
      <c r="P53" s="1197"/>
      <c r="Q53" s="1198"/>
      <c r="R53" s="1199"/>
    </row>
    <row r="54" spans="1:19" s="115" customFormat="1" ht="26.25" customHeight="1" x14ac:dyDescent="0.25">
      <c r="A54" s="1175"/>
      <c r="B54" s="1184"/>
      <c r="C54" s="1185"/>
      <c r="D54" s="1186"/>
      <c r="E54" s="1187"/>
      <c r="F54" s="1188"/>
      <c r="G54" s="1189"/>
      <c r="H54" s="1190"/>
      <c r="I54" s="1191"/>
      <c r="J54" s="1200"/>
      <c r="K54" s="1201"/>
      <c r="L54" s="1202"/>
      <c r="M54" s="1203"/>
      <c r="N54" s="1204"/>
      <c r="O54" s="1205"/>
      <c r="P54" s="1206"/>
      <c r="Q54" s="1207"/>
      <c r="R54" s="1208"/>
    </row>
    <row r="55" spans="1:19" s="115" customFormat="1" ht="19.5" x14ac:dyDescent="0.35">
      <c r="A55" s="140">
        <v>1</v>
      </c>
      <c r="B55" s="141" t="e">
        <f>#REF!</f>
        <v>#REF!</v>
      </c>
      <c r="C55" s="142"/>
      <c r="D55" s="143"/>
      <c r="E55" s="143"/>
      <c r="F55" s="143"/>
      <c r="G55" s="143"/>
      <c r="H55" s="143"/>
      <c r="I55" s="144"/>
      <c r="J55" s="1209" t="s">
        <v>276</v>
      </c>
      <c r="K55" s="1210"/>
      <c r="L55" s="1210"/>
      <c r="M55" s="1210"/>
      <c r="N55" s="1210"/>
      <c r="O55" s="1210"/>
      <c r="P55" s="1210"/>
      <c r="Q55" s="1210"/>
      <c r="R55" s="1211"/>
    </row>
    <row r="56" spans="1:19" s="115" customFormat="1" ht="19.5" x14ac:dyDescent="0.35">
      <c r="A56" s="145">
        <v>2</v>
      </c>
      <c r="B56" s="146" t="e">
        <f>#REF!</f>
        <v>#REF!</v>
      </c>
      <c r="C56" s="147"/>
      <c r="I56" s="148"/>
      <c r="J56" s="1210"/>
      <c r="K56" s="1210"/>
      <c r="L56" s="1210"/>
      <c r="M56" s="1210"/>
      <c r="N56" s="1210"/>
      <c r="O56" s="1210"/>
      <c r="P56" s="1210"/>
      <c r="Q56" s="1210"/>
      <c r="R56" s="1212"/>
    </row>
    <row r="57" spans="1:19" s="115" customFormat="1" ht="19.5" x14ac:dyDescent="0.35">
      <c r="A57" s="145">
        <v>3</v>
      </c>
      <c r="B57" s="146" t="e">
        <f>#REF!</f>
        <v>#REF!</v>
      </c>
      <c r="C57" s="147"/>
      <c r="I57" s="148"/>
      <c r="J57" s="1210"/>
      <c r="K57" s="1210"/>
      <c r="L57" s="1210"/>
      <c r="M57" s="1210"/>
      <c r="N57" s="1210"/>
      <c r="O57" s="1210"/>
      <c r="P57" s="1210"/>
      <c r="Q57" s="1210"/>
      <c r="R57" s="1213"/>
    </row>
    <row r="58" spans="1:19" s="115" customFormat="1" ht="19.5" x14ac:dyDescent="0.35">
      <c r="A58" s="145">
        <v>4</v>
      </c>
      <c r="B58" s="146" t="e">
        <f>#REF!</f>
        <v>#REF!</v>
      </c>
      <c r="C58" s="147"/>
      <c r="I58" s="148"/>
      <c r="J58" s="1210"/>
      <c r="K58" s="1210"/>
      <c r="L58" s="1210"/>
      <c r="M58" s="1210"/>
      <c r="N58" s="1210"/>
      <c r="O58" s="1210"/>
      <c r="P58" s="1210"/>
      <c r="Q58" s="1210"/>
      <c r="R58" s="1214"/>
    </row>
    <row r="59" spans="1:19" s="115" customFormat="1" ht="19.5" x14ac:dyDescent="0.35">
      <c r="A59" s="145">
        <v>5</v>
      </c>
      <c r="B59" s="146" t="e">
        <f>#REF!</f>
        <v>#REF!</v>
      </c>
      <c r="C59" s="147"/>
      <c r="I59" s="148"/>
      <c r="J59" s="1210"/>
      <c r="K59" s="1210"/>
      <c r="L59" s="1210"/>
      <c r="M59" s="1210"/>
      <c r="N59" s="1210"/>
      <c r="O59" s="1210"/>
      <c r="P59" s="1210"/>
      <c r="Q59" s="1210"/>
      <c r="R59" s="1215"/>
    </row>
    <row r="60" spans="1:19" s="115" customFormat="1" ht="19.5" x14ac:dyDescent="0.35">
      <c r="A60" s="145">
        <v>6</v>
      </c>
      <c r="B60" s="146" t="e">
        <f>#REF!</f>
        <v>#REF!</v>
      </c>
      <c r="C60" s="147"/>
      <c r="I60" s="148"/>
      <c r="J60" s="1210"/>
      <c r="K60" s="1210"/>
      <c r="L60" s="1210"/>
      <c r="M60" s="1210"/>
      <c r="N60" s="1210"/>
      <c r="O60" s="1210"/>
      <c r="P60" s="1210"/>
      <c r="Q60" s="1210"/>
      <c r="R60" s="1216"/>
    </row>
    <row r="61" spans="1:19" s="115" customFormat="1" ht="19.5" x14ac:dyDescent="0.35">
      <c r="A61" s="145">
        <v>7</v>
      </c>
      <c r="B61" s="146" t="e">
        <f>#REF!</f>
        <v>#REF!</v>
      </c>
      <c r="C61" s="147"/>
      <c r="I61" s="148"/>
      <c r="J61" s="1210"/>
      <c r="K61" s="1210"/>
      <c r="L61" s="1210"/>
      <c r="M61" s="1210"/>
      <c r="N61" s="1210"/>
      <c r="O61" s="1210"/>
      <c r="P61" s="1210"/>
      <c r="Q61" s="1210"/>
      <c r="R61" s="1217"/>
    </row>
    <row r="62" spans="1:19" s="115" customFormat="1" ht="19.5" x14ac:dyDescent="0.35">
      <c r="A62" s="145">
        <v>8</v>
      </c>
      <c r="B62" s="146" t="e">
        <f>#REF!</f>
        <v>#REF!</v>
      </c>
      <c r="C62" s="147"/>
      <c r="I62" s="148"/>
      <c r="J62" s="1210"/>
      <c r="K62" s="1210"/>
      <c r="L62" s="1210"/>
      <c r="M62" s="1210"/>
      <c r="N62" s="1210"/>
      <c r="O62" s="1210"/>
      <c r="P62" s="1210"/>
      <c r="Q62" s="1210"/>
      <c r="R62" s="1218"/>
    </row>
    <row r="63" spans="1:19" s="115" customFormat="1" ht="19.5" x14ac:dyDescent="0.35">
      <c r="A63" s="145">
        <v>9</v>
      </c>
      <c r="B63" s="146" t="e">
        <f>#REF!</f>
        <v>#REF!</v>
      </c>
      <c r="C63" s="147"/>
      <c r="I63" s="148"/>
      <c r="J63" s="1210"/>
      <c r="K63" s="1210"/>
      <c r="L63" s="1210"/>
      <c r="M63" s="1210"/>
      <c r="N63" s="1210"/>
      <c r="O63" s="1210"/>
      <c r="P63" s="1210"/>
      <c r="Q63" s="1210"/>
      <c r="R63" s="1219"/>
    </row>
    <row r="64" spans="1:19" s="115" customFormat="1" ht="19.5" x14ac:dyDescent="0.35">
      <c r="A64" s="145">
        <v>10</v>
      </c>
      <c r="B64" s="146" t="e">
        <f>#REF!</f>
        <v>#REF!</v>
      </c>
      <c r="C64" s="147"/>
      <c r="I64" s="148"/>
      <c r="J64" s="1210"/>
      <c r="K64" s="1210"/>
      <c r="L64" s="1210"/>
      <c r="M64" s="1210"/>
      <c r="N64" s="1210"/>
      <c r="O64" s="1210"/>
      <c r="P64" s="1210"/>
      <c r="Q64" s="1210"/>
      <c r="R64" s="1220"/>
    </row>
    <row r="65" spans="1:18" s="115" customFormat="1" ht="19.5" x14ac:dyDescent="0.35">
      <c r="A65" s="145">
        <v>3</v>
      </c>
      <c r="B65" s="146" t="e">
        <f>#REF!</f>
        <v>#REF!</v>
      </c>
      <c r="C65" s="147"/>
      <c r="I65" s="148"/>
      <c r="J65" s="1210"/>
      <c r="K65" s="1210"/>
      <c r="L65" s="1210"/>
      <c r="M65" s="1210"/>
      <c r="N65" s="1210"/>
      <c r="O65" s="1210"/>
      <c r="P65" s="1210"/>
      <c r="Q65" s="1210"/>
      <c r="R65" s="1221"/>
    </row>
    <row r="66" spans="1:18" s="115" customFormat="1" ht="19.5" x14ac:dyDescent="0.35">
      <c r="A66" s="145">
        <v>4</v>
      </c>
      <c r="B66" s="146" t="e">
        <f>#REF!</f>
        <v>#REF!</v>
      </c>
      <c r="C66" s="147"/>
      <c r="I66" s="148"/>
      <c r="J66" s="1210"/>
      <c r="K66" s="1210"/>
      <c r="L66" s="1210"/>
      <c r="M66" s="1210"/>
      <c r="N66" s="1210"/>
      <c r="O66" s="1210"/>
      <c r="P66" s="1210"/>
      <c r="Q66" s="1210"/>
      <c r="R66" s="1222"/>
    </row>
    <row r="67" spans="1:18" s="115" customFormat="1" ht="19.5" x14ac:dyDescent="0.35">
      <c r="A67" s="145">
        <v>5</v>
      </c>
      <c r="B67" s="146" t="e">
        <f>#REF!</f>
        <v>#REF!</v>
      </c>
      <c r="C67" s="147"/>
      <c r="I67" s="148"/>
      <c r="J67" s="1210"/>
      <c r="K67" s="1210"/>
      <c r="L67" s="1210"/>
      <c r="M67" s="1210"/>
      <c r="N67" s="1210"/>
      <c r="O67" s="1210"/>
      <c r="P67" s="1210"/>
      <c r="Q67" s="1210"/>
      <c r="R67" s="1223"/>
    </row>
    <row r="68" spans="1:18" s="115" customFormat="1" ht="19.5" x14ac:dyDescent="0.35">
      <c r="A68" s="145">
        <v>6</v>
      </c>
      <c r="B68" s="146" t="e">
        <f>#REF!</f>
        <v>#REF!</v>
      </c>
      <c r="C68" s="147"/>
      <c r="I68" s="148"/>
      <c r="J68" s="1210"/>
      <c r="K68" s="1210"/>
      <c r="L68" s="1210"/>
      <c r="M68" s="1210"/>
      <c r="N68" s="1210"/>
      <c r="O68" s="1210"/>
      <c r="P68" s="1210"/>
      <c r="Q68" s="1210"/>
      <c r="R68" s="1224"/>
    </row>
    <row r="69" spans="1:18" s="115" customFormat="1" ht="19.5" x14ac:dyDescent="0.35">
      <c r="A69" s="145">
        <v>7</v>
      </c>
      <c r="B69" s="146" t="e">
        <f>#REF!</f>
        <v>#REF!</v>
      </c>
      <c r="C69" s="147"/>
      <c r="I69" s="148"/>
      <c r="J69" s="1210"/>
      <c r="K69" s="1210"/>
      <c r="L69" s="1210"/>
      <c r="M69" s="1210"/>
      <c r="N69" s="1210"/>
      <c r="O69" s="1210"/>
      <c r="P69" s="1210"/>
      <c r="Q69" s="1210"/>
      <c r="R69" s="1225"/>
    </row>
    <row r="70" spans="1:18" s="115" customFormat="1" ht="19.5" x14ac:dyDescent="0.35">
      <c r="A70" s="145">
        <v>8</v>
      </c>
      <c r="B70" s="146" t="e">
        <f>#REF!</f>
        <v>#REF!</v>
      </c>
      <c r="C70" s="147"/>
      <c r="I70" s="148"/>
      <c r="J70" s="1210"/>
      <c r="K70" s="1210"/>
      <c r="L70" s="1210"/>
      <c r="M70" s="1210"/>
      <c r="N70" s="1210"/>
      <c r="O70" s="1210"/>
      <c r="P70" s="1210"/>
      <c r="Q70" s="1210"/>
      <c r="R70" s="1226"/>
    </row>
    <row r="71" spans="1:18" s="115" customFormat="1" ht="19.5" x14ac:dyDescent="0.35">
      <c r="A71" s="145">
        <v>9</v>
      </c>
      <c r="B71" s="146" t="e">
        <f>#REF!</f>
        <v>#REF!</v>
      </c>
      <c r="C71" s="147"/>
      <c r="I71" s="148"/>
      <c r="J71" s="1210"/>
      <c r="K71" s="1210"/>
      <c r="L71" s="1210"/>
      <c r="M71" s="1210"/>
      <c r="N71" s="1210"/>
      <c r="O71" s="1210"/>
      <c r="P71" s="1210"/>
      <c r="Q71" s="1210"/>
      <c r="R71" s="1227"/>
    </row>
    <row r="72" spans="1:18" s="115" customFormat="1" ht="19.5" x14ac:dyDescent="0.35">
      <c r="A72" s="145">
        <v>8</v>
      </c>
      <c r="B72" s="146" t="e">
        <f>#REF!</f>
        <v>#REF!</v>
      </c>
      <c r="C72" s="147"/>
      <c r="I72" s="148"/>
      <c r="J72" s="1210"/>
      <c r="K72" s="1210"/>
      <c r="L72" s="1210"/>
      <c r="M72" s="1210"/>
      <c r="N72" s="1210"/>
      <c r="O72" s="1210"/>
      <c r="P72" s="1210"/>
      <c r="Q72" s="1210"/>
      <c r="R72" s="1228"/>
    </row>
    <row r="73" spans="1:18" s="115" customFormat="1" ht="19.5" x14ac:dyDescent="0.35">
      <c r="A73" s="145">
        <v>9</v>
      </c>
      <c r="B73" s="146" t="e">
        <f>#REF!</f>
        <v>#REF!</v>
      </c>
      <c r="C73" s="147"/>
      <c r="I73" s="148"/>
      <c r="J73" s="1210"/>
      <c r="K73" s="1210"/>
      <c r="L73" s="1210"/>
      <c r="M73" s="1210"/>
      <c r="N73" s="1210"/>
      <c r="O73" s="1210"/>
      <c r="P73" s="1210"/>
      <c r="Q73" s="1210"/>
      <c r="R73" s="1229"/>
    </row>
    <row r="74" spans="1:18" s="115" customFormat="1" ht="19.5" x14ac:dyDescent="0.35">
      <c r="A74" s="149">
        <v>10</v>
      </c>
      <c r="B74" s="150" t="e">
        <f>#REF!</f>
        <v>#REF!</v>
      </c>
      <c r="C74" s="151"/>
      <c r="D74" s="120"/>
      <c r="E74" s="120"/>
      <c r="F74" s="120"/>
      <c r="G74" s="120"/>
      <c r="H74" s="120"/>
      <c r="I74" s="152"/>
      <c r="J74" s="1230"/>
      <c r="K74" s="1231"/>
      <c r="L74" s="1232"/>
      <c r="M74" s="1233"/>
      <c r="N74" s="1234"/>
      <c r="O74" s="1235"/>
      <c r="P74" s="1236"/>
      <c r="Q74" s="1237"/>
      <c r="R74" s="1238"/>
    </row>
    <row r="75" spans="1:18" s="115" customFormat="1" ht="15.75" x14ac:dyDescent="0.25">
      <c r="A75" s="114"/>
    </row>
    <row r="76" spans="1:18" s="115" customFormat="1" ht="19.5" x14ac:dyDescent="0.35">
      <c r="A76" s="123" t="s">
        <v>277</v>
      </c>
      <c r="B76" s="124" t="s">
        <v>278</v>
      </c>
    </row>
    <row r="77" spans="1:18" s="115" customFormat="1" ht="11.25" customHeight="1" x14ac:dyDescent="0.25"/>
    <row r="78" spans="1:18" s="115" customFormat="1" ht="18.75" customHeight="1" x14ac:dyDescent="0.3">
      <c r="A78" s="153" t="s">
        <v>279</v>
      </c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</row>
    <row r="79" spans="1:18" s="115" customFormat="1" ht="16.5" customHeight="1" x14ac:dyDescent="0.25">
      <c r="A79" s="1114" t="s">
        <v>280</v>
      </c>
      <c r="B79" s="1777"/>
      <c r="C79" s="1778"/>
      <c r="D79" s="1779"/>
      <c r="E79" s="1780"/>
      <c r="F79" s="1781"/>
      <c r="G79" s="1782"/>
      <c r="H79" s="1783"/>
      <c r="I79" s="1784"/>
      <c r="J79" s="1785"/>
      <c r="K79" s="1786"/>
      <c r="L79" s="1787"/>
      <c r="M79" s="1788"/>
      <c r="N79" s="1789"/>
      <c r="O79" s="1790"/>
      <c r="P79" s="1791"/>
      <c r="Q79" s="1792"/>
      <c r="R79" s="1793"/>
    </row>
    <row r="80" spans="1:18" s="115" customFormat="1" ht="19.5" x14ac:dyDescent="0.35">
      <c r="A80" s="123" t="s">
        <v>281</v>
      </c>
      <c r="B80" s="124" t="s">
        <v>282</v>
      </c>
    </row>
    <row r="81" spans="1:18" s="154" customFormat="1" ht="30.75" customHeight="1" x14ac:dyDescent="0.25"/>
    <row r="82" spans="1:18" s="154" customFormat="1" ht="31.5" x14ac:dyDescent="0.25">
      <c r="A82" s="155" t="s">
        <v>6</v>
      </c>
      <c r="B82" s="1274" t="s">
        <v>283</v>
      </c>
      <c r="C82" s="1670"/>
      <c r="D82" s="1671"/>
      <c r="E82" s="1672"/>
      <c r="F82" s="1673"/>
      <c r="G82" s="1674"/>
      <c r="H82" s="1675"/>
      <c r="I82" s="1676"/>
      <c r="J82" s="1274" t="s">
        <v>284</v>
      </c>
      <c r="K82" s="1799"/>
      <c r="L82" s="1274" t="s">
        <v>285</v>
      </c>
      <c r="M82" s="1794"/>
      <c r="N82" s="1795"/>
      <c r="O82" s="1796"/>
      <c r="P82" s="1797"/>
      <c r="Q82" s="1274" t="s">
        <v>286</v>
      </c>
      <c r="R82" s="1798"/>
    </row>
    <row r="83" spans="1:18" s="154" customFormat="1" ht="15.75" x14ac:dyDescent="0.25">
      <c r="A83" s="155" t="e">
        <f>#REF!</f>
        <v>#REF!</v>
      </c>
      <c r="B83" s="1304" t="e">
        <f>#REF!</f>
        <v>#REF!</v>
      </c>
      <c r="C83" s="1733"/>
      <c r="D83" s="1734"/>
      <c r="E83" s="1735"/>
      <c r="F83" s="1736"/>
      <c r="G83" s="1737"/>
      <c r="H83" s="1738"/>
      <c r="I83" s="1739"/>
      <c r="J83" s="1300" t="e">
        <f>#REF!</f>
        <v>#REF!</v>
      </c>
      <c r="K83" s="1767"/>
      <c r="L83" s="1274" t="e">
        <f>#REF!</f>
        <v>#REF!</v>
      </c>
      <c r="M83" s="1768"/>
      <c r="N83" s="1769"/>
      <c r="O83" s="1770"/>
      <c r="P83" s="1771"/>
      <c r="Q83" s="1274" t="s">
        <v>287</v>
      </c>
      <c r="R83" s="1668"/>
    </row>
    <row r="84" spans="1:18" s="154" customFormat="1" ht="32.25" customHeight="1" x14ac:dyDescent="0.25">
      <c r="A84" s="155" t="e">
        <f>#REF!</f>
        <v>#REF!</v>
      </c>
      <c r="B84" s="1304" t="e">
        <f>#REF!</f>
        <v>#REF!</v>
      </c>
      <c r="C84" s="1740"/>
      <c r="D84" s="1741"/>
      <c r="E84" s="1742"/>
      <c r="F84" s="1743"/>
      <c r="G84" s="1744"/>
      <c r="H84" s="1745"/>
      <c r="I84" s="1746"/>
      <c r="J84" s="1300" t="e">
        <f>#REF!</f>
        <v>#REF!</v>
      </c>
      <c r="K84" s="1772"/>
      <c r="L84" s="1274" t="e">
        <f>#REF!</f>
        <v>#REF!</v>
      </c>
      <c r="M84" s="1773"/>
      <c r="N84" s="1774"/>
      <c r="O84" s="1775"/>
      <c r="P84" s="1776"/>
      <c r="Q84" s="1274" t="s">
        <v>287</v>
      </c>
      <c r="R84" s="1669"/>
    </row>
    <row r="85" spans="1:18" s="154" customFormat="1" ht="30.75" customHeight="1" x14ac:dyDescent="0.25">
      <c r="A85" s="155" t="e">
        <f>#REF!</f>
        <v>#REF!</v>
      </c>
      <c r="B85" s="1304" t="e">
        <f>#REF!</f>
        <v>#REF!</v>
      </c>
      <c r="C85" s="1677"/>
      <c r="D85" s="1678"/>
      <c r="E85" s="1679"/>
      <c r="F85" s="1680"/>
      <c r="G85" s="1681"/>
      <c r="H85" s="1682"/>
      <c r="I85" s="1683"/>
      <c r="J85" s="1300" t="e">
        <f>#REF!</f>
        <v>#REF!</v>
      </c>
      <c r="K85" s="1747"/>
      <c r="L85" s="1274" t="e">
        <f>#REF!</f>
        <v>#REF!</v>
      </c>
      <c r="M85" s="1751"/>
      <c r="N85" s="1752"/>
      <c r="O85" s="1753"/>
      <c r="P85" s="1754"/>
      <c r="Q85" s="1274" t="s">
        <v>287</v>
      </c>
      <c r="R85" s="1667"/>
    </row>
    <row r="86" spans="1:18" s="154" customFormat="1" ht="15.75" customHeight="1" x14ac:dyDescent="0.25">
      <c r="A86" s="155" t="e">
        <f>#REF!</f>
        <v>#REF!</v>
      </c>
      <c r="B86" s="1304" t="e">
        <f>#REF!</f>
        <v>#REF!</v>
      </c>
      <c r="C86" s="1684"/>
      <c r="D86" s="1685"/>
      <c r="E86" s="1686"/>
      <c r="F86" s="1687"/>
      <c r="G86" s="1688"/>
      <c r="H86" s="1689"/>
      <c r="I86" s="1690"/>
      <c r="J86" s="1300" t="e">
        <f>#REF!</f>
        <v>#REF!</v>
      </c>
      <c r="K86" s="1748"/>
      <c r="L86" s="1274" t="e">
        <f>#REF!</f>
        <v>#REF!</v>
      </c>
      <c r="M86" s="1755"/>
      <c r="N86" s="1756"/>
      <c r="O86" s="1757"/>
      <c r="P86" s="1758"/>
      <c r="Q86" s="1274" t="s">
        <v>287</v>
      </c>
      <c r="R86" s="1666"/>
    </row>
    <row r="87" spans="1:18" s="154" customFormat="1" ht="34.5" customHeight="1" x14ac:dyDescent="0.25">
      <c r="A87" s="155" t="e">
        <f>#REF!</f>
        <v>#REF!</v>
      </c>
      <c r="B87" s="1304" t="e">
        <f>#REF!</f>
        <v>#REF!</v>
      </c>
      <c r="C87" s="1691"/>
      <c r="D87" s="1692"/>
      <c r="E87" s="1693"/>
      <c r="F87" s="1694"/>
      <c r="G87" s="1695"/>
      <c r="H87" s="1696"/>
      <c r="I87" s="1697"/>
      <c r="J87" s="1300" t="e">
        <f>#REF!</f>
        <v>#REF!</v>
      </c>
      <c r="K87" s="1749"/>
      <c r="L87" s="1274" t="e">
        <f>#REF!</f>
        <v>#REF!</v>
      </c>
      <c r="M87" s="1759"/>
      <c r="N87" s="1760"/>
      <c r="O87" s="1761"/>
      <c r="P87" s="1762"/>
      <c r="Q87" s="1274" t="s">
        <v>287</v>
      </c>
      <c r="R87" s="1665"/>
    </row>
    <row r="88" spans="1:18" s="154" customFormat="1" ht="15.75" customHeight="1" x14ac:dyDescent="0.25">
      <c r="A88" s="155" t="e">
        <f>#REF!</f>
        <v>#REF!</v>
      </c>
      <c r="B88" s="1304" t="e">
        <f>#REF!</f>
        <v>#REF!</v>
      </c>
      <c r="C88" s="1698"/>
      <c r="D88" s="1699"/>
      <c r="E88" s="1700"/>
      <c r="F88" s="1701"/>
      <c r="G88" s="1702"/>
      <c r="H88" s="1703"/>
      <c r="I88" s="1704"/>
      <c r="J88" s="1300" t="e">
        <f>#REF!</f>
        <v>#REF!</v>
      </c>
      <c r="K88" s="1750"/>
      <c r="L88" s="1274" t="e">
        <f>#REF!</f>
        <v>#REF!</v>
      </c>
      <c r="M88" s="1763"/>
      <c r="N88" s="1764"/>
      <c r="O88" s="1765"/>
      <c r="P88" s="1766"/>
      <c r="Q88" s="1274" t="s">
        <v>287</v>
      </c>
      <c r="R88" s="1664"/>
    </row>
    <row r="89" spans="1:18" s="154" customFormat="1" ht="15.75" customHeight="1" x14ac:dyDescent="0.25">
      <c r="A89" s="155" t="e">
        <f>#REF!</f>
        <v>#REF!</v>
      </c>
      <c r="B89" s="1304" t="e">
        <f>#REF!</f>
        <v>#REF!</v>
      </c>
      <c r="C89" s="1705"/>
      <c r="D89" s="1706"/>
      <c r="E89" s="1707"/>
      <c r="F89" s="1708"/>
      <c r="G89" s="1709"/>
      <c r="H89" s="1710"/>
      <c r="I89" s="1711"/>
      <c r="J89" s="1300" t="e">
        <f>#REF!</f>
        <v>#REF!</v>
      </c>
      <c r="K89" s="1658"/>
      <c r="L89" s="1274" t="e">
        <f>#REF!</f>
        <v>#REF!</v>
      </c>
      <c r="M89" s="1651"/>
      <c r="N89" s="1652"/>
      <c r="O89" s="1653"/>
      <c r="P89" s="1654"/>
      <c r="Q89" s="1274" t="s">
        <v>287</v>
      </c>
      <c r="R89" s="1663"/>
    </row>
    <row r="90" spans="1:18" s="154" customFormat="1" ht="15.75" customHeight="1" x14ac:dyDescent="0.25">
      <c r="A90" s="155" t="e">
        <f>#REF!</f>
        <v>#REF!</v>
      </c>
      <c r="B90" s="1304" t="e">
        <f>#REF!</f>
        <v>#REF!</v>
      </c>
      <c r="C90" s="1712"/>
      <c r="D90" s="1713"/>
      <c r="E90" s="1714"/>
      <c r="F90" s="1715"/>
      <c r="G90" s="1716"/>
      <c r="H90" s="1717"/>
      <c r="I90" s="1718"/>
      <c r="J90" s="1300" t="e">
        <f>#REF!</f>
        <v>#REF!</v>
      </c>
      <c r="K90" s="1657"/>
      <c r="L90" s="1274" t="e">
        <f>#REF!</f>
        <v>#REF!</v>
      </c>
      <c r="M90" s="1647"/>
      <c r="N90" s="1648"/>
      <c r="O90" s="1649"/>
      <c r="P90" s="1650"/>
      <c r="Q90" s="1274" t="s">
        <v>287</v>
      </c>
      <c r="R90" s="1662"/>
    </row>
    <row r="91" spans="1:18" s="154" customFormat="1" ht="15.75" customHeight="1" x14ac:dyDescent="0.25">
      <c r="A91" s="155" t="e">
        <f>#REF!</f>
        <v>#REF!</v>
      </c>
      <c r="B91" s="1304" t="e">
        <f>#REF!</f>
        <v>#REF!</v>
      </c>
      <c r="C91" s="1719"/>
      <c r="D91" s="1720"/>
      <c r="E91" s="1721"/>
      <c r="F91" s="1722"/>
      <c r="G91" s="1723"/>
      <c r="H91" s="1724"/>
      <c r="I91" s="1725"/>
      <c r="J91" s="1300" t="e">
        <f>#REF!</f>
        <v>#REF!</v>
      </c>
      <c r="K91" s="1656"/>
      <c r="L91" s="1274" t="e">
        <f>#REF!</f>
        <v>#REF!</v>
      </c>
      <c r="M91" s="1643"/>
      <c r="N91" s="1644"/>
      <c r="O91" s="1645"/>
      <c r="P91" s="1646"/>
      <c r="Q91" s="1274" t="s">
        <v>287</v>
      </c>
      <c r="R91" s="1661"/>
    </row>
    <row r="92" spans="1:18" s="154" customFormat="1" ht="15.75" customHeight="1" x14ac:dyDescent="0.25">
      <c r="A92" s="155" t="e">
        <f>#REF!</f>
        <v>#REF!</v>
      </c>
      <c r="B92" s="1304" t="e">
        <f>#REF!</f>
        <v>#REF!</v>
      </c>
      <c r="C92" s="1726"/>
      <c r="D92" s="1727"/>
      <c r="E92" s="1728"/>
      <c r="F92" s="1729"/>
      <c r="G92" s="1730"/>
      <c r="H92" s="1731"/>
      <c r="I92" s="1732"/>
      <c r="J92" s="1300" t="e">
        <f>#REF!</f>
        <v>#REF!</v>
      </c>
      <c r="K92" s="1655"/>
      <c r="L92" s="1274" t="e">
        <f>#REF!</f>
        <v>#REF!</v>
      </c>
      <c r="M92" s="1639"/>
      <c r="N92" s="1640"/>
      <c r="O92" s="1641"/>
      <c r="P92" s="1642"/>
      <c r="Q92" s="1274" t="s">
        <v>287</v>
      </c>
      <c r="R92" s="1660"/>
    </row>
    <row r="93" spans="1:18" s="154" customFormat="1" ht="15.75" customHeight="1" x14ac:dyDescent="0.25">
      <c r="A93" s="155" t="e">
        <f>#REF!</f>
        <v>#REF!</v>
      </c>
      <c r="B93" s="1304" t="e">
        <f>#REF!</f>
        <v>#REF!</v>
      </c>
      <c r="C93" s="1591"/>
      <c r="D93" s="1592"/>
      <c r="E93" s="1593"/>
      <c r="F93" s="1594"/>
      <c r="G93" s="1595"/>
      <c r="H93" s="1596"/>
      <c r="I93" s="1597"/>
      <c r="J93" s="1300" t="e">
        <f>#REF!</f>
        <v>#REF!</v>
      </c>
      <c r="K93" s="1638"/>
      <c r="L93" s="1274" t="e">
        <f>#REF!</f>
        <v>#REF!</v>
      </c>
      <c r="M93" s="1633"/>
      <c r="N93" s="1634"/>
      <c r="O93" s="1635"/>
      <c r="P93" s="1636"/>
      <c r="Q93" s="1274" t="s">
        <v>287</v>
      </c>
      <c r="R93" s="1659"/>
    </row>
    <row r="94" spans="1:18" s="154" customFormat="1" ht="15.75" customHeight="1" x14ac:dyDescent="0.25">
      <c r="A94" s="155" t="e">
        <f>#REF!</f>
        <v>#REF!</v>
      </c>
      <c r="B94" s="1304" t="e">
        <f>#REF!</f>
        <v>#REF!</v>
      </c>
      <c r="C94" s="1598"/>
      <c r="D94" s="1599"/>
      <c r="E94" s="1600"/>
      <c r="F94" s="1601"/>
      <c r="G94" s="1602"/>
      <c r="H94" s="1603"/>
      <c r="I94" s="1604"/>
      <c r="J94" s="1300" t="e">
        <f>#REF!</f>
        <v>#REF!</v>
      </c>
      <c r="K94" s="1637"/>
      <c r="L94" s="1274" t="e">
        <f>#REF!</f>
        <v>#REF!</v>
      </c>
      <c r="M94" s="1627"/>
      <c r="N94" s="1628"/>
      <c r="O94" s="1629"/>
      <c r="P94" s="1630"/>
      <c r="Q94" s="1274" t="s">
        <v>287</v>
      </c>
      <c r="R94" s="1542"/>
    </row>
    <row r="95" spans="1:18" s="154" customFormat="1" ht="15.75" customHeight="1" x14ac:dyDescent="0.25">
      <c r="A95" s="155" t="e">
        <f>#REF!</f>
        <v>#REF!</v>
      </c>
      <c r="B95" s="1304" t="e">
        <f>#REF!</f>
        <v>#REF!</v>
      </c>
      <c r="C95" s="1605"/>
      <c r="D95" s="1606"/>
      <c r="E95" s="1607"/>
      <c r="F95" s="1608"/>
      <c r="G95" s="1609"/>
      <c r="H95" s="1610"/>
      <c r="I95" s="1611"/>
      <c r="J95" s="1300" t="e">
        <f>#REF!</f>
        <v>#REF!</v>
      </c>
      <c r="K95" s="1632"/>
      <c r="L95" s="1274" t="e">
        <f>#REF!</f>
        <v>#REF!</v>
      </c>
      <c r="M95" s="1623"/>
      <c r="N95" s="1624"/>
      <c r="O95" s="1625"/>
      <c r="P95" s="1626"/>
      <c r="Q95" s="1274" t="s">
        <v>287</v>
      </c>
      <c r="R95" s="1541"/>
    </row>
    <row r="96" spans="1:18" s="154" customFormat="1" ht="15.75" customHeight="1" x14ac:dyDescent="0.25">
      <c r="A96" s="155" t="e">
        <f>#REF!</f>
        <v>#REF!</v>
      </c>
      <c r="B96" s="1304" t="e">
        <f>#REF!</f>
        <v>#REF!</v>
      </c>
      <c r="C96" s="1612"/>
      <c r="D96" s="1613"/>
      <c r="E96" s="1614"/>
      <c r="F96" s="1615"/>
      <c r="G96" s="1616"/>
      <c r="H96" s="1617"/>
      <c r="I96" s="1618"/>
      <c r="J96" s="1300" t="e">
        <f>#REF!</f>
        <v>#REF!</v>
      </c>
      <c r="K96" s="1631"/>
      <c r="L96" s="1274" t="e">
        <f>#REF!</f>
        <v>#REF!</v>
      </c>
      <c r="M96" s="1619"/>
      <c r="N96" s="1620"/>
      <c r="O96" s="1621"/>
      <c r="P96" s="1622"/>
      <c r="Q96" s="1274" t="s">
        <v>287</v>
      </c>
      <c r="R96" s="1540"/>
    </row>
    <row r="97" spans="1:18" s="154" customFormat="1" ht="15.75" customHeight="1" x14ac:dyDescent="0.25">
      <c r="A97" s="155" t="e">
        <f>#REF!</f>
        <v>#REF!</v>
      </c>
      <c r="B97" s="1304" t="e">
        <f>#REF!</f>
        <v>#REF!</v>
      </c>
      <c r="C97" s="1543"/>
      <c r="D97" s="1544"/>
      <c r="E97" s="1545"/>
      <c r="F97" s="1546"/>
      <c r="G97" s="1547"/>
      <c r="H97" s="1548"/>
      <c r="I97" s="1549"/>
      <c r="J97" s="1300" t="e">
        <f>#REF!</f>
        <v>#REF!</v>
      </c>
      <c r="K97" s="1564"/>
      <c r="L97" s="1274" t="e">
        <f>#REF!</f>
        <v>#REF!</v>
      </c>
      <c r="M97" s="1566"/>
      <c r="N97" s="1567"/>
      <c r="O97" s="1568"/>
      <c r="P97" s="1569"/>
      <c r="Q97" s="1274" t="s">
        <v>287</v>
      </c>
      <c r="R97" s="1539"/>
    </row>
    <row r="98" spans="1:18" s="154" customFormat="1" ht="15.75" customHeight="1" x14ac:dyDescent="0.25">
      <c r="A98" s="155" t="e">
        <f>#REF!</f>
        <v>#REF!</v>
      </c>
      <c r="B98" s="1304" t="e">
        <f>#REF!</f>
        <v>#REF!</v>
      </c>
      <c r="C98" s="1550"/>
      <c r="D98" s="1551"/>
      <c r="E98" s="1552"/>
      <c r="F98" s="1553"/>
      <c r="G98" s="1554"/>
      <c r="H98" s="1555"/>
      <c r="I98" s="1556"/>
      <c r="J98" s="1300" t="e">
        <f>#REF!</f>
        <v>#REF!</v>
      </c>
      <c r="K98" s="1565"/>
      <c r="L98" s="1274" t="e">
        <f>#REF!</f>
        <v>#REF!</v>
      </c>
      <c r="M98" s="1570"/>
      <c r="N98" s="1571"/>
      <c r="O98" s="1572"/>
      <c r="P98" s="1573"/>
      <c r="Q98" s="1274" t="s">
        <v>287</v>
      </c>
      <c r="R98" s="1538"/>
    </row>
    <row r="99" spans="1:18" s="154" customFormat="1" ht="15.75" customHeight="1" x14ac:dyDescent="0.25">
      <c r="A99" s="155" t="e">
        <f>#REF!</f>
        <v>#REF!</v>
      </c>
      <c r="B99" s="1304" t="e">
        <f>#REF!</f>
        <v>#REF!</v>
      </c>
      <c r="C99" s="1557"/>
      <c r="D99" s="1558"/>
      <c r="E99" s="1559"/>
      <c r="F99" s="1560"/>
      <c r="G99" s="1561"/>
      <c r="H99" s="1562"/>
      <c r="I99" s="1563"/>
      <c r="J99" s="1300" t="e">
        <f>#REF!</f>
        <v>#REF!</v>
      </c>
      <c r="K99" s="1578"/>
      <c r="L99" s="1274" t="e">
        <f>#REF!</f>
        <v>#REF!</v>
      </c>
      <c r="M99" s="1574"/>
      <c r="N99" s="1575"/>
      <c r="O99" s="1576"/>
      <c r="P99" s="1577"/>
      <c r="Q99" s="1274" t="s">
        <v>287</v>
      </c>
      <c r="R99" s="1537"/>
    </row>
    <row r="100" spans="1:18" s="154" customFormat="1" ht="15.75" customHeight="1" x14ac:dyDescent="0.25">
      <c r="A100" s="155" t="e">
        <f>#REF!</f>
        <v>#REF!</v>
      </c>
      <c r="B100" s="1304" t="e">
        <f>#REF!</f>
        <v>#REF!</v>
      </c>
      <c r="C100" s="1579"/>
      <c r="D100" s="1580"/>
      <c r="E100" s="1581"/>
      <c r="F100" s="1582"/>
      <c r="G100" s="1583"/>
      <c r="H100" s="1584"/>
      <c r="I100" s="1585"/>
      <c r="J100" s="1300" t="e">
        <f>#REF!</f>
        <v>#REF!</v>
      </c>
      <c r="K100" s="1586"/>
      <c r="L100" s="1274" t="e">
        <f>#REF!</f>
        <v>#REF!</v>
      </c>
      <c r="M100" s="1587"/>
      <c r="N100" s="1588"/>
      <c r="O100" s="1589"/>
      <c r="P100" s="1590"/>
      <c r="Q100" s="1274" t="s">
        <v>287</v>
      </c>
      <c r="R100" s="1536"/>
    </row>
    <row r="101" spans="1:18" s="154" customFormat="1" ht="15.75" customHeight="1" x14ac:dyDescent="0.25">
      <c r="A101" s="155" t="e">
        <f>#REF!</f>
        <v>#REF!</v>
      </c>
      <c r="B101" s="1304" t="e">
        <f>#REF!</f>
        <v>#REF!</v>
      </c>
      <c r="C101" s="1482"/>
      <c r="D101" s="1483"/>
      <c r="E101" s="1484"/>
      <c r="F101" s="1485"/>
      <c r="G101" s="1486"/>
      <c r="H101" s="1487"/>
      <c r="I101" s="1488"/>
      <c r="J101" s="1300" t="e">
        <f>#REF!</f>
        <v>#REF!</v>
      </c>
      <c r="K101" s="1513"/>
      <c r="L101" s="1274" t="e">
        <f>#REF!</f>
        <v>#REF!</v>
      </c>
      <c r="M101" s="1526"/>
      <c r="N101" s="1527"/>
      <c r="O101" s="1528"/>
      <c r="P101" s="1529"/>
      <c r="Q101" s="1274" t="s">
        <v>287</v>
      </c>
      <c r="R101" s="1535"/>
    </row>
    <row r="102" spans="1:18" s="154" customFormat="1" ht="15.75" customHeight="1" x14ac:dyDescent="0.25">
      <c r="A102" s="155" t="e">
        <f>#REF!</f>
        <v>#REF!</v>
      </c>
      <c r="B102" s="1304" t="e">
        <f>#REF!</f>
        <v>#REF!</v>
      </c>
      <c r="C102" s="1489"/>
      <c r="D102" s="1490"/>
      <c r="E102" s="1491"/>
      <c r="F102" s="1492"/>
      <c r="G102" s="1493"/>
      <c r="H102" s="1494"/>
      <c r="I102" s="1495"/>
      <c r="J102" s="1300" t="e">
        <f>#REF!</f>
        <v>#REF!</v>
      </c>
      <c r="K102" s="1512"/>
      <c r="L102" s="1274" t="e">
        <f>#REF!</f>
        <v>#REF!</v>
      </c>
      <c r="M102" s="1522"/>
      <c r="N102" s="1523"/>
      <c r="O102" s="1524"/>
      <c r="P102" s="1525"/>
      <c r="Q102" s="1274" t="s">
        <v>287</v>
      </c>
      <c r="R102" s="1534"/>
    </row>
    <row r="103" spans="1:18" s="154" customFormat="1" ht="15.75" customHeight="1" x14ac:dyDescent="0.25">
      <c r="A103" s="155" t="e">
        <f>#REF!</f>
        <v>#REF!</v>
      </c>
      <c r="B103" s="1304" t="e">
        <f>#REF!</f>
        <v>#REF!</v>
      </c>
      <c r="C103" s="1496"/>
      <c r="D103" s="1497"/>
      <c r="E103" s="1498"/>
      <c r="F103" s="1499"/>
      <c r="G103" s="1500"/>
      <c r="H103" s="1501"/>
      <c r="I103" s="1502"/>
      <c r="J103" s="1300" t="e">
        <f>#REF!</f>
        <v>#REF!</v>
      </c>
      <c r="K103" s="1511"/>
      <c r="L103" s="1274" t="e">
        <f>#REF!</f>
        <v>#REF!</v>
      </c>
      <c r="M103" s="1518"/>
      <c r="N103" s="1519"/>
      <c r="O103" s="1520"/>
      <c r="P103" s="1521"/>
      <c r="Q103" s="1274" t="s">
        <v>287</v>
      </c>
      <c r="R103" s="1533"/>
    </row>
    <row r="104" spans="1:18" s="154" customFormat="1" ht="15.75" customHeight="1" x14ac:dyDescent="0.25">
      <c r="A104" s="155" t="e">
        <f>#REF!</f>
        <v>#REF!</v>
      </c>
      <c r="B104" s="1304" t="e">
        <f>#REF!</f>
        <v>#REF!</v>
      </c>
      <c r="C104" s="1503"/>
      <c r="D104" s="1504"/>
      <c r="E104" s="1505"/>
      <c r="F104" s="1506"/>
      <c r="G104" s="1507"/>
      <c r="H104" s="1508"/>
      <c r="I104" s="1509"/>
      <c r="J104" s="1300" t="e">
        <f>#REF!</f>
        <v>#REF!</v>
      </c>
      <c r="K104" s="1510"/>
      <c r="L104" s="1274" t="e">
        <f>#REF!</f>
        <v>#REF!</v>
      </c>
      <c r="M104" s="1514"/>
      <c r="N104" s="1515"/>
      <c r="O104" s="1516"/>
      <c r="P104" s="1517"/>
      <c r="Q104" s="1274" t="s">
        <v>287</v>
      </c>
      <c r="R104" s="1532"/>
    </row>
    <row r="105" spans="1:18" s="154" customFormat="1" ht="15.75" customHeight="1" x14ac:dyDescent="0.25">
      <c r="A105" s="155" t="e">
        <f>#REF!</f>
        <v>#REF!</v>
      </c>
      <c r="B105" s="1304" t="e">
        <f>#REF!</f>
        <v>#REF!</v>
      </c>
      <c r="C105" s="1434"/>
      <c r="D105" s="1435"/>
      <c r="E105" s="1436"/>
      <c r="F105" s="1437"/>
      <c r="G105" s="1438"/>
      <c r="H105" s="1439"/>
      <c r="I105" s="1440"/>
      <c r="J105" s="1300" t="e">
        <f>#REF!</f>
        <v>#REF!</v>
      </c>
      <c r="K105" s="1455"/>
      <c r="L105" s="1274" t="e">
        <f>#REF!</f>
        <v>#REF!</v>
      </c>
      <c r="M105" s="1457"/>
      <c r="N105" s="1458"/>
      <c r="O105" s="1459"/>
      <c r="P105" s="1460"/>
      <c r="Q105" s="1274" t="s">
        <v>287</v>
      </c>
      <c r="R105" s="1531"/>
    </row>
    <row r="106" spans="1:18" s="154" customFormat="1" ht="15.75" customHeight="1" x14ac:dyDescent="0.25">
      <c r="A106" s="155" t="e">
        <f>#REF!</f>
        <v>#REF!</v>
      </c>
      <c r="B106" s="1304" t="e">
        <f>#REF!</f>
        <v>#REF!</v>
      </c>
      <c r="C106" s="1441"/>
      <c r="D106" s="1442"/>
      <c r="E106" s="1443"/>
      <c r="F106" s="1444"/>
      <c r="G106" s="1445"/>
      <c r="H106" s="1446"/>
      <c r="I106" s="1447"/>
      <c r="J106" s="1300" t="e">
        <f>#REF!</f>
        <v>#REF!</v>
      </c>
      <c r="K106" s="1456"/>
      <c r="L106" s="1274" t="e">
        <f>#REF!</f>
        <v>#REF!</v>
      </c>
      <c r="M106" s="1461"/>
      <c r="N106" s="1462"/>
      <c r="O106" s="1463"/>
      <c r="P106" s="1464"/>
      <c r="Q106" s="1274" t="s">
        <v>287</v>
      </c>
      <c r="R106" s="1530"/>
    </row>
    <row r="107" spans="1:18" s="154" customFormat="1" ht="15.75" customHeight="1" x14ac:dyDescent="0.25">
      <c r="A107" s="155" t="e">
        <f>#REF!</f>
        <v>#REF!</v>
      </c>
      <c r="B107" s="1304" t="e">
        <f>#REF!</f>
        <v>#REF!</v>
      </c>
      <c r="C107" s="1448"/>
      <c r="D107" s="1449"/>
      <c r="E107" s="1450"/>
      <c r="F107" s="1451"/>
      <c r="G107" s="1452"/>
      <c r="H107" s="1453"/>
      <c r="I107" s="1454"/>
      <c r="J107" s="1300" t="e">
        <f>#REF!</f>
        <v>#REF!</v>
      </c>
      <c r="K107" s="1465"/>
      <c r="L107" s="1274" t="e">
        <f>#REF!</f>
        <v>#REF!</v>
      </c>
      <c r="M107" s="1466"/>
      <c r="N107" s="1467"/>
      <c r="O107" s="1468"/>
      <c r="P107" s="1469"/>
      <c r="Q107" s="1274" t="s">
        <v>287</v>
      </c>
      <c r="R107" s="1287"/>
    </row>
    <row r="108" spans="1:18" s="154" customFormat="1" ht="15.75" customHeight="1" x14ac:dyDescent="0.25">
      <c r="A108" s="155" t="e">
        <f>#REF!</f>
        <v>#REF!</v>
      </c>
      <c r="B108" s="1304" t="e">
        <f>#REF!</f>
        <v>#REF!</v>
      </c>
      <c r="C108" s="1470"/>
      <c r="D108" s="1471"/>
      <c r="E108" s="1472"/>
      <c r="F108" s="1473"/>
      <c r="G108" s="1474"/>
      <c r="H108" s="1475"/>
      <c r="I108" s="1476"/>
      <c r="J108" s="1300" t="e">
        <f>#REF!</f>
        <v>#REF!</v>
      </c>
      <c r="K108" s="1477"/>
      <c r="L108" s="1274" t="e">
        <f>#REF!</f>
        <v>#REF!</v>
      </c>
      <c r="M108" s="1478"/>
      <c r="N108" s="1479"/>
      <c r="O108" s="1480"/>
      <c r="P108" s="1481"/>
      <c r="Q108" s="1274" t="s">
        <v>287</v>
      </c>
      <c r="R108" s="1286"/>
    </row>
    <row r="109" spans="1:18" s="154" customFormat="1" ht="15.75" customHeight="1" x14ac:dyDescent="0.25">
      <c r="A109" s="155" t="e">
        <f>#REF!</f>
        <v>#REF!</v>
      </c>
      <c r="B109" s="1304" t="e">
        <f>#REF!</f>
        <v>#REF!</v>
      </c>
      <c r="C109" s="1386"/>
      <c r="D109" s="1387"/>
      <c r="E109" s="1388"/>
      <c r="F109" s="1389"/>
      <c r="G109" s="1390"/>
      <c r="H109" s="1391"/>
      <c r="I109" s="1392"/>
      <c r="J109" s="1300" t="e">
        <f>#REF!</f>
        <v>#REF!</v>
      </c>
      <c r="K109" s="1417"/>
      <c r="L109" s="1274" t="e">
        <f>#REF!</f>
        <v>#REF!</v>
      </c>
      <c r="M109" s="1430"/>
      <c r="N109" s="1431"/>
      <c r="O109" s="1432"/>
      <c r="P109" s="1433"/>
      <c r="Q109" s="1274" t="s">
        <v>287</v>
      </c>
      <c r="R109" s="1285"/>
    </row>
    <row r="110" spans="1:18" s="154" customFormat="1" ht="15.75" customHeight="1" x14ac:dyDescent="0.25">
      <c r="A110" s="155" t="e">
        <f>#REF!</f>
        <v>#REF!</v>
      </c>
      <c r="B110" s="1304" t="e">
        <f>#REF!</f>
        <v>#REF!</v>
      </c>
      <c r="C110" s="1393"/>
      <c r="D110" s="1394"/>
      <c r="E110" s="1395"/>
      <c r="F110" s="1396"/>
      <c r="G110" s="1397"/>
      <c r="H110" s="1398"/>
      <c r="I110" s="1399"/>
      <c r="J110" s="1300" t="e">
        <f>#REF!</f>
        <v>#REF!</v>
      </c>
      <c r="K110" s="1416"/>
      <c r="L110" s="1274" t="e">
        <f>#REF!</f>
        <v>#REF!</v>
      </c>
      <c r="M110" s="1426"/>
      <c r="N110" s="1427"/>
      <c r="O110" s="1428"/>
      <c r="P110" s="1429"/>
      <c r="Q110" s="1274" t="s">
        <v>287</v>
      </c>
      <c r="R110" s="1284"/>
    </row>
    <row r="111" spans="1:18" s="154" customFormat="1" ht="15.75" customHeight="1" x14ac:dyDescent="0.25">
      <c r="A111" s="155" t="e">
        <f>#REF!</f>
        <v>#REF!</v>
      </c>
      <c r="B111" s="1304" t="e">
        <f>#REF!</f>
        <v>#REF!</v>
      </c>
      <c r="C111" s="1400"/>
      <c r="D111" s="1401"/>
      <c r="E111" s="1402"/>
      <c r="F111" s="1403"/>
      <c r="G111" s="1404"/>
      <c r="H111" s="1405"/>
      <c r="I111" s="1406"/>
      <c r="J111" s="1300" t="e">
        <f>#REF!</f>
        <v>#REF!</v>
      </c>
      <c r="K111" s="1415"/>
      <c r="L111" s="1274" t="e">
        <f>#REF!</f>
        <v>#REF!</v>
      </c>
      <c r="M111" s="1422"/>
      <c r="N111" s="1423"/>
      <c r="O111" s="1424"/>
      <c r="P111" s="1425"/>
      <c r="Q111" s="1274" t="s">
        <v>287</v>
      </c>
      <c r="R111" s="1283"/>
    </row>
    <row r="112" spans="1:18" s="154" customFormat="1" ht="15.75" customHeight="1" x14ac:dyDescent="0.25">
      <c r="A112" s="155" t="e">
        <f>#REF!</f>
        <v>#REF!</v>
      </c>
      <c r="B112" s="1304" t="e">
        <f>#REF!</f>
        <v>#REF!</v>
      </c>
      <c r="C112" s="1407"/>
      <c r="D112" s="1408"/>
      <c r="E112" s="1409"/>
      <c r="F112" s="1410"/>
      <c r="G112" s="1411"/>
      <c r="H112" s="1412"/>
      <c r="I112" s="1413"/>
      <c r="J112" s="1300" t="e">
        <f>#REF!</f>
        <v>#REF!</v>
      </c>
      <c r="K112" s="1414"/>
      <c r="L112" s="1274" t="e">
        <f>#REF!</f>
        <v>#REF!</v>
      </c>
      <c r="M112" s="1418"/>
      <c r="N112" s="1419"/>
      <c r="O112" s="1420"/>
      <c r="P112" s="1421"/>
      <c r="Q112" s="1274" t="s">
        <v>287</v>
      </c>
      <c r="R112" s="1282"/>
    </row>
    <row r="113" spans="1:18" s="154" customFormat="1" ht="15.75" customHeight="1" x14ac:dyDescent="0.25">
      <c r="A113" s="155" t="e">
        <f>#REF!</f>
        <v>#REF!</v>
      </c>
      <c r="B113" s="1304" t="e">
        <f>#REF!</f>
        <v>#REF!</v>
      </c>
      <c r="C113" s="1338"/>
      <c r="D113" s="1339"/>
      <c r="E113" s="1340"/>
      <c r="F113" s="1341"/>
      <c r="G113" s="1342"/>
      <c r="H113" s="1343"/>
      <c r="I113" s="1344"/>
      <c r="J113" s="1300" t="e">
        <f>#REF!</f>
        <v>#REF!</v>
      </c>
      <c r="K113" s="1359"/>
      <c r="L113" s="1274" t="e">
        <f>#REF!</f>
        <v>#REF!</v>
      </c>
      <c r="M113" s="1370"/>
      <c r="N113" s="1371"/>
      <c r="O113" s="1372"/>
      <c r="P113" s="1373"/>
      <c r="Q113" s="1274" t="s">
        <v>287</v>
      </c>
      <c r="R113" s="1281"/>
    </row>
    <row r="114" spans="1:18" s="154" customFormat="1" ht="15.75" customHeight="1" x14ac:dyDescent="0.25">
      <c r="A114" s="155" t="e">
        <f>#REF!</f>
        <v>#REF!</v>
      </c>
      <c r="B114" s="1304" t="e">
        <f>#REF!</f>
        <v>#REF!</v>
      </c>
      <c r="C114" s="1345"/>
      <c r="D114" s="1346"/>
      <c r="E114" s="1347"/>
      <c r="F114" s="1348"/>
      <c r="G114" s="1349"/>
      <c r="H114" s="1350"/>
      <c r="I114" s="1351"/>
      <c r="J114" s="1300" t="e">
        <f>#REF!</f>
        <v>#REF!</v>
      </c>
      <c r="K114" s="1360"/>
      <c r="L114" s="1274" t="e">
        <f>#REF!</f>
        <v>#REF!</v>
      </c>
      <c r="M114" s="1374"/>
      <c r="N114" s="1375"/>
      <c r="O114" s="1376"/>
      <c r="P114" s="1377"/>
      <c r="Q114" s="1274" t="s">
        <v>287</v>
      </c>
      <c r="R114" s="1280"/>
    </row>
    <row r="115" spans="1:18" s="154" customFormat="1" ht="15.75" customHeight="1" x14ac:dyDescent="0.25">
      <c r="A115" s="155" t="e">
        <f>#REF!</f>
        <v>#REF!</v>
      </c>
      <c r="B115" s="1304" t="e">
        <f>#REF!</f>
        <v>#REF!</v>
      </c>
      <c r="C115" s="1352"/>
      <c r="D115" s="1353"/>
      <c r="E115" s="1354"/>
      <c r="F115" s="1355"/>
      <c r="G115" s="1356"/>
      <c r="H115" s="1357"/>
      <c r="I115" s="1358"/>
      <c r="J115" s="1300" t="e">
        <f>#REF!</f>
        <v>#REF!</v>
      </c>
      <c r="K115" s="1368"/>
      <c r="L115" s="1274" t="e">
        <f>#REF!</f>
        <v>#REF!</v>
      </c>
      <c r="M115" s="1378"/>
      <c r="N115" s="1379"/>
      <c r="O115" s="1380"/>
      <c r="P115" s="1381"/>
      <c r="Q115" s="1274" t="s">
        <v>287</v>
      </c>
      <c r="R115" s="1279"/>
    </row>
    <row r="116" spans="1:18" s="154" customFormat="1" ht="16.5" customHeight="1" x14ac:dyDescent="0.25">
      <c r="A116" s="155" t="e">
        <f>#REF!</f>
        <v>#REF!</v>
      </c>
      <c r="B116" s="1304" t="e">
        <f>#REF!</f>
        <v>#REF!</v>
      </c>
      <c r="C116" s="1361"/>
      <c r="D116" s="1362"/>
      <c r="E116" s="1363"/>
      <c r="F116" s="1364"/>
      <c r="G116" s="1365"/>
      <c r="H116" s="1366"/>
      <c r="I116" s="1367"/>
      <c r="J116" s="1300" t="e">
        <f>#REF!</f>
        <v>#REF!</v>
      </c>
      <c r="K116" s="1369"/>
      <c r="L116" s="1274" t="e">
        <f>#REF!</f>
        <v>#REF!</v>
      </c>
      <c r="M116" s="1382"/>
      <c r="N116" s="1383"/>
      <c r="O116" s="1384"/>
      <c r="P116" s="1385"/>
      <c r="Q116" s="1274" t="s">
        <v>287</v>
      </c>
      <c r="R116" s="1278"/>
    </row>
    <row r="117" spans="1:18" s="154" customFormat="1" ht="15.75" x14ac:dyDescent="0.25">
      <c r="A117" s="155" t="e">
        <f>#REF!</f>
        <v>#REF!</v>
      </c>
      <c r="B117" s="1304" t="e">
        <f>#REF!</f>
        <v>#REF!</v>
      </c>
      <c r="C117" s="1305"/>
      <c r="D117" s="1306"/>
      <c r="E117" s="1307"/>
      <c r="F117" s="1308"/>
      <c r="G117" s="1309"/>
      <c r="H117" s="1310"/>
      <c r="I117" s="1311"/>
      <c r="J117" s="1300" t="e">
        <f>#REF!</f>
        <v>#REF!</v>
      </c>
      <c r="K117" s="1301"/>
      <c r="L117" s="1274" t="e">
        <f>#REF!</f>
        <v>#REF!</v>
      </c>
      <c r="M117" s="1288"/>
      <c r="N117" s="1289"/>
      <c r="O117" s="1290"/>
      <c r="P117" s="1291"/>
      <c r="Q117" s="1274" t="s">
        <v>287</v>
      </c>
      <c r="R117" s="1277"/>
    </row>
    <row r="118" spans="1:18" s="154" customFormat="1" ht="15.75" x14ac:dyDescent="0.25">
      <c r="A118" s="155" t="e">
        <f xml:space="preserve"> IF(ISBLANK(#REF!), " ",#REF!)</f>
        <v>#REF!</v>
      </c>
      <c r="B118" s="1304" t="e">
        <f>#REF!</f>
        <v>#REF!</v>
      </c>
      <c r="C118" s="1312"/>
      <c r="D118" s="1313"/>
      <c r="E118" s="1314"/>
      <c r="F118" s="1315"/>
      <c r="G118" s="1316"/>
      <c r="H118" s="1317"/>
      <c r="I118" s="1318"/>
      <c r="J118" s="1300" t="e">
        <f xml:space="preserve"> IF(ISBLANK(#REF!), " ",#REF!)</f>
        <v>#REF!</v>
      </c>
      <c r="K118" s="1302"/>
      <c r="L118" s="1274" t="e">
        <f>#REF!</f>
        <v>#REF!</v>
      </c>
      <c r="M118" s="1292"/>
      <c r="N118" s="1293"/>
      <c r="O118" s="1294"/>
      <c r="P118" s="1295"/>
      <c r="Q118" s="1274" t="s">
        <v>287</v>
      </c>
      <c r="R118" s="1276"/>
    </row>
    <row r="119" spans="1:18" s="154" customFormat="1" ht="15.75" x14ac:dyDescent="0.25">
      <c r="A119" s="155" t="e">
        <f xml:space="preserve"> IF(ISBLANK(#REF!), " ",#REF!)</f>
        <v>#REF!</v>
      </c>
      <c r="B119" s="1304" t="e">
        <f>#REF!</f>
        <v>#REF!</v>
      </c>
      <c r="C119" s="1319"/>
      <c r="D119" s="1320"/>
      <c r="E119" s="1321"/>
      <c r="F119" s="1322"/>
      <c r="G119" s="1323"/>
      <c r="H119" s="1324"/>
      <c r="I119" s="1325"/>
      <c r="J119" s="1300" t="e">
        <f>#REF!</f>
        <v>#REF!</v>
      </c>
      <c r="K119" s="1303"/>
      <c r="L119" s="1274" t="e">
        <f>#REF!</f>
        <v>#REF!</v>
      </c>
      <c r="M119" s="1296"/>
      <c r="N119" s="1297"/>
      <c r="O119" s="1298"/>
      <c r="P119" s="1299"/>
      <c r="Q119" s="1274" t="s">
        <v>287</v>
      </c>
      <c r="R119" s="1275"/>
    </row>
    <row r="120" spans="1:18" s="115" customFormat="1" ht="15.75" x14ac:dyDescent="0.25">
      <c r="A120" s="137"/>
      <c r="Q120" s="154"/>
      <c r="R120" s="154"/>
    </row>
    <row r="121" spans="1:18" s="115" customFormat="1" ht="38.25" customHeight="1" x14ac:dyDescent="0.25">
      <c r="A121" s="1334" t="e">
        <f>#REF!</f>
        <v>#REF!</v>
      </c>
      <c r="B121" s="1334"/>
      <c r="C121" s="1334"/>
      <c r="D121" s="1334"/>
      <c r="E121" s="1334"/>
      <c r="F121" s="1334"/>
      <c r="G121" s="1334"/>
      <c r="H121" s="156"/>
      <c r="I121" s="1330" t="e">
        <f>#REF!</f>
        <v>#REF!</v>
      </c>
      <c r="J121" s="1331"/>
      <c r="K121" s="1332"/>
      <c r="L121" s="1333"/>
      <c r="M121" s="158"/>
    </row>
    <row r="122" spans="1:18" s="115" customFormat="1" ht="15.75" x14ac:dyDescent="0.25">
      <c r="A122" s="159"/>
      <c r="B122" s="159"/>
      <c r="C122" s="159"/>
      <c r="D122" s="159"/>
      <c r="E122" s="156"/>
      <c r="F122" s="156"/>
      <c r="G122" s="156"/>
      <c r="H122" s="156"/>
      <c r="I122" s="1114" t="s">
        <v>288</v>
      </c>
      <c r="J122" s="1335"/>
      <c r="K122" s="1336"/>
      <c r="L122" s="1337"/>
      <c r="N122" s="1114" t="s">
        <v>289</v>
      </c>
      <c r="O122" s="1326"/>
      <c r="P122" s="1327"/>
      <c r="Q122" s="1328"/>
      <c r="R122" s="1329"/>
    </row>
    <row r="123" spans="1:18" s="115" customFormat="1" ht="15.75" x14ac:dyDescent="0.25">
      <c r="A123" s="159"/>
      <c r="B123" s="159"/>
      <c r="C123" s="159"/>
      <c r="D123" s="159"/>
      <c r="E123" s="156"/>
      <c r="F123" s="156"/>
      <c r="G123" s="156"/>
      <c r="H123" s="156"/>
      <c r="I123" s="137"/>
      <c r="L123" s="137"/>
      <c r="M123" s="137"/>
      <c r="N123" s="137"/>
      <c r="O123" s="137"/>
      <c r="P123" s="137"/>
      <c r="Q123" s="137"/>
      <c r="R123" s="137"/>
    </row>
    <row r="124" spans="1:18" s="115" customFormat="1" ht="43.5" customHeight="1" x14ac:dyDescent="0.25">
      <c r="A124" s="1334" t="e">
        <f>#REF!</f>
        <v>#REF!</v>
      </c>
      <c r="B124" s="1334"/>
      <c r="C124" s="1334"/>
      <c r="D124" s="1334"/>
      <c r="E124" s="1334"/>
      <c r="F124" s="1334"/>
      <c r="G124" s="1334"/>
      <c r="H124" s="156"/>
      <c r="I124" s="1330" t="e">
        <f>#REF!</f>
        <v>#REF!</v>
      </c>
      <c r="J124" s="1817"/>
      <c r="K124" s="1818"/>
      <c r="L124" s="1819"/>
      <c r="M124" s="158"/>
    </row>
    <row r="125" spans="1:18" s="115" customFormat="1" ht="15.75" x14ac:dyDescent="0.25">
      <c r="A125" s="156"/>
      <c r="B125" s="156"/>
      <c r="C125" s="156"/>
      <c r="D125" s="156"/>
      <c r="E125" s="156"/>
      <c r="F125" s="156"/>
      <c r="G125" s="156"/>
      <c r="H125" s="156"/>
      <c r="I125" s="1114" t="s">
        <v>288</v>
      </c>
      <c r="J125" s="1806"/>
      <c r="K125" s="1807"/>
      <c r="L125" s="1808"/>
      <c r="N125" s="1114" t="s">
        <v>289</v>
      </c>
      <c r="O125" s="1809"/>
      <c r="P125" s="1810"/>
      <c r="Q125" s="1811"/>
      <c r="R125" s="1812"/>
    </row>
    <row r="126" spans="1:18" s="115" customFormat="1" ht="27.75" customHeight="1" x14ac:dyDescent="0.25"/>
    <row r="127" spans="1:18" s="115" customFormat="1" ht="15.75" x14ac:dyDescent="0.25">
      <c r="A127" s="1334" t="s">
        <v>290</v>
      </c>
      <c r="B127" s="1334"/>
      <c r="C127" s="1334"/>
      <c r="D127" s="1334"/>
      <c r="E127" s="1334"/>
      <c r="F127" s="1334"/>
      <c r="G127" s="1334"/>
      <c r="I127" s="1330" t="s">
        <v>291</v>
      </c>
      <c r="J127" s="1803"/>
      <c r="K127" s="1804"/>
      <c r="L127" s="1805"/>
      <c r="M127" s="158"/>
    </row>
    <row r="128" spans="1:18" s="115" customFormat="1" ht="15.75" x14ac:dyDescent="0.25">
      <c r="I128" s="1114" t="s">
        <v>288</v>
      </c>
      <c r="J128" s="1800"/>
      <c r="K128" s="1801"/>
      <c r="L128" s="1802"/>
      <c r="N128" s="1114" t="s">
        <v>289</v>
      </c>
      <c r="O128" s="1813"/>
      <c r="P128" s="1814"/>
      <c r="Q128" s="1815"/>
      <c r="R128" s="1816"/>
    </row>
    <row r="129" s="115" customFormat="1" ht="15.75" x14ac:dyDescent="0.25"/>
    <row r="130" s="115" customFormat="1" ht="15.75" x14ac:dyDescent="0.25"/>
    <row r="131" s="115" customFormat="1" ht="15.75" x14ac:dyDescent="0.25"/>
    <row r="132" s="115" customFormat="1" ht="15.75" x14ac:dyDescent="0.25"/>
    <row r="133" s="115" customFormat="1" ht="15.75" x14ac:dyDescent="0.25"/>
    <row r="134" s="115" customFormat="1" ht="15.75" x14ac:dyDescent="0.25"/>
    <row r="135" s="115" customFormat="1" ht="15.75" x14ac:dyDescent="0.25"/>
    <row r="136" s="115" customFormat="1" ht="15.75" x14ac:dyDescent="0.25"/>
    <row r="137" s="115" customFormat="1" ht="15.75" x14ac:dyDescent="0.25"/>
    <row r="138" s="115" customFormat="1" ht="15.75" x14ac:dyDescent="0.25"/>
    <row r="139" s="115" customFormat="1" ht="15.75" x14ac:dyDescent="0.25"/>
    <row r="140" s="115" customFormat="1" ht="15.75" x14ac:dyDescent="0.25"/>
    <row r="141" s="115" customFormat="1" ht="15.75" x14ac:dyDescent="0.25"/>
    <row r="142" s="115" customFormat="1" ht="15.75" x14ac:dyDescent="0.25"/>
    <row r="143" s="115" customFormat="1" ht="15.75" x14ac:dyDescent="0.25"/>
    <row r="144" s="115" customFormat="1" ht="15.75" x14ac:dyDescent="0.25"/>
    <row r="145" spans="17:18" s="115" customFormat="1" ht="15.75" x14ac:dyDescent="0.25"/>
    <row r="146" spans="17:18" s="115" customFormat="1" ht="15.75" x14ac:dyDescent="0.25"/>
    <row r="147" spans="17:18" s="115" customFormat="1" ht="15.75" x14ac:dyDescent="0.25"/>
    <row r="148" spans="17:18" s="115" customFormat="1" ht="15.75" x14ac:dyDescent="0.25"/>
    <row r="149" spans="17:18" s="115" customFormat="1" ht="15.75" x14ac:dyDescent="0.25"/>
    <row r="150" spans="17:18" s="115" customFormat="1" ht="15.75" x14ac:dyDescent="0.25"/>
    <row r="151" spans="17:18" s="115" customFormat="1" ht="15.75" x14ac:dyDescent="0.25"/>
    <row r="152" spans="17:18" s="115" customFormat="1" ht="15.75" x14ac:dyDescent="0.25"/>
    <row r="153" spans="17:18" s="115" customFormat="1" ht="15.75" x14ac:dyDescent="0.25"/>
    <row r="154" spans="17:18" s="115" customFormat="1" ht="15.75" x14ac:dyDescent="0.25"/>
    <row r="155" spans="17:18" ht="15.75" x14ac:dyDescent="0.25">
      <c r="Q155" s="115"/>
      <c r="R155" s="115"/>
    </row>
    <row r="156" spans="17:18" ht="15.75" x14ac:dyDescent="0.25">
      <c r="Q156" s="115"/>
      <c r="R156" s="115"/>
    </row>
    <row r="157" spans="17:18" ht="15.75" x14ac:dyDescent="0.25">
      <c r="Q157" s="115"/>
      <c r="R157" s="115"/>
    </row>
    <row r="158" spans="17:18" ht="15.75" x14ac:dyDescent="0.25">
      <c r="Q158" s="115"/>
      <c r="R158" s="115"/>
    </row>
  </sheetData>
  <mergeCells count="214">
    <mergeCell ref="A79:R79"/>
    <mergeCell ref="L82:P82"/>
    <mergeCell ref="Q82:R82"/>
    <mergeCell ref="J82:K82"/>
    <mergeCell ref="A127:G127"/>
    <mergeCell ref="I128:L128"/>
    <mergeCell ref="I127:L127"/>
    <mergeCell ref="I125:L125"/>
    <mergeCell ref="N125:R125"/>
    <mergeCell ref="N128:R128"/>
    <mergeCell ref="A124:G124"/>
    <mergeCell ref="I124:L124"/>
    <mergeCell ref="B89:I89"/>
    <mergeCell ref="B90:I90"/>
    <mergeCell ref="B91:I91"/>
    <mergeCell ref="B92:I92"/>
    <mergeCell ref="B83:I83"/>
    <mergeCell ref="B84:I84"/>
    <mergeCell ref="J85:K85"/>
    <mergeCell ref="J86:K86"/>
    <mergeCell ref="J87:K87"/>
    <mergeCell ref="J88:K88"/>
    <mergeCell ref="J83:K83"/>
    <mergeCell ref="J84:K84"/>
    <mergeCell ref="Q88:R88"/>
    <mergeCell ref="Q87:R87"/>
    <mergeCell ref="Q86:R86"/>
    <mergeCell ref="Q85:R85"/>
    <mergeCell ref="Q83:R83"/>
    <mergeCell ref="Q84:R84"/>
    <mergeCell ref="B82:I82"/>
    <mergeCell ref="B85:I85"/>
    <mergeCell ref="B86:I86"/>
    <mergeCell ref="B87:I87"/>
    <mergeCell ref="B88:I88"/>
    <mergeCell ref="L85:P85"/>
    <mergeCell ref="L86:P86"/>
    <mergeCell ref="L87:P87"/>
    <mergeCell ref="L88:P88"/>
    <mergeCell ref="L83:P83"/>
    <mergeCell ref="L84:P84"/>
    <mergeCell ref="L92:P92"/>
    <mergeCell ref="L91:P91"/>
    <mergeCell ref="L90:P90"/>
    <mergeCell ref="L89:P89"/>
    <mergeCell ref="J92:K92"/>
    <mergeCell ref="J91:K91"/>
    <mergeCell ref="J90:K90"/>
    <mergeCell ref="J89:K89"/>
    <mergeCell ref="Q93:R93"/>
    <mergeCell ref="Q92:R92"/>
    <mergeCell ref="Q91:R91"/>
    <mergeCell ref="Q90:R90"/>
    <mergeCell ref="Q89:R89"/>
    <mergeCell ref="B100:I100"/>
    <mergeCell ref="J100:K100"/>
    <mergeCell ref="L100:P100"/>
    <mergeCell ref="B93:I93"/>
    <mergeCell ref="B94:I94"/>
    <mergeCell ref="B95:I95"/>
    <mergeCell ref="B96:I96"/>
    <mergeCell ref="L96:P96"/>
    <mergeCell ref="L95:P95"/>
    <mergeCell ref="L94:P94"/>
    <mergeCell ref="J96:K96"/>
    <mergeCell ref="J95:K95"/>
    <mergeCell ref="L93:P93"/>
    <mergeCell ref="J94:K94"/>
    <mergeCell ref="J93:K93"/>
    <mergeCell ref="Q97:R97"/>
    <mergeCell ref="Q96:R96"/>
    <mergeCell ref="Q95:R95"/>
    <mergeCell ref="Q94:R94"/>
    <mergeCell ref="B97:I97"/>
    <mergeCell ref="B98:I98"/>
    <mergeCell ref="B99:I99"/>
    <mergeCell ref="J97:K97"/>
    <mergeCell ref="J98:K98"/>
    <mergeCell ref="L97:P97"/>
    <mergeCell ref="L98:P98"/>
    <mergeCell ref="L99:P99"/>
    <mergeCell ref="J99:K99"/>
    <mergeCell ref="Q106:R106"/>
    <mergeCell ref="Q105:R105"/>
    <mergeCell ref="Q104:R104"/>
    <mergeCell ref="Q103:R103"/>
    <mergeCell ref="Q102:R102"/>
    <mergeCell ref="Q101:R101"/>
    <mergeCell ref="Q100:R100"/>
    <mergeCell ref="Q99:R99"/>
    <mergeCell ref="Q98:R98"/>
    <mergeCell ref="B108:I108"/>
    <mergeCell ref="J108:K108"/>
    <mergeCell ref="L108:P108"/>
    <mergeCell ref="B101:I101"/>
    <mergeCell ref="B102:I102"/>
    <mergeCell ref="B103:I103"/>
    <mergeCell ref="B104:I104"/>
    <mergeCell ref="J104:K104"/>
    <mergeCell ref="J103:K103"/>
    <mergeCell ref="J102:K102"/>
    <mergeCell ref="J101:K101"/>
    <mergeCell ref="L104:P104"/>
    <mergeCell ref="L103:P103"/>
    <mergeCell ref="L102:P102"/>
    <mergeCell ref="L101:P101"/>
    <mergeCell ref="B105:I105"/>
    <mergeCell ref="B106:I106"/>
    <mergeCell ref="B107:I107"/>
    <mergeCell ref="J105:K105"/>
    <mergeCell ref="J106:K106"/>
    <mergeCell ref="L105:P105"/>
    <mergeCell ref="L106:P106"/>
    <mergeCell ref="J107:K107"/>
    <mergeCell ref="L107:P107"/>
    <mergeCell ref="B109:I109"/>
    <mergeCell ref="B110:I110"/>
    <mergeCell ref="B111:I111"/>
    <mergeCell ref="B112:I112"/>
    <mergeCell ref="J112:K112"/>
    <mergeCell ref="J111:K111"/>
    <mergeCell ref="J110:K110"/>
    <mergeCell ref="J109:K109"/>
    <mergeCell ref="L112:P112"/>
    <mergeCell ref="L111:P111"/>
    <mergeCell ref="L110:P110"/>
    <mergeCell ref="L109:P109"/>
    <mergeCell ref="B117:I117"/>
    <mergeCell ref="B118:I118"/>
    <mergeCell ref="B119:I119"/>
    <mergeCell ref="N122:R122"/>
    <mergeCell ref="I121:L121"/>
    <mergeCell ref="A121:G121"/>
    <mergeCell ref="I122:L122"/>
    <mergeCell ref="B113:I113"/>
    <mergeCell ref="B114:I114"/>
    <mergeCell ref="B115:I115"/>
    <mergeCell ref="J113:K113"/>
    <mergeCell ref="J114:K114"/>
    <mergeCell ref="B116:I116"/>
    <mergeCell ref="J115:K115"/>
    <mergeCell ref="J116:K116"/>
    <mergeCell ref="L113:P113"/>
    <mergeCell ref="L114:P114"/>
    <mergeCell ref="L115:P115"/>
    <mergeCell ref="L116:P116"/>
    <mergeCell ref="Q110:R110"/>
    <mergeCell ref="Q109:R109"/>
    <mergeCell ref="Q108:R108"/>
    <mergeCell ref="Q107:R107"/>
    <mergeCell ref="L117:P117"/>
    <mergeCell ref="L118:P118"/>
    <mergeCell ref="L119:P119"/>
    <mergeCell ref="J117:K117"/>
    <mergeCell ref="J118:K118"/>
    <mergeCell ref="J119:K119"/>
    <mergeCell ref="Q119:R119"/>
    <mergeCell ref="Q118:R118"/>
    <mergeCell ref="Q117:R117"/>
    <mergeCell ref="Q116:R116"/>
    <mergeCell ref="Q115:R115"/>
    <mergeCell ref="Q114:R114"/>
    <mergeCell ref="Q113:R113"/>
    <mergeCell ref="Q112:R112"/>
    <mergeCell ref="Q111:R111"/>
    <mergeCell ref="J55:R74"/>
    <mergeCell ref="A49:R49"/>
    <mergeCell ref="M46:N46"/>
    <mergeCell ref="Q45:R45"/>
    <mergeCell ref="I45:J45"/>
    <mergeCell ref="E41:R41"/>
    <mergeCell ref="I43:J43"/>
    <mergeCell ref="G43:H43"/>
    <mergeCell ref="Q43:R43"/>
    <mergeCell ref="D41:D42"/>
    <mergeCell ref="A41:C42"/>
    <mergeCell ref="Q42:R42"/>
    <mergeCell ref="E42:F42"/>
    <mergeCell ref="G42:H42"/>
    <mergeCell ref="I42:J42"/>
    <mergeCell ref="K42:L42"/>
    <mergeCell ref="M42:N42"/>
    <mergeCell ref="O42:P42"/>
    <mergeCell ref="A45:C45"/>
    <mergeCell ref="E45:F45"/>
    <mergeCell ref="G45:H45"/>
    <mergeCell ref="K45:L45"/>
    <mergeCell ref="M45:N45"/>
    <mergeCell ref="O45:P45"/>
    <mergeCell ref="B50:O50"/>
    <mergeCell ref="A53:A54"/>
    <mergeCell ref="B53:I54"/>
    <mergeCell ref="J53:R54"/>
    <mergeCell ref="A8:R8"/>
    <mergeCell ref="A10:R10"/>
    <mergeCell ref="A12:R12"/>
    <mergeCell ref="A11:Q11"/>
    <mergeCell ref="B13:E13"/>
    <mergeCell ref="F13:P13"/>
    <mergeCell ref="A15:Q15"/>
    <mergeCell ref="A17:Q17"/>
    <mergeCell ref="A44:C44"/>
    <mergeCell ref="Q44:R44"/>
    <mergeCell ref="O44:P44"/>
    <mergeCell ref="M44:N44"/>
    <mergeCell ref="K44:L44"/>
    <mergeCell ref="I44:J44"/>
    <mergeCell ref="G44:H44"/>
    <mergeCell ref="E44:F44"/>
    <mergeCell ref="A43:C43"/>
    <mergeCell ref="K43:L43"/>
    <mergeCell ref="M43:N43"/>
    <mergeCell ref="O43:P43"/>
    <mergeCell ref="E43:F43"/>
  </mergeCells>
  <pageMargins left="0.59055113792419434" right="0.31496062874794006" top="0.31496062874794006" bottom="0.5118110179901123" header="0" footer="0.19685038924217224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0"/>
  <sheetViews>
    <sheetView workbookViewId="0"/>
  </sheetViews>
  <sheetFormatPr defaultColWidth="9.140625" defaultRowHeight="15" x14ac:dyDescent="0.25"/>
  <cols>
    <col min="8" max="8" width="12" style="822" customWidth="1"/>
    <col min="9" max="9" width="9.140625" style="823" bestFit="1" customWidth="1"/>
  </cols>
  <sheetData>
    <row r="1" spans="1:11" ht="18.75" customHeight="1" x14ac:dyDescent="0.3">
      <c r="A1" s="824" t="s">
        <v>917</v>
      </c>
      <c r="C1" s="825"/>
      <c r="D1" s="826"/>
      <c r="E1" s="826"/>
      <c r="F1" s="826"/>
      <c r="G1" s="826"/>
      <c r="H1" s="827">
        <f ca="1">YEAR(TODAY())-18</f>
        <v>2007</v>
      </c>
      <c r="I1" s="828" t="s">
        <v>918</v>
      </c>
      <c r="J1" s="826"/>
      <c r="K1" s="829" t="s">
        <v>919</v>
      </c>
    </row>
    <row r="2" spans="1:11" ht="15.75" customHeight="1" x14ac:dyDescent="0.25">
      <c r="A2" s="830" t="s">
        <v>920</v>
      </c>
      <c r="C2" s="825"/>
      <c r="D2" s="826"/>
      <c r="E2" s="826"/>
      <c r="F2" s="826"/>
      <c r="G2" s="826"/>
      <c r="H2" s="831"/>
      <c r="I2" s="832"/>
      <c r="J2" s="826"/>
      <c r="K2" s="829" t="s">
        <v>921</v>
      </c>
    </row>
    <row r="3" spans="1:11" ht="15" customHeight="1" x14ac:dyDescent="0.25">
      <c r="A3" s="833" t="s">
        <v>922</v>
      </c>
      <c r="C3" s="730"/>
      <c r="D3" s="833"/>
      <c r="E3" s="833"/>
      <c r="F3" s="833"/>
      <c r="G3" s="833"/>
      <c r="H3" s="834"/>
      <c r="I3" s="835"/>
      <c r="J3" s="833"/>
      <c r="K3" s="829" t="s">
        <v>923</v>
      </c>
    </row>
    <row r="4" spans="1:11" ht="14.25" customHeight="1" x14ac:dyDescent="0.25">
      <c r="A4" s="169"/>
      <c r="C4" s="48" t="s">
        <v>298</v>
      </c>
      <c r="D4" s="170"/>
      <c r="E4" s="170"/>
      <c r="F4" s="171"/>
      <c r="G4" s="171"/>
      <c r="H4" s="836"/>
      <c r="I4" s="837"/>
      <c r="J4" s="170"/>
      <c r="K4" s="829" t="s">
        <v>924</v>
      </c>
    </row>
    <row r="5" spans="1:11" ht="15" customHeight="1" x14ac:dyDescent="0.25">
      <c r="A5" s="175"/>
      <c r="C5" s="177"/>
      <c r="D5" s="84"/>
      <c r="E5" s="84"/>
      <c r="F5" s="178"/>
      <c r="G5" s="178"/>
      <c r="H5" s="838" t="str">
        <f>$K$1</f>
        <v>Рекорд края</v>
      </c>
      <c r="I5" s="837">
        <f>Рекорды!D5</f>
        <v>17.940000000000001</v>
      </c>
    </row>
    <row r="6" spans="1:11" ht="15" customHeight="1" x14ac:dyDescent="0.25">
      <c r="A6" s="175"/>
      <c r="C6" s="177"/>
      <c r="D6" s="84"/>
      <c r="E6" s="84"/>
      <c r="F6" s="178"/>
      <c r="G6" s="178"/>
      <c r="H6" s="838" t="str">
        <f>$K$2</f>
        <v>Рекорд края 16-17 лет</v>
      </c>
      <c r="I6" s="837">
        <f>Рекорды!B5</f>
        <v>18.920000000000002</v>
      </c>
    </row>
    <row r="7" spans="1:11" ht="15" customHeight="1" x14ac:dyDescent="0.25">
      <c r="A7" s="175"/>
      <c r="C7" s="177"/>
      <c r="D7" s="84"/>
      <c r="E7" s="84"/>
      <c r="F7" s="178"/>
      <c r="G7" s="178"/>
      <c r="H7" s="838" t="str">
        <f>$K$3</f>
        <v>Рекорд края 14-15 лет</v>
      </c>
      <c r="I7" s="837">
        <f>Рекорды!D73</f>
        <v>19.11</v>
      </c>
    </row>
    <row r="8" spans="1:11" ht="15" customHeight="1" x14ac:dyDescent="0.25">
      <c r="A8" s="175"/>
      <c r="C8" s="177"/>
      <c r="D8" s="84"/>
      <c r="E8" s="84"/>
      <c r="F8" s="178"/>
      <c r="G8" s="178"/>
      <c r="H8" s="838" t="str">
        <f>$K$4</f>
        <v>Рекорд края 13 лет и младше</v>
      </c>
      <c r="I8" s="837">
        <f>Рекорды!B73</f>
        <v>19.850000000000001</v>
      </c>
    </row>
    <row r="9" spans="1:11" ht="12.75" customHeight="1" x14ac:dyDescent="0.25">
      <c r="A9" s="224"/>
      <c r="C9" s="224"/>
      <c r="D9" s="224"/>
      <c r="E9" s="224"/>
      <c r="F9" s="224"/>
      <c r="G9" s="224"/>
      <c r="H9" s="839"/>
      <c r="I9" s="840"/>
      <c r="J9" s="178"/>
    </row>
    <row r="10" spans="1:11" ht="14.25" customHeight="1" x14ac:dyDescent="0.25">
      <c r="A10" s="169"/>
      <c r="C10" s="48" t="s">
        <v>378</v>
      </c>
      <c r="D10" s="170"/>
      <c r="E10" s="170"/>
      <c r="F10" s="171"/>
      <c r="G10" s="171"/>
      <c r="H10" s="836"/>
      <c r="I10" s="835"/>
      <c r="J10" s="833"/>
    </row>
    <row r="11" spans="1:11" ht="15" customHeight="1" x14ac:dyDescent="0.25">
      <c r="A11" s="175"/>
      <c r="C11" s="177"/>
      <c r="D11" s="84"/>
      <c r="E11" s="84"/>
      <c r="F11" s="178"/>
      <c r="G11" s="178"/>
      <c r="H11" s="838" t="str">
        <f>$K$1</f>
        <v>Рекорд края</v>
      </c>
      <c r="I11" s="837">
        <f>Рекорды!E5</f>
        <v>15.92</v>
      </c>
      <c r="J11" s="833"/>
    </row>
    <row r="12" spans="1:11" ht="15" customHeight="1" x14ac:dyDescent="0.25">
      <c r="A12" s="175"/>
      <c r="C12" s="177"/>
      <c r="D12" s="84"/>
      <c r="E12" s="84"/>
      <c r="F12" s="178"/>
      <c r="G12" s="178"/>
      <c r="H12" s="838" t="str">
        <f>$K$2</f>
        <v>Рекорд края 16-17 лет</v>
      </c>
      <c r="I12" s="837">
        <f>Рекорды!C5</f>
        <v>15.92</v>
      </c>
      <c r="J12" s="178"/>
    </row>
    <row r="13" spans="1:11" ht="15" customHeight="1" x14ac:dyDescent="0.25">
      <c r="A13" s="175"/>
      <c r="C13" s="177"/>
      <c r="D13" s="84"/>
      <c r="E13" s="84"/>
      <c r="F13" s="178"/>
      <c r="G13" s="178"/>
      <c r="H13" s="838" t="str">
        <f>$K$3</f>
        <v>Рекорд края 14-15 лет</v>
      </c>
      <c r="I13" s="837">
        <f>Рекорды!E73</f>
        <v>17.5</v>
      </c>
      <c r="J13" s="178"/>
    </row>
    <row r="14" spans="1:11" ht="15" customHeight="1" x14ac:dyDescent="0.25">
      <c r="A14" s="175"/>
      <c r="C14" s="177"/>
      <c r="D14" s="84"/>
      <c r="E14" s="84"/>
      <c r="F14" s="178"/>
      <c r="G14" s="178"/>
      <c r="H14" s="838" t="str">
        <f>$K$4</f>
        <v>Рекорд края 13 лет и младше</v>
      </c>
      <c r="I14" s="837">
        <f>Рекорды!C73</f>
        <v>17.7</v>
      </c>
      <c r="J14" s="178"/>
    </row>
    <row r="15" spans="1:11" ht="15" customHeight="1" x14ac:dyDescent="0.25">
      <c r="A15" s="175"/>
      <c r="C15" s="177"/>
      <c r="D15" s="84"/>
      <c r="E15" s="84"/>
      <c r="F15" s="178"/>
      <c r="G15" s="178"/>
      <c r="H15" s="839"/>
      <c r="I15" s="837"/>
      <c r="J15" s="833"/>
    </row>
    <row r="16" spans="1:11" ht="14.25" customHeight="1" x14ac:dyDescent="0.25">
      <c r="A16" s="833"/>
      <c r="C16" s="48" t="s">
        <v>379</v>
      </c>
      <c r="D16" s="833"/>
      <c r="E16" s="833"/>
      <c r="F16" s="833"/>
      <c r="G16" s="833"/>
      <c r="H16" s="836"/>
      <c r="I16" s="835"/>
      <c r="J16" s="833"/>
    </row>
    <row r="17" spans="1:10" ht="15" customHeight="1" x14ac:dyDescent="0.25">
      <c r="A17" s="833"/>
      <c r="C17" s="730"/>
      <c r="D17" s="833"/>
      <c r="E17" s="833"/>
      <c r="F17" s="833"/>
      <c r="G17" s="833"/>
      <c r="H17" s="838" t="str">
        <f>$K$1</f>
        <v>Рекорд края</v>
      </c>
      <c r="I17" s="837">
        <f>Рекорды!D41</f>
        <v>21.46</v>
      </c>
    </row>
    <row r="18" spans="1:10" ht="15" customHeight="1" x14ac:dyDescent="0.25">
      <c r="A18" s="175"/>
      <c r="C18" s="177"/>
      <c r="D18" s="84"/>
      <c r="E18" s="84"/>
      <c r="F18" s="178"/>
      <c r="G18" s="178"/>
      <c r="H18" s="838" t="str">
        <f>$K$2</f>
        <v>Рекорд края 16-17 лет</v>
      </c>
      <c r="I18" s="837">
        <f>Рекорды!B41</f>
        <v>21.92</v>
      </c>
    </row>
    <row r="19" spans="1:10" ht="15" customHeight="1" x14ac:dyDescent="0.25">
      <c r="A19" s="175"/>
      <c r="C19" s="177"/>
      <c r="D19" s="84"/>
      <c r="E19" s="84"/>
      <c r="F19" s="178"/>
      <c r="G19" s="178"/>
      <c r="H19" s="838" t="str">
        <f>$K$3</f>
        <v>Рекорд края 14-15 лет</v>
      </c>
      <c r="I19" s="837">
        <f>Рекорды!D109</f>
        <v>23</v>
      </c>
    </row>
    <row r="20" spans="1:10" ht="15" customHeight="1" x14ac:dyDescent="0.25">
      <c r="A20" s="175"/>
      <c r="C20" s="177"/>
      <c r="D20" s="84"/>
      <c r="E20" s="84"/>
      <c r="F20" s="178"/>
      <c r="G20" s="178"/>
      <c r="H20" s="838" t="str">
        <f>$K$4</f>
        <v>Рекорд края 13 лет и младше</v>
      </c>
      <c r="I20" s="837">
        <f>Рекорды!B109</f>
        <v>23.8</v>
      </c>
    </row>
    <row r="21" spans="1:10" ht="15" customHeight="1" x14ac:dyDescent="0.25">
      <c r="A21" s="833"/>
      <c r="C21" s="730"/>
      <c r="D21" s="833"/>
      <c r="E21" s="833"/>
      <c r="F21" s="833"/>
      <c r="G21" s="833"/>
      <c r="H21" s="839"/>
      <c r="I21" s="837"/>
      <c r="J21" s="833"/>
    </row>
    <row r="22" spans="1:10" ht="14.25" customHeight="1" x14ac:dyDescent="0.25">
      <c r="A22" s="833"/>
      <c r="C22" s="48" t="s">
        <v>380</v>
      </c>
      <c r="D22" s="833"/>
      <c r="E22" s="833"/>
      <c r="F22" s="833"/>
      <c r="G22" s="833"/>
      <c r="H22" s="836"/>
      <c r="I22" s="837"/>
      <c r="J22" s="833"/>
    </row>
    <row r="23" spans="1:10" ht="15" customHeight="1" x14ac:dyDescent="0.25">
      <c r="A23" s="833"/>
      <c r="C23" s="730"/>
      <c r="D23" s="833"/>
      <c r="E23" s="833"/>
      <c r="F23" s="833"/>
      <c r="G23" s="833"/>
      <c r="H23" s="838" t="str">
        <f>$K$1</f>
        <v>Рекорд края</v>
      </c>
      <c r="I23" s="837">
        <f>Рекорды!E41</f>
        <v>18.77</v>
      </c>
      <c r="J23" s="833"/>
    </row>
    <row r="24" spans="1:10" ht="15" customHeight="1" x14ac:dyDescent="0.25">
      <c r="A24" s="175"/>
      <c r="C24" s="177"/>
      <c r="D24" s="84"/>
      <c r="E24" s="84"/>
      <c r="F24" s="178"/>
      <c r="G24" s="178"/>
      <c r="H24" s="838" t="str">
        <f>$K$2</f>
        <v>Рекорд края 16-17 лет</v>
      </c>
      <c r="I24" s="837">
        <f>Рекорды!C41</f>
        <v>20.02</v>
      </c>
    </row>
    <row r="25" spans="1:10" ht="15" customHeight="1" x14ac:dyDescent="0.25">
      <c r="A25" s="175"/>
      <c r="C25" s="177"/>
      <c r="D25" s="84"/>
      <c r="E25" s="84"/>
      <c r="F25" s="178"/>
      <c r="G25" s="178"/>
      <c r="H25" s="838" t="str">
        <f>$K$3</f>
        <v>Рекорд края 14-15 лет</v>
      </c>
      <c r="I25" s="837">
        <f>Рекорды!E109</f>
        <v>20.79</v>
      </c>
    </row>
    <row r="26" spans="1:10" ht="15" customHeight="1" x14ac:dyDescent="0.25">
      <c r="A26" s="175"/>
      <c r="C26" s="177"/>
      <c r="D26" s="84"/>
      <c r="E26" s="84"/>
      <c r="F26" s="178"/>
      <c r="G26" s="178"/>
      <c r="H26" s="838" t="str">
        <f>$K$4</f>
        <v>Рекорд края 13 лет и младше</v>
      </c>
      <c r="I26" s="837">
        <f>Рекорды!C109</f>
        <v>22</v>
      </c>
    </row>
    <row r="27" spans="1:10" ht="15" customHeight="1" x14ac:dyDescent="0.25">
      <c r="A27" s="833"/>
      <c r="C27" s="730"/>
      <c r="D27" s="833"/>
      <c r="E27" s="833"/>
      <c r="F27" s="833"/>
      <c r="G27" s="833"/>
      <c r="H27" s="839"/>
      <c r="I27" s="835"/>
      <c r="J27" s="833"/>
    </row>
    <row r="28" spans="1:10" ht="14.25" customHeight="1" x14ac:dyDescent="0.25">
      <c r="A28" s="169"/>
      <c r="C28" s="48" t="s">
        <v>381</v>
      </c>
      <c r="D28" s="170"/>
      <c r="E28" s="170"/>
      <c r="F28" s="171"/>
      <c r="G28" s="171"/>
      <c r="H28" s="836"/>
      <c r="I28" s="837"/>
      <c r="J28" s="171"/>
    </row>
    <row r="29" spans="1:10" ht="15" customHeight="1" x14ac:dyDescent="0.25">
      <c r="A29" s="175"/>
      <c r="C29" s="177"/>
      <c r="D29" s="84"/>
      <c r="E29" s="84"/>
      <c r="F29" s="178"/>
      <c r="G29" s="178"/>
      <c r="H29" s="838" t="str">
        <f>$K$1</f>
        <v>Рекорд края</v>
      </c>
      <c r="I29" s="837">
        <f>Рекорды!D8</f>
        <v>39.200000000000003</v>
      </c>
    </row>
    <row r="30" spans="1:10" ht="15" customHeight="1" x14ac:dyDescent="0.25">
      <c r="A30" s="175"/>
      <c r="C30" s="177"/>
      <c r="D30" s="84"/>
      <c r="E30" s="84"/>
      <c r="F30" s="178"/>
      <c r="G30" s="178"/>
      <c r="H30" s="838" t="str">
        <f>$K$2</f>
        <v>Рекорд края 16-17 лет</v>
      </c>
      <c r="I30" s="837">
        <f>Рекорды!B8</f>
        <v>41.2</v>
      </c>
    </row>
    <row r="31" spans="1:10" ht="15" customHeight="1" x14ac:dyDescent="0.25">
      <c r="A31" s="175"/>
      <c r="C31" s="177"/>
      <c r="D31" s="84"/>
      <c r="E31" s="84"/>
      <c r="F31" s="178"/>
      <c r="G31" s="178"/>
      <c r="H31" s="838" t="str">
        <f>$K$3</f>
        <v>Рекорд края 14-15 лет</v>
      </c>
      <c r="I31" s="837">
        <f>Рекорды!D76</f>
        <v>41.48</v>
      </c>
    </row>
    <row r="32" spans="1:10" ht="15" customHeight="1" x14ac:dyDescent="0.25">
      <c r="A32" s="175"/>
      <c r="C32" s="177"/>
      <c r="D32" s="84"/>
      <c r="E32" s="84"/>
      <c r="F32" s="178"/>
      <c r="G32" s="178"/>
      <c r="H32" s="838" t="str">
        <f>$K$4</f>
        <v>Рекорд края 13 лет и младше</v>
      </c>
      <c r="I32" s="837">
        <f>Рекорды!B76</f>
        <v>43.88</v>
      </c>
    </row>
    <row r="33" spans="1:10" ht="15" customHeight="1" x14ac:dyDescent="0.25">
      <c r="A33" s="175"/>
      <c r="C33" s="177"/>
      <c r="D33" s="84"/>
      <c r="E33" s="84"/>
      <c r="F33" s="178"/>
      <c r="G33" s="178"/>
      <c r="H33" s="839"/>
      <c r="I33" s="837"/>
      <c r="J33" s="84"/>
    </row>
    <row r="34" spans="1:10" ht="14.25" customHeight="1" x14ac:dyDescent="0.25">
      <c r="A34" s="169"/>
      <c r="C34" s="48" t="s">
        <v>382</v>
      </c>
      <c r="D34" s="170"/>
      <c r="E34" s="170"/>
      <c r="F34" s="171"/>
      <c r="G34" s="171"/>
      <c r="H34" s="836"/>
      <c r="I34" s="837"/>
      <c r="J34" s="833"/>
    </row>
    <row r="35" spans="1:10" ht="15" customHeight="1" x14ac:dyDescent="0.25">
      <c r="A35" s="175"/>
      <c r="C35" s="177"/>
      <c r="D35" s="84"/>
      <c r="E35" s="84"/>
      <c r="F35" s="178"/>
      <c r="G35" s="178"/>
      <c r="H35" s="838" t="str">
        <f>$K$1</f>
        <v>Рекорд края</v>
      </c>
      <c r="I35" s="837">
        <f>Рекорды!E8</f>
        <v>35.56</v>
      </c>
      <c r="J35" s="833"/>
    </row>
    <row r="36" spans="1:10" ht="15" customHeight="1" x14ac:dyDescent="0.25">
      <c r="A36" s="175"/>
      <c r="C36" s="177"/>
      <c r="D36" s="84"/>
      <c r="E36" s="84"/>
      <c r="F36" s="178"/>
      <c r="G36" s="178"/>
      <c r="H36" s="838" t="str">
        <f>$K$2</f>
        <v>Рекорд края 16-17 лет</v>
      </c>
      <c r="I36" s="837">
        <f>Рекорды!C8</f>
        <v>36.24</v>
      </c>
      <c r="J36" s="178"/>
    </row>
    <row r="37" spans="1:10" ht="15" customHeight="1" x14ac:dyDescent="0.25">
      <c r="A37" s="175"/>
      <c r="C37" s="177"/>
      <c r="D37" s="84"/>
      <c r="E37" s="84"/>
      <c r="F37" s="178"/>
      <c r="G37" s="178"/>
      <c r="H37" s="838" t="str">
        <f>$K$3</f>
        <v>Рекорд края 14-15 лет</v>
      </c>
      <c r="I37" s="837">
        <f>Рекорды!E76</f>
        <v>37.69</v>
      </c>
      <c r="J37" s="178"/>
    </row>
    <row r="38" spans="1:10" ht="15" customHeight="1" x14ac:dyDescent="0.25">
      <c r="A38" s="175"/>
      <c r="C38" s="177"/>
      <c r="D38" s="84"/>
      <c r="E38" s="84"/>
      <c r="F38" s="178"/>
      <c r="G38" s="178"/>
      <c r="H38" s="838" t="str">
        <f>$K$4</f>
        <v>Рекорд края 13 лет и младше</v>
      </c>
      <c r="I38" s="837">
        <f>Рекорды!C76</f>
        <v>40.549999999999997</v>
      </c>
      <c r="J38" s="178"/>
    </row>
    <row r="39" spans="1:10" ht="15" customHeight="1" x14ac:dyDescent="0.25">
      <c r="A39" s="833"/>
      <c r="C39" s="730"/>
      <c r="D39" s="833"/>
      <c r="E39" s="833"/>
      <c r="F39" s="833"/>
      <c r="G39" s="833"/>
      <c r="H39" s="839"/>
      <c r="I39" s="835"/>
      <c r="J39" s="833"/>
    </row>
    <row r="40" spans="1:10" ht="14.25" customHeight="1" x14ac:dyDescent="0.25">
      <c r="A40" s="833"/>
      <c r="C40" s="48" t="s">
        <v>383</v>
      </c>
      <c r="D40" s="833"/>
      <c r="E40" s="833"/>
      <c r="F40" s="833"/>
      <c r="G40" s="833"/>
      <c r="H40" s="836"/>
      <c r="I40" s="835"/>
      <c r="J40" s="833"/>
    </row>
    <row r="41" spans="1:10" ht="15" customHeight="1" x14ac:dyDescent="0.25">
      <c r="A41" s="175"/>
      <c r="C41" s="177"/>
      <c r="D41" s="84"/>
      <c r="E41" s="84"/>
      <c r="F41" s="178"/>
      <c r="G41" s="178"/>
      <c r="H41" s="838" t="str">
        <f>$K$1</f>
        <v>Рекорд края</v>
      </c>
      <c r="I41" s="837">
        <f>Рекорды!D44</f>
        <v>47.58</v>
      </c>
    </row>
    <row r="42" spans="1:10" ht="15" customHeight="1" x14ac:dyDescent="0.25">
      <c r="A42" s="175"/>
      <c r="C42" s="177"/>
      <c r="D42" s="84"/>
      <c r="E42" s="84"/>
      <c r="F42" s="178"/>
      <c r="G42" s="178"/>
      <c r="H42" s="838" t="str">
        <f>$K$2</f>
        <v>Рекорд края 16-17 лет</v>
      </c>
      <c r="I42" s="837">
        <f>Рекорды!B44</f>
        <v>47.91</v>
      </c>
    </row>
    <row r="43" spans="1:10" ht="15" customHeight="1" x14ac:dyDescent="0.25">
      <c r="A43" s="175"/>
      <c r="C43" s="177"/>
      <c r="D43" s="84"/>
      <c r="E43" s="84"/>
      <c r="F43" s="178"/>
      <c r="G43" s="178"/>
      <c r="H43" s="838" t="str">
        <f>$K$3</f>
        <v>Рекорд края 14-15 лет</v>
      </c>
      <c r="I43" s="837">
        <f>Рекорды!D112</f>
        <v>50.68</v>
      </c>
    </row>
    <row r="44" spans="1:10" ht="15.75" customHeight="1" x14ac:dyDescent="0.25">
      <c r="A44" s="833"/>
      <c r="C44" s="730"/>
      <c r="D44" s="833"/>
      <c r="E44" s="833"/>
      <c r="F44" s="833"/>
      <c r="G44" s="833"/>
      <c r="H44" s="838" t="str">
        <f>$K$4</f>
        <v>Рекорд края 13 лет и младше</v>
      </c>
      <c r="I44" s="837">
        <f>Рекорды!B112</f>
        <v>53.01</v>
      </c>
    </row>
    <row r="45" spans="1:10" ht="15.75" customHeight="1" x14ac:dyDescent="0.25">
      <c r="A45" s="833"/>
      <c r="C45" s="730"/>
      <c r="D45" s="833"/>
      <c r="E45" s="833"/>
      <c r="F45" s="833"/>
      <c r="G45" s="833"/>
      <c r="H45" s="839"/>
      <c r="I45" s="837"/>
      <c r="J45" s="833"/>
    </row>
    <row r="46" spans="1:10" ht="14.25" customHeight="1" x14ac:dyDescent="0.25">
      <c r="A46" s="833"/>
      <c r="C46" s="48" t="s">
        <v>384</v>
      </c>
      <c r="D46" s="833"/>
      <c r="E46" s="833"/>
      <c r="F46" s="833"/>
      <c r="G46" s="833"/>
      <c r="H46" s="836"/>
      <c r="I46" s="837"/>
      <c r="J46" s="833"/>
    </row>
    <row r="47" spans="1:10" ht="15" customHeight="1" x14ac:dyDescent="0.25">
      <c r="A47" s="833"/>
      <c r="C47" s="730"/>
      <c r="D47" s="833"/>
      <c r="E47" s="833"/>
      <c r="F47" s="833"/>
      <c r="G47" s="833"/>
      <c r="H47" s="838" t="str">
        <f>$K$1</f>
        <v>Рекорд края</v>
      </c>
      <c r="I47" s="837">
        <f>Рекорды!E44</f>
        <v>42.7</v>
      </c>
      <c r="J47" s="833"/>
    </row>
    <row r="48" spans="1:10" ht="15" customHeight="1" x14ac:dyDescent="0.25">
      <c r="A48" s="175"/>
      <c r="C48" s="177"/>
      <c r="D48" s="84"/>
      <c r="E48" s="84"/>
      <c r="F48" s="178"/>
      <c r="G48" s="178"/>
      <c r="H48" s="838" t="str">
        <f>$K$2</f>
        <v>Рекорд края 16-17 лет</v>
      </c>
      <c r="I48" s="837">
        <f>Рекорды!C44</f>
        <v>43.77</v>
      </c>
    </row>
    <row r="49" spans="1:10" ht="15" customHeight="1" x14ac:dyDescent="0.25">
      <c r="A49" s="175"/>
      <c r="C49" s="177"/>
      <c r="D49" s="84"/>
      <c r="E49" s="84"/>
      <c r="F49" s="178"/>
      <c r="G49" s="178"/>
      <c r="H49" s="838" t="str">
        <f>$K$3</f>
        <v>Рекорд края 14-15 лет</v>
      </c>
      <c r="I49" s="837">
        <f>Рекорды!E112</f>
        <v>45.9</v>
      </c>
    </row>
    <row r="50" spans="1:10" ht="15" customHeight="1" x14ac:dyDescent="0.25">
      <c r="A50" s="175"/>
      <c r="C50" s="177"/>
      <c r="D50" s="84"/>
      <c r="E50" s="84"/>
      <c r="F50" s="178"/>
      <c r="G50" s="178"/>
      <c r="H50" s="838" t="str">
        <f>$K$4</f>
        <v>Рекорд края 13 лет и младше</v>
      </c>
      <c r="I50" s="837">
        <f>Рекорды!C112</f>
        <v>48.95</v>
      </c>
    </row>
    <row r="51" spans="1:10" ht="15" customHeight="1" x14ac:dyDescent="0.25">
      <c r="A51" s="833"/>
      <c r="C51" s="730"/>
      <c r="D51" s="833"/>
      <c r="E51" s="833"/>
      <c r="F51" s="833"/>
      <c r="G51" s="833"/>
      <c r="H51" s="839"/>
      <c r="I51" s="835"/>
      <c r="J51" s="833"/>
    </row>
    <row r="52" spans="1:10" ht="14.25" customHeight="1" x14ac:dyDescent="0.25">
      <c r="A52" s="169"/>
      <c r="C52" s="48" t="s">
        <v>385</v>
      </c>
      <c r="D52" s="170"/>
      <c r="E52" s="170"/>
      <c r="F52" s="171"/>
      <c r="G52" s="171"/>
      <c r="H52" s="836"/>
      <c r="I52" s="837"/>
      <c r="J52" s="171"/>
    </row>
    <row r="53" spans="1:10" ht="15" customHeight="1" x14ac:dyDescent="0.25">
      <c r="A53" s="175"/>
      <c r="C53" s="177"/>
      <c r="D53" s="84"/>
      <c r="E53" s="84"/>
      <c r="F53" s="178"/>
      <c r="G53" s="178"/>
      <c r="H53" s="838" t="str">
        <f>$K$1</f>
        <v>Рекорд края</v>
      </c>
      <c r="I53" s="837">
        <f>Рекорды!D11</f>
        <v>128.51</v>
      </c>
    </row>
    <row r="54" spans="1:10" ht="15" customHeight="1" x14ac:dyDescent="0.25">
      <c r="A54" s="175"/>
      <c r="C54" s="177"/>
      <c r="D54" s="84"/>
      <c r="E54" s="84"/>
      <c r="F54" s="178"/>
      <c r="G54" s="178"/>
      <c r="H54" s="838" t="str">
        <f>$K$2</f>
        <v>Рекорд края 16-17 лет</v>
      </c>
      <c r="I54" s="837">
        <f>Рекорды!B11</f>
        <v>132.52000000000001</v>
      </c>
    </row>
    <row r="55" spans="1:10" ht="15" customHeight="1" x14ac:dyDescent="0.25">
      <c r="A55" s="175"/>
      <c r="C55" s="177"/>
      <c r="D55" s="84"/>
      <c r="E55" s="84"/>
      <c r="F55" s="178"/>
      <c r="G55" s="178"/>
      <c r="H55" s="838" t="str">
        <f>$K$3</f>
        <v>Рекорд края 14-15 лет</v>
      </c>
      <c r="I55" s="837">
        <f>Рекорды!D79</f>
        <v>137.02000000000001</v>
      </c>
    </row>
    <row r="56" spans="1:10" ht="15" customHeight="1" x14ac:dyDescent="0.25">
      <c r="A56" s="175"/>
      <c r="C56" s="177"/>
      <c r="D56" s="84"/>
      <c r="E56" s="84"/>
      <c r="F56" s="178"/>
      <c r="G56" s="178"/>
      <c r="H56" s="838" t="str">
        <f>$K$4</f>
        <v>Рекорд края 13 лет и младше</v>
      </c>
      <c r="I56" s="837">
        <f>Рекорды!B79</f>
        <v>139.87</v>
      </c>
    </row>
    <row r="57" spans="1:10" ht="15" customHeight="1" x14ac:dyDescent="0.25">
      <c r="A57" s="833"/>
      <c r="C57" s="730"/>
      <c r="D57" s="833"/>
      <c r="E57" s="833"/>
      <c r="F57" s="833"/>
      <c r="G57" s="833"/>
      <c r="H57" s="839"/>
      <c r="I57" s="835"/>
      <c r="J57" s="833"/>
    </row>
    <row r="58" spans="1:10" ht="14.25" customHeight="1" x14ac:dyDescent="0.25">
      <c r="A58" s="169"/>
      <c r="C58" s="48" t="s">
        <v>386</v>
      </c>
      <c r="D58" s="170"/>
      <c r="E58" s="170"/>
      <c r="F58" s="171"/>
      <c r="G58" s="171"/>
      <c r="H58" s="836"/>
      <c r="I58" s="837"/>
      <c r="J58" s="833"/>
    </row>
    <row r="59" spans="1:10" ht="15" customHeight="1" x14ac:dyDescent="0.25">
      <c r="A59" s="175"/>
      <c r="C59" s="177"/>
      <c r="D59" s="84"/>
      <c r="E59" s="84"/>
      <c r="F59" s="178"/>
      <c r="G59" s="178"/>
      <c r="H59" s="838" t="str">
        <f>$K$1</f>
        <v>Рекорд края</v>
      </c>
      <c r="I59" s="837">
        <f>Рекорды!E11</f>
        <v>121.33</v>
      </c>
      <c r="J59" s="833"/>
    </row>
    <row r="60" spans="1:10" ht="15" customHeight="1" x14ac:dyDescent="0.25">
      <c r="A60" s="175"/>
      <c r="C60" s="177"/>
      <c r="D60" s="84"/>
      <c r="E60" s="84"/>
      <c r="F60" s="178"/>
      <c r="G60" s="178"/>
      <c r="H60" s="838" t="str">
        <f>$K$2</f>
        <v>Рекорд края 16-17 лет</v>
      </c>
      <c r="I60" s="837">
        <f>Рекорды!C11</f>
        <v>121.67</v>
      </c>
      <c r="J60" s="178"/>
    </row>
    <row r="61" spans="1:10" ht="15" customHeight="1" x14ac:dyDescent="0.25">
      <c r="A61" s="175"/>
      <c r="C61" s="177"/>
      <c r="D61" s="84"/>
      <c r="E61" s="84"/>
      <c r="F61" s="178"/>
      <c r="G61" s="178"/>
      <c r="H61" s="838" t="str">
        <f>$K$3</f>
        <v>Рекорд края 14-15 лет</v>
      </c>
      <c r="I61" s="837">
        <f>Рекорды!E79</f>
        <v>125.51</v>
      </c>
      <c r="J61" s="178"/>
    </row>
    <row r="62" spans="1:10" ht="15" customHeight="1" x14ac:dyDescent="0.25">
      <c r="A62" s="175"/>
      <c r="C62" s="177"/>
      <c r="D62" s="84"/>
      <c r="E62" s="84"/>
      <c r="F62" s="178"/>
      <c r="G62" s="178"/>
      <c r="H62" s="838" t="str">
        <f>$K$4</f>
        <v>Рекорд края 13 лет и младше</v>
      </c>
      <c r="I62" s="837">
        <f>Рекорды!C79</f>
        <v>133.16999999999999</v>
      </c>
      <c r="J62" s="178"/>
    </row>
    <row r="63" spans="1:10" ht="15" customHeight="1" x14ac:dyDescent="0.25">
      <c r="A63" s="175"/>
      <c r="C63" s="177"/>
      <c r="D63" s="84"/>
      <c r="E63" s="84"/>
      <c r="F63" s="178"/>
      <c r="G63" s="178"/>
      <c r="H63" s="839"/>
      <c r="I63" s="837"/>
      <c r="J63" s="833"/>
    </row>
    <row r="64" spans="1:10" ht="14.25" customHeight="1" x14ac:dyDescent="0.25">
      <c r="A64" s="833"/>
      <c r="C64" s="48" t="s">
        <v>387</v>
      </c>
      <c r="D64" s="833"/>
      <c r="E64" s="833"/>
      <c r="F64" s="833"/>
      <c r="G64" s="833"/>
      <c r="H64" s="836"/>
      <c r="I64" s="835"/>
      <c r="J64" s="833"/>
    </row>
    <row r="65" spans="1:18" ht="15" customHeight="1" x14ac:dyDescent="0.25">
      <c r="A65" s="833"/>
      <c r="C65" s="730"/>
      <c r="D65" s="833"/>
      <c r="E65" s="833"/>
      <c r="F65" s="833"/>
      <c r="G65" s="833"/>
      <c r="H65" s="838" t="str">
        <f>$K$1</f>
        <v>Рекорд края</v>
      </c>
      <c r="I65" s="837">
        <f>Рекорды!D47</f>
        <v>146.62</v>
      </c>
    </row>
    <row r="66" spans="1:18" ht="15" customHeight="1" x14ac:dyDescent="0.25">
      <c r="A66" s="175"/>
      <c r="C66" s="177"/>
      <c r="D66" s="84"/>
      <c r="E66" s="84"/>
      <c r="F66" s="178"/>
      <c r="G66" s="178"/>
      <c r="H66" s="838" t="str">
        <f>$K$2</f>
        <v>Рекорд края 16-17 лет</v>
      </c>
      <c r="I66" s="837">
        <f>Рекорды!B47</f>
        <v>149.49</v>
      </c>
    </row>
    <row r="67" spans="1:18" ht="15" customHeight="1" x14ac:dyDescent="0.25">
      <c r="A67" s="175"/>
      <c r="C67" s="177"/>
      <c r="D67" s="84"/>
      <c r="E67" s="84"/>
      <c r="F67" s="178"/>
      <c r="G67" s="178"/>
      <c r="H67" s="838" t="str">
        <f>$K$3</f>
        <v>Рекорд края 14-15 лет</v>
      </c>
      <c r="I67" s="837">
        <f>Рекорды!D115</f>
        <v>154.19</v>
      </c>
    </row>
    <row r="68" spans="1:18" ht="15" customHeight="1" x14ac:dyDescent="0.25">
      <c r="A68" s="175"/>
      <c r="C68" s="177"/>
      <c r="D68" s="84"/>
      <c r="E68" s="84"/>
      <c r="F68" s="178"/>
      <c r="G68" s="178"/>
      <c r="H68" s="838" t="str">
        <f>$K$4</f>
        <v>Рекорд края 13 лет и младше</v>
      </c>
      <c r="I68" s="837">
        <f>Рекорды!B115</f>
        <v>158.33000000000001</v>
      </c>
    </row>
    <row r="69" spans="1:18" ht="15" customHeight="1" x14ac:dyDescent="0.25">
      <c r="A69" s="833"/>
      <c r="C69" s="730"/>
      <c r="D69" s="833"/>
      <c r="E69" s="833"/>
      <c r="F69" s="833"/>
      <c r="G69" s="833"/>
      <c r="H69" s="839"/>
      <c r="I69" s="837"/>
      <c r="J69" s="833"/>
    </row>
    <row r="70" spans="1:18" ht="14.25" customHeight="1" x14ac:dyDescent="0.25">
      <c r="A70" s="833"/>
      <c r="C70" s="48" t="s">
        <v>388</v>
      </c>
      <c r="D70" s="833"/>
      <c r="E70" s="833"/>
      <c r="F70" s="833"/>
      <c r="G70" s="833"/>
      <c r="H70" s="836"/>
      <c r="I70" s="837"/>
      <c r="J70" s="833"/>
    </row>
    <row r="71" spans="1:18" ht="15" customHeight="1" x14ac:dyDescent="0.25">
      <c r="A71" s="833"/>
      <c r="C71" s="730"/>
      <c r="D71" s="833"/>
      <c r="E71" s="833"/>
      <c r="F71" s="833"/>
      <c r="G71" s="833"/>
      <c r="H71" s="838" t="str">
        <f>$K$1</f>
        <v>Рекорд края</v>
      </c>
      <c r="I71" s="837">
        <f>Рекорды!E47</f>
        <v>136.33000000000001</v>
      </c>
      <c r="J71" s="833"/>
    </row>
    <row r="72" spans="1:18" ht="15" customHeight="1" x14ac:dyDescent="0.25">
      <c r="A72" s="175"/>
      <c r="C72" s="177"/>
      <c r="D72" s="84"/>
      <c r="E72" s="84"/>
      <c r="F72" s="178"/>
      <c r="G72" s="178"/>
      <c r="H72" s="838" t="str">
        <f>$K$2</f>
        <v>Рекорд края 16-17 лет</v>
      </c>
      <c r="I72" s="837">
        <f>Рекорды!C47</f>
        <v>138.86000000000001</v>
      </c>
    </row>
    <row r="73" spans="1:18" ht="15" customHeight="1" x14ac:dyDescent="0.25">
      <c r="A73" s="175"/>
      <c r="C73" s="177"/>
      <c r="D73" s="84"/>
      <c r="E73" s="84"/>
      <c r="F73" s="178"/>
      <c r="G73" s="178"/>
      <c r="H73" s="838" t="str">
        <f>$K$3</f>
        <v>Рекорд края 14-15 лет</v>
      </c>
      <c r="I73" s="837">
        <f>Рекорды!E115</f>
        <v>144.66999999999999</v>
      </c>
    </row>
    <row r="74" spans="1:18" ht="15" customHeight="1" x14ac:dyDescent="0.25">
      <c r="A74" s="175"/>
      <c r="C74" s="177"/>
      <c r="D74" s="84"/>
      <c r="E74" s="84"/>
      <c r="F74" s="178"/>
      <c r="G74" s="178"/>
      <c r="H74" s="838" t="str">
        <f>$K$4</f>
        <v>Рекорд края 13 лет и младше</v>
      </c>
      <c r="I74" s="837">
        <f>Рекорды!C115</f>
        <v>149.38999999999999</v>
      </c>
    </row>
    <row r="75" spans="1:18" ht="15" customHeight="1" x14ac:dyDescent="0.25">
      <c r="A75" s="833"/>
      <c r="C75" s="730"/>
      <c r="D75" s="833"/>
      <c r="E75" s="833"/>
      <c r="F75" s="833"/>
      <c r="G75" s="833"/>
      <c r="H75" s="839"/>
      <c r="I75" s="835"/>
      <c r="J75" s="833"/>
    </row>
    <row r="76" spans="1:18" ht="14.25" customHeight="1" x14ac:dyDescent="0.3">
      <c r="A76" s="169"/>
      <c r="C76" s="48" t="s">
        <v>389</v>
      </c>
      <c r="D76" s="170"/>
      <c r="E76" s="170"/>
      <c r="F76" s="171"/>
      <c r="G76" s="171"/>
      <c r="H76" s="836"/>
      <c r="I76" s="837"/>
      <c r="J76" s="171"/>
      <c r="L76" s="841"/>
      <c r="M76" s="841"/>
      <c r="N76" s="842"/>
      <c r="O76" s="842"/>
      <c r="P76" s="842"/>
      <c r="Q76" s="842"/>
      <c r="R76" s="842"/>
    </row>
    <row r="77" spans="1:18" ht="15" customHeight="1" x14ac:dyDescent="0.25">
      <c r="A77" s="175"/>
      <c r="C77" s="177"/>
      <c r="D77" s="84"/>
      <c r="E77" s="84"/>
      <c r="F77" s="178"/>
      <c r="G77" s="178"/>
      <c r="H77" s="838" t="str">
        <f>$K$1</f>
        <v>Рекорд края</v>
      </c>
      <c r="I77" s="837">
        <f>Рекорды!D14</f>
        <v>318.52</v>
      </c>
    </row>
    <row r="78" spans="1:18" ht="15" customHeight="1" x14ac:dyDescent="0.25">
      <c r="A78" s="175"/>
      <c r="C78" s="177"/>
      <c r="D78" s="84"/>
      <c r="E78" s="84"/>
      <c r="F78" s="178"/>
      <c r="G78" s="178"/>
      <c r="H78" s="838" t="str">
        <f>$K$2</f>
        <v>Рекорд края 16-17 лет</v>
      </c>
      <c r="I78" s="837">
        <f>Рекорды!B14</f>
        <v>323.08999999999997</v>
      </c>
    </row>
    <row r="79" spans="1:18" ht="15" customHeight="1" x14ac:dyDescent="0.25">
      <c r="A79" s="175"/>
      <c r="C79" s="177"/>
      <c r="D79" s="84"/>
      <c r="E79" s="84"/>
      <c r="F79" s="178"/>
      <c r="G79" s="178"/>
      <c r="H79" s="838" t="str">
        <f>$K$3</f>
        <v>Рекорд края 14-15 лет</v>
      </c>
      <c r="I79" s="837">
        <f>Рекорды!D82</f>
        <v>331.09</v>
      </c>
    </row>
    <row r="80" spans="1:18" ht="15" customHeight="1" x14ac:dyDescent="0.25">
      <c r="A80" s="175"/>
      <c r="C80" s="177"/>
      <c r="D80" s="84"/>
      <c r="E80" s="84"/>
      <c r="F80" s="178"/>
      <c r="G80" s="178"/>
      <c r="H80" s="838" t="str">
        <f>$K$4</f>
        <v>Рекорд края 13 лет и младше</v>
      </c>
      <c r="I80" s="837">
        <f>Рекорды!B82</f>
        <v>339.29</v>
      </c>
    </row>
    <row r="81" spans="1:10" ht="15" customHeight="1" x14ac:dyDescent="0.25">
      <c r="A81" s="175"/>
      <c r="C81" s="177"/>
      <c r="D81" s="84"/>
      <c r="E81" s="84"/>
      <c r="F81" s="178"/>
      <c r="G81" s="178"/>
      <c r="H81" s="839"/>
      <c r="I81" s="837"/>
      <c r="J81" s="178"/>
    </row>
    <row r="82" spans="1:10" ht="14.25" customHeight="1" x14ac:dyDescent="0.25">
      <c r="A82" s="169"/>
      <c r="C82" s="48" t="s">
        <v>390</v>
      </c>
      <c r="D82" s="170"/>
      <c r="E82" s="170"/>
      <c r="F82" s="171"/>
      <c r="G82" s="171"/>
      <c r="H82" s="836"/>
      <c r="I82" s="837"/>
      <c r="J82" s="833"/>
    </row>
    <row r="83" spans="1:10" ht="15" customHeight="1" x14ac:dyDescent="0.25">
      <c r="A83" s="175"/>
      <c r="C83" s="177"/>
      <c r="D83" s="84"/>
      <c r="E83" s="84"/>
      <c r="F83" s="178"/>
      <c r="G83" s="178"/>
      <c r="H83" s="838" t="str">
        <f>$K$1</f>
        <v>Рекорд края</v>
      </c>
      <c r="I83" s="837">
        <f>Рекорды!E14</f>
        <v>305.45</v>
      </c>
      <c r="J83" s="833"/>
    </row>
    <row r="84" spans="1:10" ht="15" customHeight="1" x14ac:dyDescent="0.25">
      <c r="A84" s="175"/>
      <c r="C84" s="177"/>
      <c r="D84" s="84"/>
      <c r="E84" s="84"/>
      <c r="F84" s="178"/>
      <c r="G84" s="178"/>
      <c r="H84" s="838" t="str">
        <f>$K$2</f>
        <v>Рекорд края 16-17 лет</v>
      </c>
      <c r="I84" s="837">
        <f>Рекорды!C14</f>
        <v>305.86</v>
      </c>
      <c r="J84" s="178"/>
    </row>
    <row r="85" spans="1:10" ht="15" customHeight="1" x14ac:dyDescent="0.25">
      <c r="A85" s="175"/>
      <c r="C85" s="177"/>
      <c r="D85" s="84"/>
      <c r="E85" s="84"/>
      <c r="F85" s="178"/>
      <c r="G85" s="178"/>
      <c r="H85" s="838" t="str">
        <f>$K$3</f>
        <v>Рекорд края 14-15 лет</v>
      </c>
      <c r="I85" s="837">
        <f>Рекорды!E82</f>
        <v>310.17</v>
      </c>
      <c r="J85" s="178"/>
    </row>
    <row r="86" spans="1:10" ht="15" customHeight="1" x14ac:dyDescent="0.25">
      <c r="A86" s="175"/>
      <c r="C86" s="177"/>
      <c r="D86" s="84"/>
      <c r="E86" s="84"/>
      <c r="F86" s="178"/>
      <c r="G86" s="178"/>
      <c r="H86" s="838" t="str">
        <f>$K$4</f>
        <v>Рекорд края 13 лет и младше</v>
      </c>
      <c r="I86" s="837">
        <f>Рекорды!C82</f>
        <v>327.27</v>
      </c>
      <c r="J86" s="178"/>
    </row>
    <row r="87" spans="1:10" ht="15" customHeight="1" x14ac:dyDescent="0.25">
      <c r="A87" s="175"/>
      <c r="C87" s="177"/>
      <c r="D87" s="84"/>
      <c r="E87" s="84"/>
      <c r="F87" s="178"/>
      <c r="G87" s="178"/>
      <c r="H87" s="839"/>
      <c r="I87" s="837"/>
      <c r="J87" s="833"/>
    </row>
    <row r="88" spans="1:10" ht="14.25" customHeight="1" x14ac:dyDescent="0.25">
      <c r="A88" s="833"/>
      <c r="C88" s="48" t="s">
        <v>391</v>
      </c>
      <c r="D88" s="833"/>
      <c r="E88" s="833"/>
      <c r="F88" s="833"/>
      <c r="G88" s="833"/>
      <c r="H88" s="836"/>
      <c r="I88" s="835"/>
      <c r="J88" s="833"/>
    </row>
    <row r="89" spans="1:10" ht="15" customHeight="1" x14ac:dyDescent="0.25">
      <c r="A89" s="833"/>
      <c r="C89" s="730"/>
      <c r="D89" s="833"/>
      <c r="E89" s="833"/>
      <c r="F89" s="833"/>
      <c r="G89" s="833"/>
      <c r="H89" s="838" t="str">
        <f>$K$1</f>
        <v>Рекорд края</v>
      </c>
      <c r="I89" s="837" t="str">
        <f>Рекорды!D71</f>
        <v>Девушки</v>
      </c>
    </row>
    <row r="90" spans="1:10" ht="15" customHeight="1" x14ac:dyDescent="0.25">
      <c r="A90" s="175"/>
      <c r="C90" s="177"/>
      <c r="D90" s="84"/>
      <c r="E90" s="84"/>
      <c r="F90" s="178"/>
      <c r="G90" s="178"/>
      <c r="H90" s="838" t="str">
        <f>$K$2</f>
        <v>Рекорд края 16-17 лет</v>
      </c>
      <c r="I90" s="837" t="str">
        <f>Рекорды!B71</f>
        <v>Девочки</v>
      </c>
    </row>
    <row r="91" spans="1:10" ht="15" customHeight="1" x14ac:dyDescent="0.25">
      <c r="A91" s="175"/>
      <c r="C91" s="177"/>
      <c r="D91" s="84"/>
      <c r="E91" s="84"/>
      <c r="F91" s="178"/>
      <c r="G91" s="178"/>
      <c r="H91" s="838" t="str">
        <f>$K$3</f>
        <v>Рекорд края 14-15 лет</v>
      </c>
      <c r="I91" s="837">
        <f>Рекорды!D139</f>
        <v>0</v>
      </c>
    </row>
    <row r="92" spans="1:10" ht="15" customHeight="1" x14ac:dyDescent="0.25">
      <c r="A92" s="175"/>
      <c r="C92" s="177"/>
      <c r="D92" s="84"/>
      <c r="E92" s="84"/>
      <c r="F92" s="178"/>
      <c r="G92" s="178"/>
      <c r="H92" s="838" t="str">
        <f>$K$4</f>
        <v>Рекорд края 13 лет и младше</v>
      </c>
      <c r="I92" s="837">
        <f>Рекорды!B139</f>
        <v>0</v>
      </c>
    </row>
    <row r="93" spans="1:10" ht="15" customHeight="1" x14ac:dyDescent="0.25">
      <c r="A93" s="833"/>
      <c r="C93" s="730"/>
      <c r="D93" s="833"/>
      <c r="E93" s="833"/>
      <c r="F93" s="833"/>
      <c r="G93" s="833"/>
      <c r="H93" s="839"/>
      <c r="I93" s="837"/>
      <c r="J93" s="833"/>
    </row>
    <row r="94" spans="1:10" ht="14.25" customHeight="1" x14ac:dyDescent="0.25">
      <c r="A94" s="833"/>
      <c r="C94" s="48" t="s">
        <v>392</v>
      </c>
      <c r="D94" s="833"/>
      <c r="E94" s="833"/>
      <c r="F94" s="833"/>
      <c r="G94" s="833"/>
      <c r="H94" s="836"/>
      <c r="I94" s="837"/>
      <c r="J94" s="833"/>
    </row>
    <row r="95" spans="1:10" ht="15" customHeight="1" x14ac:dyDescent="0.25">
      <c r="A95" s="833"/>
      <c r="C95" s="730"/>
      <c r="D95" s="833"/>
      <c r="E95" s="833"/>
      <c r="F95" s="833"/>
      <c r="G95" s="833"/>
      <c r="H95" s="838" t="str">
        <f>$K$1</f>
        <v>Рекорд края</v>
      </c>
      <c r="I95" s="837" t="str">
        <f>Рекорды!E71</f>
        <v>Юноши</v>
      </c>
      <c r="J95" s="833"/>
    </row>
    <row r="96" spans="1:10" ht="15" customHeight="1" x14ac:dyDescent="0.25">
      <c r="A96" s="175"/>
      <c r="C96" s="177"/>
      <c r="D96" s="84"/>
      <c r="E96" s="84"/>
      <c r="F96" s="178"/>
      <c r="G96" s="178"/>
      <c r="H96" s="838" t="str">
        <f>$K$2</f>
        <v>Рекорд края 16-17 лет</v>
      </c>
      <c r="I96" s="837" t="str">
        <f>Рекорды!C71</f>
        <v>Мальчики</v>
      </c>
    </row>
    <row r="97" spans="1:10" ht="15" customHeight="1" x14ac:dyDescent="0.25">
      <c r="A97" s="175"/>
      <c r="C97" s="177"/>
      <c r="D97" s="84"/>
      <c r="E97" s="84"/>
      <c r="F97" s="178"/>
      <c r="G97" s="178"/>
      <c r="H97" s="838" t="str">
        <f>$K$3</f>
        <v>Рекорд края 14-15 лет</v>
      </c>
      <c r="I97" s="837">
        <f>Рекорды!E139</f>
        <v>0</v>
      </c>
    </row>
    <row r="98" spans="1:10" ht="15" customHeight="1" x14ac:dyDescent="0.25">
      <c r="A98" s="175"/>
      <c r="C98" s="177"/>
      <c r="D98" s="84"/>
      <c r="E98" s="84"/>
      <c r="F98" s="178"/>
      <c r="G98" s="178"/>
      <c r="H98" s="838" t="str">
        <f>$K$4</f>
        <v>Рекорд края 13 лет и младше</v>
      </c>
      <c r="I98" s="837">
        <f>Рекорды!C139</f>
        <v>0</v>
      </c>
    </row>
    <row r="99" spans="1:10" ht="15" customHeight="1" x14ac:dyDescent="0.25">
      <c r="A99" s="833"/>
      <c r="C99" s="730"/>
      <c r="D99" s="833"/>
      <c r="E99" s="833"/>
      <c r="F99" s="833"/>
      <c r="G99" s="833"/>
      <c r="H99" s="839"/>
      <c r="I99" s="835"/>
      <c r="J99" s="833"/>
    </row>
    <row r="100" spans="1:10" ht="14.25" customHeight="1" x14ac:dyDescent="0.25">
      <c r="A100" s="169"/>
      <c r="C100" s="48" t="s">
        <v>393</v>
      </c>
      <c r="D100" s="170"/>
      <c r="E100" s="170"/>
      <c r="F100" s="171"/>
      <c r="G100" s="171"/>
      <c r="H100" s="836"/>
      <c r="I100" s="837"/>
      <c r="J100" s="171"/>
    </row>
    <row r="101" spans="1:10" ht="15" customHeight="1" x14ac:dyDescent="0.25">
      <c r="A101" s="175"/>
      <c r="C101" s="177"/>
      <c r="D101" s="84"/>
      <c r="E101" s="84"/>
      <c r="F101" s="178"/>
      <c r="G101" s="178"/>
      <c r="H101" s="838" t="str">
        <f>$K$1</f>
        <v>Рекорд края</v>
      </c>
      <c r="I101" s="837">
        <f>Рекорды!D17</f>
        <v>705.36</v>
      </c>
    </row>
    <row r="102" spans="1:10" ht="15" customHeight="1" x14ac:dyDescent="0.25">
      <c r="A102" s="175"/>
      <c r="C102" s="177"/>
      <c r="D102" s="84"/>
      <c r="E102" s="84"/>
      <c r="F102" s="178"/>
      <c r="G102" s="178"/>
      <c r="H102" s="838" t="str">
        <f>$K$2</f>
        <v>Рекорд края 16-17 лет</v>
      </c>
      <c r="I102" s="837">
        <f>Рекорды!B17</f>
        <v>709.46</v>
      </c>
    </row>
    <row r="103" spans="1:10" ht="15" customHeight="1" x14ac:dyDescent="0.25">
      <c r="A103" s="175"/>
      <c r="C103" s="177"/>
      <c r="D103" s="84"/>
      <c r="E103" s="84"/>
      <c r="F103" s="178"/>
      <c r="G103" s="178"/>
      <c r="H103" s="838" t="str">
        <f>$K$3</f>
        <v>Рекорд края 14-15 лет</v>
      </c>
      <c r="I103" s="837">
        <f>Рекорды!D85</f>
        <v>715.49</v>
      </c>
    </row>
    <row r="104" spans="1:10" ht="15" customHeight="1" x14ac:dyDescent="0.25">
      <c r="A104" s="175"/>
      <c r="C104" s="177"/>
      <c r="D104" s="84"/>
      <c r="E104" s="84"/>
      <c r="F104" s="178"/>
      <c r="G104" s="178"/>
      <c r="H104" s="838" t="str">
        <f>$K$4</f>
        <v>Рекорд края 13 лет и младше</v>
      </c>
      <c r="I104" s="837">
        <f>Рекорды!B85</f>
        <v>746.47</v>
      </c>
    </row>
    <row r="105" spans="1:10" ht="15" customHeight="1" x14ac:dyDescent="0.25">
      <c r="A105" s="175"/>
      <c r="C105" s="177"/>
      <c r="D105" s="84"/>
      <c r="E105" s="84"/>
      <c r="F105" s="178"/>
      <c r="G105" s="178"/>
      <c r="H105" s="839"/>
      <c r="I105" s="837"/>
      <c r="J105" s="178"/>
    </row>
    <row r="106" spans="1:10" ht="14.25" customHeight="1" x14ac:dyDescent="0.25">
      <c r="A106" s="169"/>
      <c r="C106" s="48" t="s">
        <v>394</v>
      </c>
      <c r="D106" s="170"/>
      <c r="E106" s="170"/>
      <c r="F106" s="171"/>
      <c r="G106" s="171"/>
      <c r="H106" s="836"/>
      <c r="I106" s="837"/>
      <c r="J106" s="833"/>
    </row>
    <row r="107" spans="1:10" ht="15" customHeight="1" x14ac:dyDescent="0.25">
      <c r="A107" s="175"/>
      <c r="C107" s="177"/>
      <c r="D107" s="84"/>
      <c r="E107" s="84"/>
      <c r="F107" s="178"/>
      <c r="G107" s="178"/>
      <c r="H107" s="838" t="str">
        <f>$K$1</f>
        <v>Рекорд края</v>
      </c>
      <c r="I107" s="837">
        <f>Рекорды!E17</f>
        <v>639.77</v>
      </c>
      <c r="J107" s="833"/>
    </row>
    <row r="108" spans="1:10" ht="15" customHeight="1" x14ac:dyDescent="0.25">
      <c r="A108" s="175"/>
      <c r="C108" s="177"/>
      <c r="D108" s="84"/>
      <c r="E108" s="84"/>
      <c r="F108" s="178"/>
      <c r="G108" s="178"/>
      <c r="H108" s="838" t="str">
        <f>$K$2</f>
        <v>Рекорд края 16-17 лет</v>
      </c>
      <c r="I108" s="837">
        <f>Рекорды!C17</f>
        <v>644.39</v>
      </c>
    </row>
    <row r="109" spans="1:10" ht="15" customHeight="1" x14ac:dyDescent="0.25">
      <c r="A109" s="175"/>
      <c r="C109" s="177"/>
      <c r="D109" s="84"/>
      <c r="E109" s="84"/>
      <c r="F109" s="178"/>
      <c r="G109" s="178"/>
      <c r="H109" s="838" t="str">
        <f>$K$3</f>
        <v>Рекорд края 14-15 лет</v>
      </c>
      <c r="I109" s="837">
        <f>Рекорды!E85</f>
        <v>649.41999999999996</v>
      </c>
    </row>
    <row r="110" spans="1:10" ht="15" customHeight="1" x14ac:dyDescent="0.25">
      <c r="A110" s="175"/>
      <c r="C110" s="177"/>
      <c r="D110" s="84"/>
      <c r="E110" s="84"/>
      <c r="F110" s="178"/>
      <c r="G110" s="178"/>
      <c r="H110" s="838" t="str">
        <f>$K$4</f>
        <v>Рекорд края 13 лет и младше</v>
      </c>
      <c r="I110" s="837">
        <f>Рекорды!C85</f>
        <v>723.47</v>
      </c>
    </row>
    <row r="111" spans="1:10" ht="15" customHeight="1" x14ac:dyDescent="0.25">
      <c r="A111" s="175"/>
      <c r="C111" s="177"/>
      <c r="D111" s="84"/>
      <c r="E111" s="84"/>
      <c r="F111" s="178"/>
      <c r="G111" s="178"/>
      <c r="H111" s="839"/>
      <c r="I111" s="837"/>
      <c r="J111" s="833"/>
    </row>
    <row r="112" spans="1:10" ht="14.25" customHeight="1" x14ac:dyDescent="0.25">
      <c r="A112" s="169"/>
      <c r="C112" s="48" t="s">
        <v>395</v>
      </c>
      <c r="D112" s="170"/>
      <c r="E112" s="170"/>
      <c r="F112" s="171"/>
      <c r="G112" s="171"/>
      <c r="H112" s="836"/>
      <c r="I112" s="837"/>
      <c r="J112" s="171"/>
    </row>
    <row r="113" spans="1:10" ht="15" customHeight="1" x14ac:dyDescent="0.25">
      <c r="A113" s="175"/>
      <c r="C113" s="177"/>
      <c r="D113" s="84"/>
      <c r="E113" s="84"/>
      <c r="F113" s="178"/>
      <c r="G113" s="178"/>
      <c r="H113" s="838" t="str">
        <f>$K$1</f>
        <v>Рекорд края</v>
      </c>
      <c r="I113" s="837">
        <f>Рекорды!D20</f>
        <v>1337.4</v>
      </c>
    </row>
    <row r="114" spans="1:10" ht="15" customHeight="1" x14ac:dyDescent="0.25">
      <c r="A114" s="175"/>
      <c r="C114" s="177"/>
      <c r="D114" s="84"/>
      <c r="E114" s="84"/>
      <c r="F114" s="178"/>
      <c r="G114" s="178"/>
      <c r="H114" s="838" t="str">
        <f>$K$2</f>
        <v>Рекорд края 16-17 лет</v>
      </c>
      <c r="I114" s="837">
        <f>Рекорды!B20</f>
        <v>1357.87</v>
      </c>
    </row>
    <row r="115" spans="1:10" ht="15" customHeight="1" x14ac:dyDescent="0.25">
      <c r="A115" s="175"/>
      <c r="C115" s="177"/>
      <c r="D115" s="84"/>
      <c r="E115" s="84"/>
      <c r="F115" s="178"/>
      <c r="G115" s="178"/>
      <c r="H115" s="838" t="str">
        <f>$K$3</f>
        <v>Рекорд края 14-15 лет</v>
      </c>
      <c r="I115" s="837">
        <f>Рекорды!D88</f>
        <v>1407.7</v>
      </c>
    </row>
    <row r="116" spans="1:10" ht="15" customHeight="1" x14ac:dyDescent="0.25">
      <c r="A116" s="175"/>
      <c r="C116" s="177"/>
      <c r="D116" s="84"/>
      <c r="E116" s="84"/>
      <c r="F116" s="178"/>
      <c r="G116" s="178"/>
      <c r="H116" s="838" t="str">
        <f>$K$4</f>
        <v>Рекорд края 13 лет и младше</v>
      </c>
      <c r="I116" s="837">
        <f>Рекорды!B88</f>
        <v>1506.32</v>
      </c>
    </row>
    <row r="117" spans="1:10" ht="15" customHeight="1" x14ac:dyDescent="0.25">
      <c r="A117" s="833"/>
      <c r="C117" s="730"/>
      <c r="D117" s="833"/>
      <c r="E117" s="833"/>
      <c r="F117" s="833"/>
      <c r="G117" s="833"/>
      <c r="H117" s="839"/>
      <c r="I117" s="835"/>
      <c r="J117" s="833"/>
    </row>
    <row r="118" spans="1:10" ht="14.25" customHeight="1" x14ac:dyDescent="0.25">
      <c r="A118" s="169"/>
      <c r="C118" s="48" t="s">
        <v>396</v>
      </c>
      <c r="D118" s="170"/>
      <c r="E118" s="170"/>
      <c r="F118" s="171"/>
      <c r="G118" s="171"/>
      <c r="H118" s="836"/>
      <c r="I118" s="837"/>
      <c r="J118" s="833"/>
    </row>
    <row r="119" spans="1:10" ht="15" customHeight="1" x14ac:dyDescent="0.25">
      <c r="A119" s="175"/>
      <c r="C119" s="177"/>
      <c r="D119" s="84"/>
      <c r="E119" s="84"/>
      <c r="F119" s="178"/>
      <c r="G119" s="178"/>
      <c r="H119" s="838" t="str">
        <f>$K$1</f>
        <v>Рекорд края</v>
      </c>
      <c r="I119" s="837">
        <f>Рекорды!E20</f>
        <v>1249.71</v>
      </c>
      <c r="J119" s="833"/>
    </row>
    <row r="120" spans="1:10" ht="15" customHeight="1" x14ac:dyDescent="0.25">
      <c r="A120" s="175"/>
      <c r="C120" s="177"/>
      <c r="D120" s="84"/>
      <c r="E120" s="84"/>
      <c r="F120" s="178"/>
      <c r="G120" s="178"/>
      <c r="H120" s="838" t="str">
        <f>$K$2</f>
        <v>Рекорд края 16-17 лет</v>
      </c>
      <c r="I120" s="837">
        <f>Рекорды!C20</f>
        <v>1331.73</v>
      </c>
    </row>
    <row r="121" spans="1:10" ht="15" customHeight="1" x14ac:dyDescent="0.25">
      <c r="A121" s="175"/>
      <c r="C121" s="177"/>
      <c r="D121" s="84"/>
      <c r="E121" s="84"/>
      <c r="F121" s="178"/>
      <c r="G121" s="178"/>
      <c r="H121" s="838" t="str">
        <f>$K$3</f>
        <v>Рекорд края 14-15 лет</v>
      </c>
      <c r="I121" s="837">
        <f>Рекорды!E88</f>
        <v>1351.37</v>
      </c>
    </row>
    <row r="122" spans="1:10" ht="15" customHeight="1" x14ac:dyDescent="0.25">
      <c r="A122" s="175"/>
      <c r="C122" s="177"/>
      <c r="D122" s="84"/>
      <c r="E122" s="84"/>
      <c r="F122" s="178"/>
      <c r="G122" s="178"/>
      <c r="H122" s="838" t="str">
        <f>$K$4</f>
        <v>Рекорд края 13 лет и младше</v>
      </c>
      <c r="I122" s="837">
        <f>Рекорды!C88</f>
        <v>1433.92</v>
      </c>
    </row>
    <row r="123" spans="1:10" ht="15" customHeight="1" x14ac:dyDescent="0.25">
      <c r="A123" s="175"/>
      <c r="C123" s="177"/>
      <c r="D123" s="84"/>
      <c r="E123" s="84"/>
      <c r="F123" s="178"/>
      <c r="G123" s="178"/>
      <c r="H123" s="839"/>
      <c r="I123" s="837"/>
      <c r="J123" s="833"/>
    </row>
    <row r="124" spans="1:10" ht="14.25" customHeight="1" x14ac:dyDescent="0.25">
      <c r="A124" s="169"/>
      <c r="C124" s="48" t="s">
        <v>405</v>
      </c>
      <c r="D124" s="170"/>
      <c r="E124" s="170"/>
      <c r="F124" s="171"/>
      <c r="G124" s="171"/>
      <c r="H124" s="836"/>
      <c r="I124" s="837"/>
      <c r="J124" s="833"/>
    </row>
    <row r="125" spans="1:10" ht="15" customHeight="1" x14ac:dyDescent="0.25">
      <c r="A125" s="175"/>
      <c r="C125" s="177"/>
      <c r="D125" s="84"/>
      <c r="E125" s="84"/>
      <c r="F125" s="178"/>
      <c r="G125" s="178"/>
      <c r="H125" s="838" t="str">
        <f>$K$1</f>
        <v>Рекорд края</v>
      </c>
      <c r="I125" s="837">
        <f>Рекорды!D37</f>
        <v>16.55</v>
      </c>
    </row>
    <row r="126" spans="1:10" ht="15" customHeight="1" x14ac:dyDescent="0.25">
      <c r="A126" s="175"/>
      <c r="C126" s="177"/>
      <c r="D126" s="84"/>
      <c r="E126" s="84"/>
      <c r="F126" s="178"/>
      <c r="G126" s="178"/>
      <c r="H126" s="838" t="str">
        <f>$K$2</f>
        <v>Рекорд края 16-17 лет</v>
      </c>
      <c r="I126" s="837">
        <f>Рекорды!B37</f>
        <v>17.52</v>
      </c>
    </row>
    <row r="127" spans="1:10" ht="15" customHeight="1" x14ac:dyDescent="0.25">
      <c r="A127" s="175"/>
      <c r="C127" s="177"/>
      <c r="D127" s="84"/>
      <c r="E127" s="84"/>
      <c r="F127" s="178"/>
      <c r="G127" s="178"/>
      <c r="H127" s="838" t="str">
        <f>$K$3</f>
        <v>Рекорд края 14-15 лет</v>
      </c>
      <c r="I127" s="837">
        <f>Рекорды!D105</f>
        <v>17.59</v>
      </c>
    </row>
    <row r="128" spans="1:10" ht="15" customHeight="1" x14ac:dyDescent="0.25">
      <c r="A128" s="175"/>
      <c r="C128" s="177"/>
      <c r="D128" s="84"/>
      <c r="E128" s="84"/>
      <c r="F128" s="178"/>
      <c r="G128" s="178"/>
      <c r="H128" s="838" t="str">
        <f>$K$4</f>
        <v>Рекорд края 13 лет и младше</v>
      </c>
      <c r="I128" s="837">
        <f>Рекорды!B105</f>
        <v>18.190000000000001</v>
      </c>
    </row>
    <row r="129" spans="1:10" ht="15" customHeight="1" x14ac:dyDescent="0.25">
      <c r="A129" s="175"/>
      <c r="C129" s="177"/>
      <c r="D129" s="84"/>
      <c r="E129" s="84"/>
      <c r="F129" s="178"/>
      <c r="G129" s="178"/>
      <c r="H129" s="839"/>
      <c r="I129" s="837"/>
      <c r="J129" s="833"/>
    </row>
    <row r="130" spans="1:10" ht="14.25" customHeight="1" x14ac:dyDescent="0.25">
      <c r="A130" s="175"/>
      <c r="C130" s="48" t="s">
        <v>406</v>
      </c>
      <c r="D130" s="84"/>
      <c r="E130" s="84"/>
      <c r="F130" s="178"/>
      <c r="G130" s="178"/>
      <c r="H130" s="836"/>
      <c r="I130" s="837"/>
      <c r="J130" s="833"/>
    </row>
    <row r="131" spans="1:10" ht="15" customHeight="1" x14ac:dyDescent="0.25">
      <c r="A131" s="833"/>
      <c r="C131" s="730"/>
      <c r="D131" s="833"/>
      <c r="E131" s="833"/>
      <c r="F131" s="833"/>
      <c r="G131" s="833"/>
      <c r="H131" s="838" t="str">
        <f>$K$1</f>
        <v>Рекорд края</v>
      </c>
      <c r="I131" s="837">
        <f>Рекорды!E37</f>
        <v>14.92</v>
      </c>
      <c r="J131" s="833"/>
    </row>
    <row r="132" spans="1:10" ht="15" customHeight="1" x14ac:dyDescent="0.25">
      <c r="A132" s="175"/>
      <c r="C132" s="177"/>
      <c r="D132" s="84"/>
      <c r="E132" s="84"/>
      <c r="F132" s="178"/>
      <c r="G132" s="178"/>
      <c r="H132" s="838" t="str">
        <f>$K$2</f>
        <v>Рекорд края 16-17 лет</v>
      </c>
      <c r="I132" s="837">
        <f>Рекорды!C37</f>
        <v>15.36</v>
      </c>
    </row>
    <row r="133" spans="1:10" ht="15" customHeight="1" x14ac:dyDescent="0.25">
      <c r="A133" s="175"/>
      <c r="C133" s="177"/>
      <c r="D133" s="84"/>
      <c r="E133" s="84"/>
      <c r="F133" s="178"/>
      <c r="G133" s="178"/>
      <c r="H133" s="838" t="str">
        <f>$K$3</f>
        <v>Рекорд края 14-15 лет</v>
      </c>
      <c r="I133" s="837">
        <f>Рекорды!E105</f>
        <v>15.71</v>
      </c>
    </row>
    <row r="134" spans="1:10" ht="15" customHeight="1" x14ac:dyDescent="0.25">
      <c r="A134" s="175"/>
      <c r="C134" s="177"/>
      <c r="D134" s="84"/>
      <c r="E134" s="84"/>
      <c r="F134" s="178"/>
      <c r="G134" s="178"/>
      <c r="H134" s="838" t="str">
        <f>$K$4</f>
        <v>Рекорд края 13 лет и младше</v>
      </c>
      <c r="I134" s="837">
        <f>Рекорды!C105</f>
        <v>16.649999999999999</v>
      </c>
    </row>
    <row r="135" spans="1:10" ht="15" customHeight="1" x14ac:dyDescent="0.25">
      <c r="A135" s="833"/>
      <c r="C135" s="730"/>
      <c r="D135" s="833"/>
      <c r="E135" s="833"/>
      <c r="F135" s="833"/>
      <c r="G135" s="833"/>
      <c r="H135" s="839"/>
      <c r="I135" s="837"/>
      <c r="J135" s="833"/>
    </row>
    <row r="136" spans="1:10" ht="14.25" customHeight="1" x14ac:dyDescent="0.25">
      <c r="A136" s="169"/>
      <c r="C136" s="48" t="s">
        <v>397</v>
      </c>
      <c r="D136" s="170"/>
      <c r="E136" s="170"/>
      <c r="F136" s="171"/>
      <c r="G136" s="171"/>
      <c r="H136" s="836"/>
      <c r="I136" s="837"/>
      <c r="J136" s="833"/>
    </row>
    <row r="137" spans="1:10" ht="15" customHeight="1" x14ac:dyDescent="0.25">
      <c r="A137" s="175"/>
      <c r="C137" s="177"/>
      <c r="D137" s="84"/>
      <c r="E137" s="84"/>
      <c r="F137" s="178"/>
      <c r="G137" s="178"/>
      <c r="H137" s="838" t="str">
        <f>$K$1</f>
        <v>Рекорд края</v>
      </c>
      <c r="I137" s="837">
        <f>Рекорды!D24</f>
        <v>36.68</v>
      </c>
    </row>
    <row r="138" spans="1:10" ht="15" customHeight="1" x14ac:dyDescent="0.25">
      <c r="A138" s="175"/>
      <c r="C138" s="177"/>
      <c r="D138" s="84"/>
      <c r="E138" s="84"/>
      <c r="F138" s="178"/>
      <c r="G138" s="178"/>
      <c r="H138" s="838" t="str">
        <f>$K$2</f>
        <v>Рекорд края 16-17 лет</v>
      </c>
      <c r="I138" s="837">
        <f>Рекорды!B24</f>
        <v>38.78</v>
      </c>
    </row>
    <row r="139" spans="1:10" ht="15" customHeight="1" x14ac:dyDescent="0.25">
      <c r="A139" s="175"/>
      <c r="C139" s="177"/>
      <c r="D139" s="84"/>
      <c r="E139" s="84"/>
      <c r="F139" s="178"/>
      <c r="G139" s="178"/>
      <c r="H139" s="838" t="str">
        <f>$K$3</f>
        <v>Рекорд края 14-15 лет</v>
      </c>
      <c r="I139" s="837">
        <f>Рекорды!D92</f>
        <v>40.01</v>
      </c>
    </row>
    <row r="140" spans="1:10" ht="15" customHeight="1" x14ac:dyDescent="0.25">
      <c r="A140" s="175"/>
      <c r="C140" s="177"/>
      <c r="D140" s="84"/>
      <c r="E140" s="84"/>
      <c r="F140" s="178"/>
      <c r="G140" s="178"/>
      <c r="H140" s="838" t="str">
        <f>$K$4</f>
        <v>Рекорд края 13 лет и младше</v>
      </c>
      <c r="I140" s="837">
        <f>Рекорды!B92</f>
        <v>41.41</v>
      </c>
    </row>
    <row r="141" spans="1:10" ht="15" customHeight="1" x14ac:dyDescent="0.25">
      <c r="A141" s="175"/>
      <c r="C141" s="177"/>
      <c r="D141" s="84"/>
      <c r="E141" s="84"/>
      <c r="F141" s="178"/>
      <c r="G141" s="178"/>
      <c r="H141" s="839"/>
      <c r="I141" s="837"/>
      <c r="J141" s="833"/>
    </row>
    <row r="142" spans="1:10" ht="14.25" customHeight="1" x14ac:dyDescent="0.25">
      <c r="A142" s="833"/>
      <c r="C142" s="48" t="s">
        <v>398</v>
      </c>
      <c r="D142" s="833"/>
      <c r="E142" s="833"/>
      <c r="F142" s="843"/>
      <c r="G142" s="843"/>
      <c r="H142" s="836"/>
      <c r="I142" s="844"/>
      <c r="J142" s="833"/>
    </row>
    <row r="143" spans="1:10" ht="15" customHeight="1" x14ac:dyDescent="0.25">
      <c r="A143" s="833"/>
      <c r="C143" s="177"/>
      <c r="D143" s="833"/>
      <c r="E143" s="833"/>
      <c r="F143" s="833"/>
      <c r="G143" s="833"/>
      <c r="H143" s="838" t="str">
        <f>$K$1</f>
        <v>Рекорд края</v>
      </c>
      <c r="I143" s="837">
        <f>Рекорды!E24</f>
        <v>33.19</v>
      </c>
      <c r="J143" s="833"/>
    </row>
    <row r="144" spans="1:10" ht="15" customHeight="1" x14ac:dyDescent="0.25">
      <c r="A144" s="175"/>
      <c r="C144" s="177"/>
      <c r="D144" s="84"/>
      <c r="E144" s="84"/>
      <c r="F144" s="178"/>
      <c r="G144" s="178"/>
      <c r="H144" s="838" t="str">
        <f>$K$2</f>
        <v>Рекорд края 16-17 лет</v>
      </c>
      <c r="I144" s="837">
        <f>Рекорды!C24</f>
        <v>34.04</v>
      </c>
    </row>
    <row r="145" spans="1:10" ht="15" customHeight="1" x14ac:dyDescent="0.25">
      <c r="A145" s="175"/>
      <c r="C145" s="177"/>
      <c r="D145" s="84"/>
      <c r="E145" s="84"/>
      <c r="F145" s="178"/>
      <c r="G145" s="178"/>
      <c r="H145" s="838" t="str">
        <f>$K$3</f>
        <v>Рекорд края 14-15 лет</v>
      </c>
      <c r="I145" s="837">
        <f>Рекорды!E92</f>
        <v>36.479999999999997</v>
      </c>
    </row>
    <row r="146" spans="1:10" ht="15" customHeight="1" x14ac:dyDescent="0.25">
      <c r="A146" s="175"/>
      <c r="C146" s="177"/>
      <c r="D146" s="84"/>
      <c r="E146" s="84"/>
      <c r="F146" s="178"/>
      <c r="G146" s="178"/>
      <c r="H146" s="838" t="str">
        <f>$K$4</f>
        <v>Рекорд края 13 лет и младше</v>
      </c>
      <c r="I146" s="837">
        <f>Рекорды!C92</f>
        <v>39.1</v>
      </c>
    </row>
    <row r="147" spans="1:10" ht="15" customHeight="1" x14ac:dyDescent="0.25">
      <c r="A147" s="833"/>
      <c r="C147" s="177"/>
      <c r="D147" s="833"/>
      <c r="E147" s="833"/>
      <c r="F147" s="833"/>
      <c r="G147" s="833"/>
      <c r="H147" s="839"/>
      <c r="I147" s="837"/>
      <c r="J147" s="833"/>
    </row>
    <row r="148" spans="1:10" ht="14.25" customHeight="1" x14ac:dyDescent="0.25">
      <c r="A148" s="169"/>
      <c r="C148" s="48" t="s">
        <v>401</v>
      </c>
      <c r="D148" s="170"/>
      <c r="E148" s="170"/>
      <c r="F148" s="171"/>
      <c r="G148" s="171"/>
      <c r="H148" s="836"/>
      <c r="I148" s="837"/>
      <c r="J148" s="833"/>
    </row>
    <row r="149" spans="1:10" ht="15" customHeight="1" x14ac:dyDescent="0.25">
      <c r="A149" s="175"/>
      <c r="C149" s="177"/>
      <c r="D149" s="84"/>
      <c r="E149" s="84"/>
      <c r="F149" s="178"/>
      <c r="G149" s="178"/>
      <c r="H149" s="838" t="str">
        <f>$K$1</f>
        <v>Рекорд края</v>
      </c>
      <c r="I149" s="837">
        <f>Рекорды!D27</f>
        <v>302.88</v>
      </c>
    </row>
    <row r="150" spans="1:10" ht="15" customHeight="1" x14ac:dyDescent="0.25">
      <c r="A150" s="175"/>
      <c r="C150" s="177"/>
      <c r="D150" s="84"/>
      <c r="E150" s="84"/>
      <c r="F150" s="178"/>
      <c r="G150" s="178"/>
      <c r="H150" s="838" t="str">
        <f>$K$2</f>
        <v>Рекорд края 16-17 лет</v>
      </c>
      <c r="I150" s="837">
        <f>Рекорды!B27</f>
        <v>313.58</v>
      </c>
    </row>
    <row r="151" spans="1:10" ht="15" customHeight="1" x14ac:dyDescent="0.25">
      <c r="A151" s="175"/>
      <c r="C151" s="177"/>
      <c r="D151" s="84"/>
      <c r="E151" s="84"/>
      <c r="F151" s="178"/>
      <c r="G151" s="178"/>
      <c r="H151" s="838" t="str">
        <f>$K$3</f>
        <v>Рекорд края 14-15 лет</v>
      </c>
      <c r="I151" s="837">
        <f>Рекорды!D95</f>
        <v>323.57</v>
      </c>
    </row>
    <row r="152" spans="1:10" ht="15" customHeight="1" x14ac:dyDescent="0.25">
      <c r="A152" s="175"/>
      <c r="C152" s="177"/>
      <c r="D152" s="84"/>
      <c r="E152" s="84"/>
      <c r="F152" s="178"/>
      <c r="G152" s="178"/>
      <c r="H152" s="838" t="str">
        <f>$K$4</f>
        <v>Рекорд края 13 лет и младше</v>
      </c>
      <c r="I152" s="837">
        <f>Рекорды!B95</f>
        <v>339.88</v>
      </c>
    </row>
    <row r="153" spans="1:10" ht="15" customHeight="1" x14ac:dyDescent="0.25">
      <c r="A153" s="175"/>
      <c r="C153" s="177"/>
      <c r="D153" s="84"/>
      <c r="E153" s="84"/>
      <c r="F153" s="178"/>
      <c r="G153" s="178"/>
      <c r="H153" s="839"/>
      <c r="I153" s="837"/>
      <c r="J153" s="833"/>
    </row>
    <row r="154" spans="1:10" ht="14.25" customHeight="1" x14ac:dyDescent="0.25">
      <c r="A154" s="833"/>
      <c r="C154" s="48" t="s">
        <v>402</v>
      </c>
      <c r="D154" s="833"/>
      <c r="E154" s="833"/>
      <c r="F154" s="833"/>
      <c r="G154" s="833"/>
      <c r="H154" s="836"/>
      <c r="I154" s="844"/>
      <c r="J154" s="833"/>
    </row>
    <row r="155" spans="1:10" ht="15" customHeight="1" x14ac:dyDescent="0.25">
      <c r="A155" s="833"/>
      <c r="C155" s="730"/>
      <c r="D155" s="833"/>
      <c r="E155" s="833"/>
      <c r="F155" s="833"/>
      <c r="G155" s="833"/>
      <c r="H155" s="838" t="str">
        <f>$K$1</f>
        <v>Рекорд края</v>
      </c>
      <c r="I155" s="837">
        <f>Рекорды!E27</f>
        <v>247.22</v>
      </c>
      <c r="J155" s="833"/>
    </row>
    <row r="156" spans="1:10" ht="15" customHeight="1" x14ac:dyDescent="0.25">
      <c r="A156" s="175"/>
      <c r="C156" s="177"/>
      <c r="D156" s="84"/>
      <c r="E156" s="84"/>
      <c r="F156" s="178"/>
      <c r="G156" s="178"/>
      <c r="H156" s="838" t="str">
        <f>$K$2</f>
        <v>Рекорд края 16-17 лет</v>
      </c>
      <c r="I156" s="837">
        <f>Рекорды!C27</f>
        <v>254.92</v>
      </c>
    </row>
    <row r="157" spans="1:10" ht="15" customHeight="1" x14ac:dyDescent="0.25">
      <c r="A157" s="175"/>
      <c r="C157" s="177"/>
      <c r="D157" s="84"/>
      <c r="E157" s="84"/>
      <c r="F157" s="178"/>
      <c r="G157" s="178"/>
      <c r="H157" s="838" t="str">
        <f>$K$3</f>
        <v>Рекорд края 14-15 лет</v>
      </c>
      <c r="I157" s="837">
        <f>Рекорды!E95</f>
        <v>304.49</v>
      </c>
    </row>
    <row r="158" spans="1:10" ht="15" customHeight="1" x14ac:dyDescent="0.25">
      <c r="A158" s="175"/>
      <c r="C158" s="177"/>
      <c r="D158" s="84"/>
      <c r="E158" s="84"/>
      <c r="F158" s="178"/>
      <c r="G158" s="178"/>
      <c r="H158" s="838" t="str">
        <f>$K$4</f>
        <v>Рекорд края 13 лет и младше</v>
      </c>
      <c r="I158" s="837">
        <f>Рекорды!C95</f>
        <v>338.06</v>
      </c>
    </row>
    <row r="159" spans="1:10" ht="15" customHeight="1" x14ac:dyDescent="0.25">
      <c r="A159" s="833"/>
      <c r="C159" s="730"/>
      <c r="D159" s="833"/>
      <c r="E159" s="833"/>
      <c r="F159" s="833"/>
      <c r="G159" s="833"/>
      <c r="H159" s="839"/>
      <c r="I159" s="837"/>
      <c r="J159" s="833"/>
    </row>
    <row r="160" spans="1:10" ht="14.25" customHeight="1" x14ac:dyDescent="0.25">
      <c r="A160" s="169"/>
      <c r="C160" s="48" t="s">
        <v>403</v>
      </c>
      <c r="D160" s="170"/>
      <c r="E160" s="170"/>
      <c r="F160" s="171"/>
      <c r="G160" s="171"/>
      <c r="H160" s="836"/>
      <c r="I160" s="837"/>
      <c r="J160" s="833"/>
    </row>
    <row r="161" spans="1:10" ht="15" customHeight="1" x14ac:dyDescent="0.25">
      <c r="A161" s="175"/>
      <c r="C161" s="177"/>
      <c r="D161" s="84"/>
      <c r="E161" s="84"/>
      <c r="F161" s="178"/>
      <c r="G161" s="178"/>
      <c r="H161" s="838" t="str">
        <f>$K$1</f>
        <v>Рекорд края</v>
      </c>
      <c r="I161" s="837">
        <f>Рекорды!D30</f>
        <v>631.66999999999996</v>
      </c>
    </row>
    <row r="162" spans="1:10" ht="15" customHeight="1" x14ac:dyDescent="0.25">
      <c r="A162" s="175"/>
      <c r="C162" s="177"/>
      <c r="D162" s="84"/>
      <c r="E162" s="84"/>
      <c r="F162" s="178"/>
      <c r="G162" s="178"/>
      <c r="H162" s="838" t="str">
        <f>$K$2</f>
        <v>Рекорд края 16-17 лет</v>
      </c>
      <c r="I162" s="837">
        <f>Рекорды!B30</f>
        <v>649.94000000000005</v>
      </c>
    </row>
    <row r="163" spans="1:10" ht="15" customHeight="1" x14ac:dyDescent="0.25">
      <c r="A163" s="175"/>
      <c r="C163" s="177"/>
      <c r="D163" s="84"/>
      <c r="E163" s="84"/>
      <c r="F163" s="178"/>
      <c r="G163" s="178"/>
      <c r="H163" s="838" t="str">
        <f>$K$3</f>
        <v>Рекорд края 14-15 лет</v>
      </c>
      <c r="I163" s="837">
        <f>Рекорды!D98</f>
        <v>733.18</v>
      </c>
    </row>
    <row r="164" spans="1:10" ht="15" customHeight="1" x14ac:dyDescent="0.25">
      <c r="A164" s="175"/>
      <c r="C164" s="177"/>
      <c r="D164" s="84"/>
      <c r="E164" s="84"/>
      <c r="F164" s="178"/>
      <c r="G164" s="178"/>
      <c r="H164" s="838" t="str">
        <f>$K$4</f>
        <v>Рекорд края 13 лет и младше</v>
      </c>
      <c r="I164" s="837">
        <f>Рекорды!B98</f>
        <v>746.47</v>
      </c>
    </row>
    <row r="165" spans="1:10" ht="15" customHeight="1" x14ac:dyDescent="0.25">
      <c r="A165" s="175"/>
      <c r="C165" s="177"/>
      <c r="D165" s="84"/>
      <c r="E165" s="84"/>
      <c r="F165" s="178"/>
      <c r="G165" s="178"/>
      <c r="H165" s="839"/>
      <c r="I165" s="837"/>
      <c r="J165" s="833"/>
    </row>
    <row r="166" spans="1:10" ht="14.25" customHeight="1" x14ac:dyDescent="0.25">
      <c r="A166" s="833"/>
      <c r="C166" s="48" t="s">
        <v>404</v>
      </c>
      <c r="D166" s="833"/>
      <c r="E166" s="833"/>
      <c r="F166" s="833"/>
      <c r="G166" s="833"/>
      <c r="H166" s="836"/>
      <c r="I166" s="844"/>
      <c r="J166" s="833"/>
    </row>
    <row r="167" spans="1:10" ht="15" customHeight="1" x14ac:dyDescent="0.25">
      <c r="A167" s="833"/>
      <c r="C167" s="177"/>
      <c r="D167" s="833"/>
      <c r="E167" s="833"/>
      <c r="F167" s="833"/>
      <c r="G167" s="833"/>
      <c r="H167" s="838" t="str">
        <f>$K$1</f>
        <v>Рекорд края</v>
      </c>
      <c r="I167" s="837">
        <f>Рекорды!E30</f>
        <v>601.66</v>
      </c>
      <c r="J167" s="833"/>
    </row>
    <row r="168" spans="1:10" ht="15" customHeight="1" x14ac:dyDescent="0.25">
      <c r="A168" s="175"/>
      <c r="C168" s="177"/>
      <c r="D168" s="84"/>
      <c r="E168" s="84"/>
      <c r="F168" s="178"/>
      <c r="G168" s="178"/>
      <c r="H168" s="838" t="str">
        <f>$K$2</f>
        <v>Рекорд края 16-17 лет</v>
      </c>
      <c r="I168" s="837">
        <f>Рекорды!C30</f>
        <v>617.28</v>
      </c>
    </row>
    <row r="169" spans="1:10" ht="15" customHeight="1" x14ac:dyDescent="0.25">
      <c r="A169" s="175"/>
      <c r="C169" s="177"/>
      <c r="D169" s="84"/>
      <c r="E169" s="84"/>
      <c r="F169" s="178"/>
      <c r="G169" s="178"/>
      <c r="H169" s="838" t="str">
        <f>$K$3</f>
        <v>Рекорд края 14-15 лет</v>
      </c>
      <c r="I169" s="837">
        <f>Рекорды!E98</f>
        <v>640.4</v>
      </c>
    </row>
    <row r="170" spans="1:10" ht="15" customHeight="1" x14ac:dyDescent="0.25">
      <c r="A170" s="175"/>
      <c r="C170" s="177"/>
      <c r="D170" s="84"/>
      <c r="E170" s="84"/>
      <c r="F170" s="178"/>
      <c r="G170" s="178"/>
      <c r="H170" s="838" t="str">
        <f>$K$4</f>
        <v>Рекорд края 13 лет и младше</v>
      </c>
      <c r="I170" s="837">
        <f>Рекорды!C98</f>
        <v>738.1</v>
      </c>
    </row>
    <row r="171" spans="1:10" ht="15" customHeight="1" x14ac:dyDescent="0.25">
      <c r="A171" s="833"/>
      <c r="C171" s="730"/>
      <c r="D171" s="833"/>
      <c r="E171" s="833"/>
      <c r="F171" s="833"/>
      <c r="G171" s="833"/>
      <c r="H171" s="839"/>
      <c r="I171" s="835"/>
      <c r="J171" s="833"/>
    </row>
    <row r="172" spans="1:10" ht="14.25" customHeight="1" x14ac:dyDescent="0.25">
      <c r="A172" s="169"/>
      <c r="C172" s="48" t="s">
        <v>925</v>
      </c>
      <c r="D172" s="170"/>
      <c r="E172" s="170"/>
      <c r="F172" s="171"/>
      <c r="G172" s="171"/>
      <c r="H172" s="836"/>
      <c r="I172" s="837"/>
      <c r="J172" s="833"/>
    </row>
    <row r="173" spans="1:10" ht="15.75" customHeight="1" x14ac:dyDescent="0.25">
      <c r="A173" s="175"/>
      <c r="C173" s="177"/>
      <c r="D173" s="84"/>
      <c r="E173" s="84"/>
      <c r="F173" s="178"/>
      <c r="G173" s="178"/>
      <c r="H173" s="838" t="str">
        <f>$K$1</f>
        <v>Рекорд края</v>
      </c>
      <c r="I173" s="837">
        <f>Рекорды!D34</f>
        <v>8.1</v>
      </c>
    </row>
    <row r="174" spans="1:10" ht="15" customHeight="1" x14ac:dyDescent="0.25">
      <c r="A174" s="175"/>
      <c r="C174" s="177"/>
      <c r="D174" s="84"/>
      <c r="E174" s="84"/>
      <c r="F174" s="178"/>
      <c r="G174" s="178"/>
      <c r="H174" s="838" t="str">
        <f>$K$2</f>
        <v>Рекорд края 16-17 лет</v>
      </c>
      <c r="I174" s="837">
        <f>Рекорды!B34</f>
        <v>8.36</v>
      </c>
    </row>
    <row r="175" spans="1:10" ht="15" customHeight="1" x14ac:dyDescent="0.25">
      <c r="A175" s="175"/>
      <c r="C175" s="177"/>
      <c r="D175" s="84"/>
      <c r="E175" s="84"/>
      <c r="F175" s="178"/>
      <c r="G175" s="178"/>
      <c r="H175" s="838" t="str">
        <f>$K$3</f>
        <v>Рекорд края 14-15 лет</v>
      </c>
      <c r="I175" s="837">
        <f>Рекорды!D102</f>
        <v>8.81</v>
      </c>
    </row>
    <row r="176" spans="1:10" ht="15" customHeight="1" x14ac:dyDescent="0.25">
      <c r="A176" s="175"/>
      <c r="C176" s="177"/>
      <c r="D176" s="84"/>
      <c r="E176" s="84"/>
      <c r="F176" s="178"/>
      <c r="G176" s="178"/>
      <c r="H176" s="838" t="str">
        <f>$K$4</f>
        <v>Рекорд края 13 лет и младше</v>
      </c>
      <c r="I176" s="837">
        <f>Рекорды!B102</f>
        <v>8.81</v>
      </c>
    </row>
    <row r="177" spans="1:10" ht="15" customHeight="1" x14ac:dyDescent="0.25">
      <c r="A177" s="175"/>
      <c r="C177" s="177"/>
      <c r="D177" s="84"/>
      <c r="E177" s="84"/>
      <c r="F177" s="178"/>
      <c r="G177" s="178"/>
      <c r="H177" s="839"/>
      <c r="I177" s="837"/>
      <c r="J177" s="833"/>
    </row>
    <row r="178" spans="1:10" ht="14.25" customHeight="1" x14ac:dyDescent="0.25">
      <c r="A178" s="175"/>
      <c r="C178" s="48" t="s">
        <v>926</v>
      </c>
      <c r="D178" s="84"/>
      <c r="E178" s="84"/>
      <c r="F178" s="178"/>
      <c r="G178" s="178"/>
      <c r="H178" s="836"/>
      <c r="I178" s="837"/>
      <c r="J178" s="833"/>
    </row>
    <row r="179" spans="1:10" ht="15" customHeight="1" x14ac:dyDescent="0.25">
      <c r="A179" s="833"/>
      <c r="C179" s="730"/>
      <c r="D179" s="833"/>
      <c r="E179" s="833"/>
      <c r="F179" s="833"/>
      <c r="G179" s="833"/>
      <c r="H179" s="838" t="str">
        <f>$K$1</f>
        <v>Рекорд края</v>
      </c>
      <c r="I179" s="837">
        <f>Рекорды!E34</f>
        <v>7.14</v>
      </c>
      <c r="J179" s="833"/>
    </row>
    <row r="180" spans="1:10" ht="15" customHeight="1" x14ac:dyDescent="0.25">
      <c r="A180" s="175"/>
      <c r="C180" s="177"/>
      <c r="D180" s="84"/>
      <c r="E180" s="84"/>
      <c r="F180" s="178"/>
      <c r="G180" s="178"/>
      <c r="H180" s="838" t="str">
        <f>$K$2</f>
        <v>Рекорд края 16-17 лет</v>
      </c>
      <c r="I180" s="837">
        <f>Рекорды!C34</f>
        <v>7.31</v>
      </c>
    </row>
    <row r="181" spans="1:10" ht="15" customHeight="1" x14ac:dyDescent="0.25">
      <c r="A181" s="175"/>
      <c r="C181" s="177"/>
      <c r="D181" s="84"/>
      <c r="E181" s="84"/>
      <c r="F181" s="178"/>
      <c r="G181" s="178"/>
      <c r="H181" s="838" t="str">
        <f>$K$3</f>
        <v>Рекорд края 14-15 лет</v>
      </c>
      <c r="I181" s="837">
        <f>Рекорды!E102</f>
        <v>7.7</v>
      </c>
    </row>
    <row r="182" spans="1:10" ht="15" customHeight="1" x14ac:dyDescent="0.25">
      <c r="A182" s="175"/>
      <c r="C182" s="177"/>
      <c r="D182" s="84"/>
      <c r="E182" s="84"/>
      <c r="F182" s="178"/>
      <c r="G182" s="178"/>
      <c r="H182" s="838" t="str">
        <f>$K$4</f>
        <v>Рекорд края 13 лет и младше</v>
      </c>
      <c r="I182" s="837">
        <f>Рекорды!C102</f>
        <v>8.11</v>
      </c>
    </row>
    <row r="183" spans="1:10" ht="15" customHeight="1" x14ac:dyDescent="0.25">
      <c r="A183" s="833"/>
      <c r="C183" s="730"/>
      <c r="D183" s="833"/>
      <c r="E183" s="833"/>
      <c r="F183" s="833"/>
      <c r="G183" s="833"/>
      <c r="H183" s="839"/>
      <c r="I183" s="837"/>
      <c r="J183" s="833"/>
    </row>
    <row r="184" spans="1:10" ht="14.25" customHeight="1" x14ac:dyDescent="0.25">
      <c r="A184" s="833"/>
      <c r="C184" s="772" t="s">
        <v>927</v>
      </c>
      <c r="D184" s="833"/>
      <c r="E184" s="833"/>
      <c r="F184" s="833"/>
      <c r="G184" s="833"/>
      <c r="H184" s="836"/>
      <c r="I184" s="835"/>
      <c r="J184" s="833"/>
    </row>
    <row r="185" spans="1:10" ht="15" customHeight="1" x14ac:dyDescent="0.25">
      <c r="A185" s="833"/>
      <c r="C185" s="730"/>
      <c r="D185" s="833"/>
      <c r="E185" s="833"/>
      <c r="F185" s="833"/>
      <c r="G185" s="833"/>
      <c r="H185" s="838" t="str">
        <f>$K$1</f>
        <v>Рекорд края</v>
      </c>
      <c r="I185" s="835">
        <f>Рекорды!D51</f>
        <v>113.61</v>
      </c>
    </row>
    <row r="186" spans="1:10" ht="15" customHeight="1" x14ac:dyDescent="0.25">
      <c r="A186" s="175"/>
      <c r="C186" s="177"/>
      <c r="D186" s="84"/>
      <c r="E186" s="84"/>
      <c r="F186" s="178"/>
      <c r="G186" s="178"/>
      <c r="H186" s="838" t="str">
        <f>$K$1</f>
        <v>Рекорд края</v>
      </c>
      <c r="I186" s="837">
        <f>Рекорды!D5</f>
        <v>17.940000000000001</v>
      </c>
    </row>
    <row r="187" spans="1:10" ht="15" customHeight="1" x14ac:dyDescent="0.25">
      <c r="A187" s="833"/>
      <c r="C187" s="730"/>
      <c r="D187" s="833"/>
      <c r="E187" s="833"/>
      <c r="F187" s="833"/>
      <c r="G187" s="833"/>
      <c r="H187" s="838" t="str">
        <f>$K$2</f>
        <v>Рекорд края 16-17 лет</v>
      </c>
      <c r="I187" s="835">
        <f>Рекорды!B51</f>
        <v>120.15</v>
      </c>
    </row>
    <row r="188" spans="1:10" ht="15" customHeight="1" x14ac:dyDescent="0.25">
      <c r="A188" s="175"/>
      <c r="C188" s="177"/>
      <c r="D188" s="84"/>
      <c r="E188" s="84"/>
      <c r="F188" s="178"/>
      <c r="G188" s="178"/>
      <c r="H188" s="838" t="str">
        <f>$K$2</f>
        <v>Рекорд края 16-17 лет</v>
      </c>
      <c r="I188" s="837">
        <f>Рекорды!B5</f>
        <v>18.920000000000002</v>
      </c>
    </row>
    <row r="189" spans="1:10" ht="15" customHeight="1" x14ac:dyDescent="0.25">
      <c r="A189" s="175"/>
      <c r="C189" s="177"/>
      <c r="D189" s="84"/>
      <c r="E189" s="84"/>
      <c r="F189" s="178"/>
      <c r="G189" s="178"/>
      <c r="H189" s="838" t="str">
        <f>$K$3</f>
        <v>Рекорд края 14-15 лет</v>
      </c>
      <c r="I189" s="835">
        <f>Рекорды!D119</f>
        <v>124.17</v>
      </c>
    </row>
    <row r="190" spans="1:10" ht="15" customHeight="1" x14ac:dyDescent="0.25">
      <c r="A190" s="175"/>
      <c r="C190" s="177"/>
      <c r="D190" s="84"/>
      <c r="E190" s="84"/>
      <c r="F190" s="178"/>
      <c r="G190" s="178"/>
      <c r="H190" s="838" t="str">
        <f>$K$3</f>
        <v>Рекорд края 14-15 лет</v>
      </c>
      <c r="I190" s="837">
        <f>Рекорды!D73</f>
        <v>19.11</v>
      </c>
    </row>
    <row r="191" spans="1:10" ht="15" customHeight="1" x14ac:dyDescent="0.25">
      <c r="A191" s="175"/>
      <c r="C191" s="177"/>
      <c r="D191" s="84"/>
      <c r="E191" s="84"/>
      <c r="F191" s="178"/>
      <c r="G191" s="178"/>
      <c r="H191" s="838" t="str">
        <f>$K$4</f>
        <v>Рекорд края 13 лет и младше</v>
      </c>
      <c r="I191" s="837">
        <f>Рекорды!B119</f>
        <v>125.14</v>
      </c>
    </row>
    <row r="192" spans="1:10" ht="15" customHeight="1" x14ac:dyDescent="0.25">
      <c r="A192" s="175"/>
      <c r="C192" s="177"/>
      <c r="D192" s="84"/>
      <c r="E192" s="84"/>
      <c r="F192" s="178"/>
      <c r="G192" s="178"/>
      <c r="H192" s="838" t="str">
        <f>$K$4</f>
        <v>Рекорд края 13 лет и младше</v>
      </c>
      <c r="I192" s="837">
        <f>Рекорды!B73</f>
        <v>19.850000000000001</v>
      </c>
    </row>
    <row r="193" spans="1:10" ht="12.75" customHeight="1" x14ac:dyDescent="0.25">
      <c r="A193" s="224"/>
      <c r="C193" s="224"/>
      <c r="D193" s="224"/>
      <c r="E193" s="224"/>
      <c r="F193" s="224"/>
      <c r="G193" s="224"/>
      <c r="H193" s="839"/>
      <c r="I193" s="840"/>
      <c r="J193" s="84"/>
    </row>
    <row r="194" spans="1:10" ht="14.25" customHeight="1" x14ac:dyDescent="0.25">
      <c r="A194" s="833"/>
      <c r="C194" s="772" t="s">
        <v>928</v>
      </c>
      <c r="D194" s="833"/>
      <c r="E194" s="833"/>
      <c r="F194" s="833"/>
      <c r="G194" s="833"/>
      <c r="H194" s="834"/>
      <c r="I194" s="835"/>
      <c r="J194" s="833"/>
    </row>
    <row r="195" spans="1:10" ht="15" customHeight="1" x14ac:dyDescent="0.25">
      <c r="A195" s="833"/>
      <c r="C195" s="730"/>
      <c r="D195" s="833"/>
      <c r="E195" s="833"/>
      <c r="F195" s="833"/>
      <c r="G195" s="833"/>
      <c r="H195" s="838" t="str">
        <f>$K$1</f>
        <v>Рекорд края</v>
      </c>
      <c r="I195" s="835">
        <f>Рекорды!E51</f>
        <v>106.26</v>
      </c>
      <c r="J195" s="833"/>
    </row>
    <row r="196" spans="1:10" ht="15" customHeight="1" x14ac:dyDescent="0.25">
      <c r="A196" s="175"/>
      <c r="C196" s="177"/>
      <c r="D196" s="84"/>
      <c r="E196" s="84"/>
      <c r="F196" s="178"/>
      <c r="G196" s="178"/>
      <c r="H196" s="838" t="str">
        <f>$K$1</f>
        <v>Рекорд края</v>
      </c>
      <c r="I196" s="837">
        <f>Рекорды!E5</f>
        <v>15.92</v>
      </c>
      <c r="J196" s="833"/>
    </row>
    <row r="197" spans="1:10" ht="15" customHeight="1" x14ac:dyDescent="0.25">
      <c r="A197" s="833"/>
      <c r="C197" s="730"/>
      <c r="D197" s="833"/>
      <c r="E197" s="833"/>
      <c r="F197" s="833"/>
      <c r="G197" s="833"/>
      <c r="H197" s="838" t="str">
        <f>$K$2</f>
        <v>Рекорд края 16-17 лет</v>
      </c>
      <c r="I197" s="835">
        <f>Рекорды!C51</f>
        <v>109.24</v>
      </c>
      <c r="J197" s="833"/>
    </row>
    <row r="198" spans="1:10" ht="15" customHeight="1" x14ac:dyDescent="0.25">
      <c r="A198" s="175"/>
      <c r="C198" s="177"/>
      <c r="D198" s="84"/>
      <c r="E198" s="84"/>
      <c r="F198" s="178"/>
      <c r="G198" s="178"/>
      <c r="H198" s="838" t="str">
        <f>$K$2</f>
        <v>Рекорд края 16-17 лет</v>
      </c>
      <c r="I198" s="837">
        <f>Рекорды!C5</f>
        <v>15.92</v>
      </c>
    </row>
    <row r="199" spans="1:10" ht="15" customHeight="1" x14ac:dyDescent="0.25">
      <c r="A199" s="175"/>
      <c r="C199" s="177"/>
      <c r="D199" s="84"/>
      <c r="E199" s="84"/>
      <c r="F199" s="178"/>
      <c r="G199" s="178"/>
      <c r="H199" s="838" t="str">
        <f>$K$3</f>
        <v>Рекорд края 14-15 лет</v>
      </c>
      <c r="I199" s="835">
        <f>Рекорды!E119</f>
        <v>112.19</v>
      </c>
    </row>
    <row r="200" spans="1:10" ht="15" customHeight="1" x14ac:dyDescent="0.25">
      <c r="A200" s="175"/>
      <c r="C200" s="177"/>
      <c r="D200" s="84"/>
      <c r="E200" s="84"/>
      <c r="F200" s="178"/>
      <c r="G200" s="178"/>
      <c r="H200" s="838" t="str">
        <f>$K$3</f>
        <v>Рекорд края 14-15 лет</v>
      </c>
      <c r="I200" s="837">
        <f>Рекорды!E73</f>
        <v>17.5</v>
      </c>
    </row>
    <row r="201" spans="1:10" ht="15" customHeight="1" x14ac:dyDescent="0.25">
      <c r="A201" s="175"/>
      <c r="C201" s="177"/>
      <c r="D201" s="84"/>
      <c r="E201" s="84"/>
      <c r="F201" s="178"/>
      <c r="G201" s="178"/>
      <c r="H201" s="838" t="str">
        <f>$K$4</f>
        <v>Рекорд края 13 лет и младше</v>
      </c>
      <c r="I201" s="837">
        <f>Рекорды!C119</f>
        <v>129.03</v>
      </c>
    </row>
    <row r="202" spans="1:10" ht="15" customHeight="1" x14ac:dyDescent="0.25">
      <c r="A202" s="175"/>
      <c r="C202" s="177"/>
      <c r="D202" s="84"/>
      <c r="E202" s="84"/>
      <c r="F202" s="178"/>
      <c r="G202" s="178"/>
      <c r="H202" s="838" t="str">
        <f>$K$4</f>
        <v>Рекорд края 13 лет и младше</v>
      </c>
      <c r="I202" s="837">
        <f>Рекорды!C73</f>
        <v>17.7</v>
      </c>
    </row>
    <row r="203" spans="1:10" ht="15" customHeight="1" x14ac:dyDescent="0.25">
      <c r="A203" s="833"/>
      <c r="C203" s="730"/>
      <c r="D203" s="833"/>
      <c r="E203" s="833"/>
      <c r="F203" s="833"/>
      <c r="G203" s="833"/>
      <c r="H203" s="834"/>
      <c r="I203" s="835"/>
      <c r="J203" s="833"/>
    </row>
    <row r="204" spans="1:10" ht="14.25" customHeight="1" x14ac:dyDescent="0.25">
      <c r="A204" s="833"/>
      <c r="C204" s="772" t="s">
        <v>929</v>
      </c>
      <c r="D204" s="833"/>
      <c r="E204" s="833"/>
      <c r="F204" s="833"/>
      <c r="G204" s="833"/>
      <c r="H204" s="834"/>
      <c r="I204" s="835"/>
      <c r="J204" s="833"/>
    </row>
    <row r="205" spans="1:10" ht="15" customHeight="1" x14ac:dyDescent="0.25">
      <c r="A205" s="833"/>
      <c r="C205" s="730"/>
      <c r="D205" s="833"/>
      <c r="E205" s="833"/>
      <c r="F205" s="833"/>
      <c r="G205" s="833"/>
      <c r="H205" s="838" t="str">
        <f>$K$1</f>
        <v>Рекорд края</v>
      </c>
      <c r="I205" s="835">
        <f>Рекорды!D57</f>
        <v>237.96</v>
      </c>
    </row>
    <row r="206" spans="1:10" ht="15" customHeight="1" x14ac:dyDescent="0.25">
      <c r="A206" s="175"/>
      <c r="C206" s="177"/>
      <c r="D206" s="84"/>
      <c r="E206" s="84"/>
      <c r="F206" s="178"/>
      <c r="G206" s="178"/>
      <c r="H206" s="838" t="str">
        <f>$K$1</f>
        <v>Рекорд края</v>
      </c>
      <c r="I206" s="837">
        <f>Рекорды!D8</f>
        <v>39.200000000000003</v>
      </c>
    </row>
    <row r="207" spans="1:10" ht="15" customHeight="1" x14ac:dyDescent="0.25">
      <c r="A207" s="833"/>
      <c r="C207" s="730"/>
      <c r="D207" s="833"/>
      <c r="E207" s="833"/>
      <c r="F207" s="833"/>
      <c r="G207" s="833"/>
      <c r="H207" s="838" t="str">
        <f>$K$2</f>
        <v>Рекорд края 16-17 лет</v>
      </c>
      <c r="I207" s="835">
        <f>Рекорды!B57</f>
        <v>249.04</v>
      </c>
    </row>
    <row r="208" spans="1:10" ht="15" customHeight="1" x14ac:dyDescent="0.25">
      <c r="A208" s="175"/>
      <c r="C208" s="177"/>
      <c r="D208" s="84"/>
      <c r="E208" s="84"/>
      <c r="F208" s="178"/>
      <c r="G208" s="178"/>
      <c r="H208" s="838" t="str">
        <f>$K$2</f>
        <v>Рекорд края 16-17 лет</v>
      </c>
      <c r="I208" s="837">
        <f>Рекорды!B8</f>
        <v>41.2</v>
      </c>
    </row>
    <row r="209" spans="1:10" ht="15" customHeight="1" x14ac:dyDescent="0.25">
      <c r="A209" s="175"/>
      <c r="C209" s="177"/>
      <c r="D209" s="84"/>
      <c r="E209" s="84"/>
      <c r="F209" s="178"/>
      <c r="G209" s="178"/>
      <c r="H209" s="838" t="str">
        <f>$K$3</f>
        <v>Рекорд края 14-15 лет</v>
      </c>
      <c r="I209" s="835">
        <f>Рекорды!D125</f>
        <v>259.7</v>
      </c>
    </row>
    <row r="210" spans="1:10" ht="15" customHeight="1" x14ac:dyDescent="0.25">
      <c r="A210" s="175"/>
      <c r="C210" s="177"/>
      <c r="D210" s="84"/>
      <c r="E210" s="84"/>
      <c r="F210" s="178"/>
      <c r="G210" s="178"/>
      <c r="H210" s="838" t="str">
        <f>$K$3</f>
        <v>Рекорд края 14-15 лет</v>
      </c>
      <c r="I210" s="837">
        <f>Рекорды!D76</f>
        <v>41.48</v>
      </c>
    </row>
    <row r="211" spans="1:10" ht="15" customHeight="1" x14ac:dyDescent="0.25">
      <c r="A211" s="175"/>
      <c r="C211" s="177"/>
      <c r="D211" s="84"/>
      <c r="E211" s="84"/>
      <c r="F211" s="178"/>
      <c r="G211" s="178"/>
      <c r="H211" s="838" t="str">
        <f>$K$4</f>
        <v>Рекорд края 13 лет и младше</v>
      </c>
      <c r="I211" s="837">
        <f>Рекорды!B125</f>
        <v>308.02999999999997</v>
      </c>
    </row>
    <row r="212" spans="1:10" ht="15" customHeight="1" x14ac:dyDescent="0.25">
      <c r="A212" s="175"/>
      <c r="C212" s="177"/>
      <c r="D212" s="84"/>
      <c r="E212" s="84"/>
      <c r="F212" s="178"/>
      <c r="G212" s="178"/>
      <c r="H212" s="838" t="str">
        <f>$K$4</f>
        <v>Рекорд края 13 лет и младше</v>
      </c>
      <c r="I212" s="837">
        <f>Рекорды!B76</f>
        <v>43.88</v>
      </c>
    </row>
    <row r="213" spans="1:10" ht="15" customHeight="1" x14ac:dyDescent="0.25">
      <c r="A213" s="175"/>
      <c r="C213" s="177"/>
      <c r="D213" s="84"/>
      <c r="E213" s="84"/>
      <c r="F213" s="178"/>
      <c r="G213" s="178"/>
      <c r="H213" s="839"/>
      <c r="I213" s="837"/>
      <c r="J213" s="84"/>
    </row>
    <row r="214" spans="1:10" ht="14.25" customHeight="1" x14ac:dyDescent="0.25">
      <c r="A214" s="833"/>
      <c r="C214" s="772" t="s">
        <v>930</v>
      </c>
      <c r="D214" s="833"/>
      <c r="E214" s="833"/>
      <c r="F214" s="833"/>
      <c r="G214" s="833"/>
      <c r="H214" s="836"/>
      <c r="I214" s="835"/>
      <c r="J214" s="833"/>
    </row>
    <row r="215" spans="1:10" ht="15" customHeight="1" x14ac:dyDescent="0.25">
      <c r="A215" s="833"/>
      <c r="C215" s="730"/>
      <c r="D215" s="833"/>
      <c r="E215" s="833"/>
      <c r="F215" s="833"/>
      <c r="G215" s="833"/>
      <c r="H215" s="838" t="str">
        <f>$K$1</f>
        <v>Рекорд края</v>
      </c>
      <c r="I215" s="835">
        <f>Рекорды!E57</f>
        <v>221.4</v>
      </c>
      <c r="J215" s="833"/>
    </row>
    <row r="216" spans="1:10" ht="15" customHeight="1" x14ac:dyDescent="0.25">
      <c r="A216" s="175"/>
      <c r="C216" s="177"/>
      <c r="D216" s="84"/>
      <c r="E216" s="84"/>
      <c r="F216" s="178"/>
      <c r="G216" s="178"/>
      <c r="H216" s="838" t="str">
        <f>$K$1</f>
        <v>Рекорд края</v>
      </c>
      <c r="I216" s="837">
        <f>Рекорды!E8</f>
        <v>35.56</v>
      </c>
      <c r="J216" s="833"/>
    </row>
    <row r="217" spans="1:10" ht="15" customHeight="1" x14ac:dyDescent="0.25">
      <c r="A217" s="833"/>
      <c r="C217" s="730"/>
      <c r="D217" s="833"/>
      <c r="E217" s="833"/>
      <c r="F217" s="833"/>
      <c r="G217" s="833"/>
      <c r="H217" s="838" t="str">
        <f>$K$2</f>
        <v>Рекорд края 16-17 лет</v>
      </c>
      <c r="I217" s="835">
        <f>Рекорды!C57</f>
        <v>232.02</v>
      </c>
      <c r="J217" s="833"/>
    </row>
    <row r="218" spans="1:10" ht="15" customHeight="1" x14ac:dyDescent="0.25">
      <c r="A218" s="175"/>
      <c r="C218" s="177"/>
      <c r="D218" s="84"/>
      <c r="E218" s="84"/>
      <c r="F218" s="178"/>
      <c r="G218" s="178"/>
      <c r="H218" s="838" t="str">
        <f>$K$2</f>
        <v>Рекорд края 16-17 лет</v>
      </c>
      <c r="I218" s="837">
        <f>Рекорды!C8</f>
        <v>36.24</v>
      </c>
    </row>
    <row r="219" spans="1:10" ht="15" customHeight="1" x14ac:dyDescent="0.25">
      <c r="A219" s="175"/>
      <c r="C219" s="177"/>
      <c r="D219" s="84"/>
      <c r="E219" s="84"/>
      <c r="F219" s="178"/>
      <c r="G219" s="178"/>
      <c r="H219" s="838" t="str">
        <f>$K$3</f>
        <v>Рекорд края 14-15 лет</v>
      </c>
      <c r="I219" s="835">
        <f>Рекорды!E125</f>
        <v>245.79</v>
      </c>
    </row>
    <row r="220" spans="1:10" ht="15" customHeight="1" x14ac:dyDescent="0.25">
      <c r="A220" s="175"/>
      <c r="C220" s="177"/>
      <c r="D220" s="84"/>
      <c r="E220" s="84"/>
      <c r="F220" s="178"/>
      <c r="G220" s="178"/>
      <c r="H220" s="838" t="str">
        <f>$K$3</f>
        <v>Рекорд края 14-15 лет</v>
      </c>
      <c r="I220" s="837">
        <f>Рекорды!E76</f>
        <v>37.69</v>
      </c>
    </row>
    <row r="221" spans="1:10" ht="15" customHeight="1" x14ac:dyDescent="0.25">
      <c r="A221" s="175"/>
      <c r="C221" s="177"/>
      <c r="D221" s="84"/>
      <c r="E221" s="84"/>
      <c r="F221" s="178"/>
      <c r="G221" s="178"/>
      <c r="H221" s="838" t="str">
        <f>$K$4</f>
        <v>Рекорд края 13 лет и младше</v>
      </c>
      <c r="I221" s="837">
        <f>Рекорды!C125</f>
        <v>315.31</v>
      </c>
    </row>
    <row r="222" spans="1:10" ht="15" customHeight="1" x14ac:dyDescent="0.25">
      <c r="A222" s="175"/>
      <c r="C222" s="177"/>
      <c r="D222" s="84"/>
      <c r="E222" s="84"/>
      <c r="F222" s="178"/>
      <c r="G222" s="178"/>
      <c r="H222" s="838" t="str">
        <f>$K$4</f>
        <v>Рекорд края 13 лет и младше</v>
      </c>
      <c r="I222" s="837">
        <f>Рекорды!C76</f>
        <v>40.549999999999997</v>
      </c>
    </row>
    <row r="223" spans="1:10" ht="15" customHeight="1" x14ac:dyDescent="0.25">
      <c r="A223" s="833"/>
      <c r="C223" s="730"/>
      <c r="D223" s="833"/>
      <c r="E223" s="833"/>
      <c r="F223" s="833"/>
      <c r="G223" s="833"/>
      <c r="H223" s="838"/>
      <c r="I223" s="835"/>
      <c r="J223" s="833"/>
    </row>
    <row r="224" spans="1:10" ht="13.5" customHeight="1" x14ac:dyDescent="0.25">
      <c r="A224" s="833"/>
      <c r="C224" s="772" t="s">
        <v>931</v>
      </c>
      <c r="D224" s="833"/>
      <c r="E224" s="833"/>
      <c r="F224" s="833"/>
      <c r="G224" s="833"/>
      <c r="H224" s="834"/>
      <c r="I224" s="835"/>
      <c r="J224" s="833"/>
    </row>
    <row r="225" spans="1:10" ht="15" customHeight="1" x14ac:dyDescent="0.25">
      <c r="A225" s="833"/>
      <c r="C225" s="730"/>
      <c r="D225" s="833"/>
      <c r="E225" s="833"/>
      <c r="F225" s="833"/>
      <c r="G225" s="833"/>
      <c r="H225" s="838" t="str">
        <f>$K$1</f>
        <v>Рекорд края</v>
      </c>
      <c r="I225" s="835">
        <f>Рекорды!D63</f>
        <v>607.39</v>
      </c>
    </row>
    <row r="226" spans="1:10" ht="15" customHeight="1" x14ac:dyDescent="0.25">
      <c r="A226" s="175"/>
      <c r="C226" s="177"/>
      <c r="D226" s="84"/>
      <c r="E226" s="84"/>
      <c r="F226" s="178"/>
      <c r="G226" s="178"/>
      <c r="H226" s="838" t="str">
        <f>$K$1</f>
        <v>Рекорд края</v>
      </c>
      <c r="I226" s="837">
        <f>Рекорды!D11</f>
        <v>128.51</v>
      </c>
    </row>
    <row r="227" spans="1:10" ht="15" customHeight="1" x14ac:dyDescent="0.25">
      <c r="A227" s="833"/>
      <c r="C227" s="730"/>
      <c r="D227" s="833"/>
      <c r="E227" s="833"/>
      <c r="F227" s="833"/>
      <c r="G227" s="833"/>
      <c r="H227" s="838" t="str">
        <f>$K$2</f>
        <v>Рекорд края 16-17 лет</v>
      </c>
      <c r="I227" s="835">
        <f>Рекорды!B63</f>
        <v>626.87</v>
      </c>
    </row>
    <row r="228" spans="1:10" ht="15" customHeight="1" x14ac:dyDescent="0.25">
      <c r="A228" s="175"/>
      <c r="C228" s="177"/>
      <c r="D228" s="84"/>
      <c r="E228" s="84"/>
      <c r="F228" s="178"/>
      <c r="G228" s="178"/>
      <c r="H228" s="838" t="str">
        <f>$K$2</f>
        <v>Рекорд края 16-17 лет</v>
      </c>
      <c r="I228" s="837">
        <f>Рекорды!B11</f>
        <v>132.52000000000001</v>
      </c>
    </row>
    <row r="229" spans="1:10" ht="15" customHeight="1" x14ac:dyDescent="0.25">
      <c r="A229" s="175"/>
      <c r="C229" s="177"/>
      <c r="D229" s="84"/>
      <c r="E229" s="84"/>
      <c r="F229" s="178"/>
      <c r="G229" s="178"/>
      <c r="H229" s="838" t="str">
        <f>$K$3</f>
        <v>Рекорд края 14-15 лет</v>
      </c>
      <c r="I229" s="835">
        <f>Рекорды!D131</f>
        <v>651.66</v>
      </c>
    </row>
    <row r="230" spans="1:10" ht="15" customHeight="1" x14ac:dyDescent="0.25">
      <c r="A230" s="175"/>
      <c r="C230" s="177"/>
      <c r="D230" s="84"/>
      <c r="E230" s="84"/>
      <c r="F230" s="178"/>
      <c r="G230" s="178"/>
      <c r="H230" s="838" t="str">
        <f>$K$3</f>
        <v>Рекорд края 14-15 лет</v>
      </c>
      <c r="I230" s="837">
        <f>Рекорды!D79</f>
        <v>137.02000000000001</v>
      </c>
    </row>
    <row r="231" spans="1:10" ht="15" customHeight="1" x14ac:dyDescent="0.25">
      <c r="A231" s="175"/>
      <c r="C231" s="177"/>
      <c r="D231" s="84"/>
      <c r="E231" s="84"/>
      <c r="F231" s="178"/>
      <c r="G231" s="178"/>
      <c r="H231" s="838" t="str">
        <f>$K$4</f>
        <v>Рекорд края 13 лет и младше</v>
      </c>
      <c r="I231" s="837">
        <f>Рекорды!B131</f>
        <v>709.13</v>
      </c>
    </row>
    <row r="232" spans="1:10" ht="15" customHeight="1" x14ac:dyDescent="0.25">
      <c r="A232" s="175"/>
      <c r="C232" s="177"/>
      <c r="D232" s="84"/>
      <c r="E232" s="84"/>
      <c r="F232" s="178"/>
      <c r="G232" s="178"/>
      <c r="H232" s="838" t="str">
        <f>$K$4</f>
        <v>Рекорд края 13 лет и младше</v>
      </c>
      <c r="I232" s="837">
        <f>Рекорды!B79</f>
        <v>139.87</v>
      </c>
    </row>
    <row r="233" spans="1:10" ht="15" customHeight="1" x14ac:dyDescent="0.25">
      <c r="A233" s="833"/>
      <c r="C233" s="730"/>
      <c r="D233" s="833"/>
      <c r="E233" s="833"/>
      <c r="F233" s="833"/>
      <c r="G233" s="833"/>
      <c r="H233" s="838"/>
      <c r="I233" s="835"/>
      <c r="J233" s="833"/>
    </row>
    <row r="234" spans="1:10" ht="14.25" customHeight="1" x14ac:dyDescent="0.25">
      <c r="A234" s="833"/>
      <c r="C234" s="772" t="s">
        <v>932</v>
      </c>
      <c r="D234" s="833"/>
      <c r="E234" s="833"/>
      <c r="F234" s="833"/>
      <c r="G234" s="833"/>
      <c r="H234" s="838"/>
      <c r="I234" s="835"/>
      <c r="J234" s="833"/>
    </row>
    <row r="235" spans="1:10" ht="15" customHeight="1" x14ac:dyDescent="0.25">
      <c r="A235" s="833"/>
      <c r="C235" s="730"/>
      <c r="D235" s="833"/>
      <c r="E235" s="833"/>
      <c r="F235" s="833"/>
      <c r="G235" s="833"/>
      <c r="H235" s="838" t="str">
        <f>$K$1</f>
        <v>Рекорд края</v>
      </c>
      <c r="I235" s="835">
        <f>Рекорды!E63</f>
        <v>528.86</v>
      </c>
      <c r="J235" s="833"/>
    </row>
    <row r="236" spans="1:10" ht="15" customHeight="1" x14ac:dyDescent="0.25">
      <c r="A236" s="175"/>
      <c r="C236" s="177"/>
      <c r="D236" s="84"/>
      <c r="E236" s="84"/>
      <c r="F236" s="178"/>
      <c r="G236" s="178"/>
      <c r="H236" s="838" t="str">
        <f>$K$1</f>
        <v>Рекорд края</v>
      </c>
      <c r="I236" s="837">
        <f>Рекорды!E11</f>
        <v>121.33</v>
      </c>
      <c r="J236" s="833"/>
    </row>
    <row r="237" spans="1:10" ht="15" customHeight="1" x14ac:dyDescent="0.25">
      <c r="A237" s="833"/>
      <c r="C237" s="730"/>
      <c r="D237" s="833"/>
      <c r="E237" s="833"/>
      <c r="F237" s="833"/>
      <c r="G237" s="833"/>
      <c r="H237" s="838" t="str">
        <f>$K$2</f>
        <v>Рекорд края 16-17 лет</v>
      </c>
      <c r="I237" s="835">
        <f>Рекорды!C63</f>
        <v>554.49</v>
      </c>
      <c r="J237" s="833"/>
    </row>
    <row r="238" spans="1:10" ht="15" customHeight="1" x14ac:dyDescent="0.25">
      <c r="A238" s="175"/>
      <c r="C238" s="177"/>
      <c r="D238" s="84"/>
      <c r="E238" s="84"/>
      <c r="F238" s="178"/>
      <c r="G238" s="178"/>
      <c r="H238" s="838" t="str">
        <f>$K$2</f>
        <v>Рекорд края 16-17 лет</v>
      </c>
      <c r="I238" s="837">
        <f>Рекорды!C11</f>
        <v>121.67</v>
      </c>
    </row>
    <row r="239" spans="1:10" ht="15" customHeight="1" x14ac:dyDescent="0.25">
      <c r="A239" s="175"/>
      <c r="C239" s="177"/>
      <c r="D239" s="84"/>
      <c r="E239" s="84"/>
      <c r="F239" s="178"/>
      <c r="G239" s="178"/>
      <c r="H239" s="838" t="str">
        <f>$K$3</f>
        <v>Рекорд края 14-15 лет</v>
      </c>
      <c r="I239" s="835">
        <f>Рекорды!E131</f>
        <v>630</v>
      </c>
    </row>
    <row r="240" spans="1:10" ht="15" customHeight="1" x14ac:dyDescent="0.25">
      <c r="A240" s="175"/>
      <c r="C240" s="177"/>
      <c r="D240" s="84"/>
      <c r="E240" s="84"/>
      <c r="F240" s="178"/>
      <c r="G240" s="178"/>
      <c r="H240" s="838" t="str">
        <f>$K$3</f>
        <v>Рекорд края 14-15 лет</v>
      </c>
      <c r="I240" s="837">
        <f>Рекорды!E79</f>
        <v>125.51</v>
      </c>
    </row>
    <row r="241" spans="1:11" ht="15" customHeight="1" x14ac:dyDescent="0.25">
      <c r="A241" s="175"/>
      <c r="C241" s="177"/>
      <c r="D241" s="84"/>
      <c r="E241" s="84"/>
      <c r="F241" s="178"/>
      <c r="G241" s="178"/>
      <c r="H241" s="838" t="str">
        <f>$K$4</f>
        <v>Рекорд края 13 лет и младше</v>
      </c>
      <c r="I241" s="837">
        <f>Рекорды!C131</f>
        <v>723.45</v>
      </c>
    </row>
    <row r="242" spans="1:11" ht="15" customHeight="1" x14ac:dyDescent="0.25">
      <c r="A242" s="175"/>
      <c r="C242" s="177"/>
      <c r="D242" s="84"/>
      <c r="E242" s="84"/>
      <c r="F242" s="178"/>
      <c r="G242" s="178"/>
      <c r="H242" s="838" t="str">
        <f>$K$4</f>
        <v>Рекорд края 13 лет и младше</v>
      </c>
      <c r="I242" s="837">
        <f>Рекорды!C79</f>
        <v>133.16999999999999</v>
      </c>
    </row>
    <row r="243" spans="1:11" ht="15" customHeight="1" x14ac:dyDescent="0.25">
      <c r="A243" s="833"/>
      <c r="C243" s="730"/>
      <c r="D243" s="833"/>
      <c r="E243" s="833"/>
      <c r="F243" s="833"/>
      <c r="G243" s="833"/>
      <c r="H243" s="834"/>
      <c r="I243" s="835"/>
      <c r="J243" s="833"/>
    </row>
    <row r="244" spans="1:11" ht="15" customHeight="1" x14ac:dyDescent="0.25">
      <c r="A244" s="833"/>
      <c r="C244" s="730"/>
      <c r="D244" s="833"/>
      <c r="E244" s="833"/>
      <c r="F244" s="833"/>
      <c r="G244" s="833"/>
      <c r="H244" s="834"/>
      <c r="I244" s="835"/>
      <c r="J244" s="833"/>
    </row>
    <row r="245" spans="1:11" ht="15" customHeight="1" x14ac:dyDescent="0.25">
      <c r="A245" s="833"/>
      <c r="C245" s="730"/>
      <c r="D245" s="833"/>
      <c r="E245" s="833"/>
      <c r="F245" s="833"/>
      <c r="G245" s="833"/>
      <c r="H245" s="834"/>
      <c r="I245" s="835"/>
      <c r="J245" s="833"/>
    </row>
    <row r="246" spans="1:11" ht="15" customHeight="1" x14ac:dyDescent="0.25">
      <c r="A246" s="833"/>
      <c r="C246" s="730"/>
      <c r="D246" s="833"/>
      <c r="E246" s="833"/>
      <c r="F246" s="833"/>
      <c r="G246" s="833"/>
      <c r="H246" s="834"/>
      <c r="I246" s="835"/>
      <c r="J246" s="833"/>
    </row>
    <row r="247" spans="1:11" ht="14.25" customHeight="1" x14ac:dyDescent="0.25">
      <c r="A247" s="833"/>
      <c r="C247" s="845" t="s">
        <v>423</v>
      </c>
      <c r="D247" s="833"/>
      <c r="E247" s="833"/>
      <c r="F247" s="833"/>
      <c r="G247" s="833"/>
      <c r="H247" s="834"/>
      <c r="I247" s="835"/>
      <c r="J247" s="833"/>
    </row>
    <row r="248" spans="1:11" ht="15" customHeight="1" x14ac:dyDescent="0.25">
      <c r="A248" s="175"/>
      <c r="C248" s="177"/>
      <c r="D248" s="84"/>
      <c r="E248" s="84"/>
      <c r="F248" s="178"/>
      <c r="G248" s="178"/>
      <c r="H248" s="838" t="s">
        <v>424</v>
      </c>
      <c r="I248" s="837"/>
      <c r="J248" s="833"/>
    </row>
    <row r="249" spans="1:11" ht="15" customHeight="1" x14ac:dyDescent="0.25">
      <c r="A249" s="175"/>
      <c r="C249" s="177"/>
      <c r="D249" s="84"/>
      <c r="E249" s="84"/>
      <c r="F249" s="178"/>
      <c r="G249" s="178"/>
      <c r="H249" s="839"/>
      <c r="I249" s="846"/>
      <c r="J249" s="84"/>
      <c r="K249" s="847"/>
    </row>
    <row r="250" spans="1:11" ht="15" customHeight="1" x14ac:dyDescent="0.25">
      <c r="A250" s="175"/>
      <c r="C250" s="177"/>
      <c r="D250" s="84"/>
      <c r="E250" s="84"/>
      <c r="F250" s="178"/>
      <c r="G250" s="178"/>
      <c r="H250" s="839"/>
      <c r="I250" s="846"/>
      <c r="J250" s="84"/>
      <c r="K250" s="847"/>
    </row>
    <row r="251" spans="1:11" ht="15" customHeight="1" x14ac:dyDescent="0.25">
      <c r="A251" s="175"/>
      <c r="C251" s="177"/>
      <c r="D251" s="84"/>
      <c r="E251" s="84"/>
      <c r="F251" s="178"/>
      <c r="G251" s="178"/>
      <c r="H251" s="839"/>
      <c r="I251" s="846"/>
      <c r="J251" s="84"/>
      <c r="K251" s="847"/>
    </row>
    <row r="252" spans="1:11" ht="15" customHeight="1" x14ac:dyDescent="0.25">
      <c r="A252" s="175"/>
      <c r="C252" s="177"/>
      <c r="D252" s="84"/>
      <c r="E252" s="84"/>
      <c r="F252" s="178"/>
      <c r="G252" s="178"/>
      <c r="H252" s="839"/>
      <c r="I252" s="846"/>
      <c r="J252" s="84"/>
      <c r="K252" s="847"/>
    </row>
    <row r="253" spans="1:11" ht="15" customHeight="1" x14ac:dyDescent="0.25">
      <c r="A253" s="175"/>
      <c r="C253" s="177"/>
      <c r="D253" s="84"/>
      <c r="E253" s="84"/>
      <c r="F253" s="178"/>
      <c r="G253" s="178"/>
      <c r="H253" s="839"/>
      <c r="I253" s="846"/>
      <c r="J253" s="84"/>
      <c r="K253" s="847"/>
    </row>
    <row r="254" spans="1:11" ht="15" customHeight="1" x14ac:dyDescent="0.25">
      <c r="A254" s="175"/>
      <c r="C254" s="177"/>
      <c r="D254" s="84"/>
      <c r="E254" s="84"/>
      <c r="F254" s="178"/>
      <c r="G254" s="178"/>
      <c r="H254" s="839"/>
      <c r="I254" s="846"/>
      <c r="J254" s="84"/>
      <c r="K254" s="847"/>
    </row>
    <row r="255" spans="1:11" ht="15" customHeight="1" x14ac:dyDescent="0.25">
      <c r="A255" s="175"/>
      <c r="C255" s="177"/>
      <c r="D255" s="84"/>
      <c r="E255" s="84"/>
      <c r="F255" s="178"/>
      <c r="G255" s="178"/>
      <c r="H255" s="839"/>
      <c r="I255" s="846"/>
      <c r="J255" s="84"/>
      <c r="K255" s="847"/>
    </row>
    <row r="256" spans="1:11" ht="15" customHeight="1" x14ac:dyDescent="0.25">
      <c r="A256" s="175"/>
      <c r="C256" s="177"/>
      <c r="D256" s="84"/>
      <c r="E256" s="84"/>
      <c r="F256" s="178"/>
      <c r="G256" s="178"/>
      <c r="H256" s="839"/>
      <c r="I256" s="846"/>
      <c r="J256" s="84"/>
      <c r="K256" s="847"/>
    </row>
    <row r="257" spans="1:11" ht="15" customHeight="1" x14ac:dyDescent="0.25">
      <c r="A257" s="175"/>
      <c r="C257" s="177"/>
      <c r="D257" s="84"/>
      <c r="E257" s="84"/>
      <c r="F257" s="178"/>
      <c r="G257" s="178"/>
      <c r="H257" s="839"/>
      <c r="I257" s="846"/>
      <c r="J257" s="84"/>
      <c r="K257" s="847"/>
    </row>
    <row r="258" spans="1:11" ht="14.25" customHeight="1" x14ac:dyDescent="0.25">
      <c r="A258" s="833"/>
      <c r="C258" s="845"/>
      <c r="D258" s="833"/>
      <c r="E258" s="833"/>
      <c r="F258" s="833"/>
      <c r="G258" s="833"/>
      <c r="H258" s="834"/>
      <c r="I258" s="835"/>
      <c r="J258" s="833"/>
    </row>
    <row r="259" spans="1:11" ht="14.25" customHeight="1" x14ac:dyDescent="0.25">
      <c r="A259" s="833"/>
      <c r="C259" s="845" t="s">
        <v>933</v>
      </c>
      <c r="D259" s="833"/>
      <c r="E259" s="833"/>
      <c r="F259" s="833"/>
      <c r="G259" s="833"/>
      <c r="H259" s="834"/>
      <c r="I259" s="835"/>
      <c r="J259" s="833"/>
    </row>
    <row r="260" spans="1:11" ht="14.25" customHeight="1" x14ac:dyDescent="0.25">
      <c r="A260" s="833"/>
      <c r="C260" s="845" t="s">
        <v>934</v>
      </c>
      <c r="D260" s="833"/>
      <c r="E260" s="833"/>
      <c r="F260" s="833"/>
      <c r="G260" s="833"/>
      <c r="H260" s="834"/>
      <c r="I260" s="835"/>
      <c r="J260" s="833"/>
    </row>
    <row r="262" spans="1:11" ht="14.25" customHeight="1" x14ac:dyDescent="0.25">
      <c r="A262" s="833"/>
      <c r="C262" s="845" t="s">
        <v>455</v>
      </c>
      <c r="D262" s="833"/>
      <c r="E262" s="833"/>
      <c r="F262" s="833"/>
      <c r="G262" s="833"/>
      <c r="H262" s="834"/>
      <c r="I262" s="835"/>
      <c r="J262" s="833"/>
    </row>
    <row r="263" spans="1:11" ht="14.25" customHeight="1" x14ac:dyDescent="0.25">
      <c r="A263" s="833"/>
      <c r="C263" s="845" t="s">
        <v>456</v>
      </c>
      <c r="D263" s="833"/>
      <c r="E263" s="833"/>
      <c r="F263" s="833"/>
      <c r="G263" s="833"/>
      <c r="H263" s="834"/>
      <c r="I263" s="835"/>
      <c r="J263" s="833"/>
    </row>
    <row r="265" spans="1:11" x14ac:dyDescent="0.25">
      <c r="C265" s="845" t="s">
        <v>457</v>
      </c>
    </row>
    <row r="266" spans="1:11" x14ac:dyDescent="0.25">
      <c r="C266" s="845" t="s">
        <v>458</v>
      </c>
    </row>
    <row r="267" spans="1:11" x14ac:dyDescent="0.25">
      <c r="C267" s="845"/>
    </row>
    <row r="268" spans="1:11" x14ac:dyDescent="0.25">
      <c r="C268" s="845" t="s">
        <v>459</v>
      </c>
    </row>
    <row r="269" spans="1:11" x14ac:dyDescent="0.25">
      <c r="C269" s="845" t="s">
        <v>460</v>
      </c>
    </row>
    <row r="270" spans="1:11" x14ac:dyDescent="0.25">
      <c r="C270" s="845"/>
    </row>
    <row r="271" spans="1:11" x14ac:dyDescent="0.25">
      <c r="C271" s="845" t="s">
        <v>461</v>
      </c>
    </row>
    <row r="272" spans="1:11" x14ac:dyDescent="0.25">
      <c r="C272" s="845" t="s">
        <v>462</v>
      </c>
    </row>
    <row r="273" spans="3:3" x14ac:dyDescent="0.25">
      <c r="C273" s="845"/>
    </row>
    <row r="274" spans="3:3" x14ac:dyDescent="0.25">
      <c r="C274" s="845" t="s">
        <v>463</v>
      </c>
    </row>
    <row r="275" spans="3:3" x14ac:dyDescent="0.25">
      <c r="C275" s="845" t="s">
        <v>464</v>
      </c>
    </row>
    <row r="276" spans="3:3" x14ac:dyDescent="0.25">
      <c r="C276" s="845"/>
    </row>
    <row r="277" spans="3:3" x14ac:dyDescent="0.25">
      <c r="C277" s="845" t="s">
        <v>465</v>
      </c>
    </row>
    <row r="278" spans="3:3" x14ac:dyDescent="0.25">
      <c r="C278" s="845" t="s">
        <v>466</v>
      </c>
    </row>
    <row r="279" spans="3:3" x14ac:dyDescent="0.25">
      <c r="C279" s="845"/>
    </row>
    <row r="280" spans="3:3" x14ac:dyDescent="0.25">
      <c r="C280" s="845" t="s">
        <v>467</v>
      </c>
    </row>
    <row r="281" spans="3:3" x14ac:dyDescent="0.25">
      <c r="C281" s="845" t="s">
        <v>468</v>
      </c>
    </row>
    <row r="282" spans="3:3" x14ac:dyDescent="0.25">
      <c r="C282" s="845"/>
    </row>
    <row r="283" spans="3:3" x14ac:dyDescent="0.25">
      <c r="C283" s="845" t="s">
        <v>469</v>
      </c>
    </row>
    <row r="284" spans="3:3" x14ac:dyDescent="0.25">
      <c r="C284" s="845" t="s">
        <v>470</v>
      </c>
    </row>
    <row r="285" spans="3:3" x14ac:dyDescent="0.25">
      <c r="C285" s="845"/>
    </row>
    <row r="286" spans="3:3" x14ac:dyDescent="0.25">
      <c r="C286" s="845" t="s">
        <v>471</v>
      </c>
    </row>
    <row r="287" spans="3:3" x14ac:dyDescent="0.25">
      <c r="C287" s="845" t="s">
        <v>472</v>
      </c>
    </row>
    <row r="288" spans="3:3" x14ac:dyDescent="0.25">
      <c r="C288" s="845"/>
    </row>
    <row r="289" spans="3:3" x14ac:dyDescent="0.25">
      <c r="C289" s="845" t="s">
        <v>407</v>
      </c>
    </row>
    <row r="290" spans="3:3" x14ac:dyDescent="0.25">
      <c r="C290" s="845" t="s">
        <v>935</v>
      </c>
    </row>
    <row r="291" spans="3:3" x14ac:dyDescent="0.25">
      <c r="C291" s="845"/>
    </row>
    <row r="292" spans="3:3" x14ac:dyDescent="0.25">
      <c r="C292" s="845" t="s">
        <v>410</v>
      </c>
    </row>
    <row r="293" spans="3:3" x14ac:dyDescent="0.25">
      <c r="C293" s="845" t="s">
        <v>936</v>
      </c>
    </row>
    <row r="294" spans="3:3" x14ac:dyDescent="0.25">
      <c r="C294" s="845"/>
    </row>
    <row r="295" spans="3:3" x14ac:dyDescent="0.25">
      <c r="C295" s="845" t="s">
        <v>473</v>
      </c>
    </row>
    <row r="296" spans="3:3" x14ac:dyDescent="0.25">
      <c r="C296" s="845" t="s">
        <v>474</v>
      </c>
    </row>
    <row r="297" spans="3:3" x14ac:dyDescent="0.25">
      <c r="C297" s="845"/>
    </row>
    <row r="298" spans="3:3" x14ac:dyDescent="0.25">
      <c r="C298" s="845" t="s">
        <v>414</v>
      </c>
    </row>
    <row r="299" spans="3:3" x14ac:dyDescent="0.25">
      <c r="C299" s="845" t="s">
        <v>937</v>
      </c>
    </row>
    <row r="300" spans="3:3" x14ac:dyDescent="0.25">
      <c r="C300" s="845"/>
    </row>
    <row r="301" spans="3:3" x14ac:dyDescent="0.25">
      <c r="C301" s="845" t="s">
        <v>475</v>
      </c>
    </row>
    <row r="302" spans="3:3" x14ac:dyDescent="0.25">
      <c r="C302" s="845" t="s">
        <v>476</v>
      </c>
    </row>
    <row r="303" spans="3:3" x14ac:dyDescent="0.25">
      <c r="C303" s="845"/>
    </row>
    <row r="304" spans="3:3" x14ac:dyDescent="0.25">
      <c r="C304" s="845" t="s">
        <v>477</v>
      </c>
    </row>
    <row r="305" spans="3:3" x14ac:dyDescent="0.25">
      <c r="C305" s="845" t="s">
        <v>478</v>
      </c>
    </row>
    <row r="306" spans="3:3" x14ac:dyDescent="0.25">
      <c r="C306" s="845"/>
    </row>
    <row r="307" spans="3:3" x14ac:dyDescent="0.25">
      <c r="C307" s="845" t="s">
        <v>479</v>
      </c>
    </row>
    <row r="308" spans="3:3" x14ac:dyDescent="0.25">
      <c r="C308" s="845" t="s">
        <v>480</v>
      </c>
    </row>
    <row r="309" spans="3:3" x14ac:dyDescent="0.25">
      <c r="C309" s="845"/>
    </row>
    <row r="310" spans="3:3" x14ac:dyDescent="0.25">
      <c r="C310" s="845" t="s">
        <v>481</v>
      </c>
    </row>
    <row r="311" spans="3:3" x14ac:dyDescent="0.25">
      <c r="C311" s="845" t="s">
        <v>482</v>
      </c>
    </row>
    <row r="312" spans="3:3" x14ac:dyDescent="0.25">
      <c r="C312" s="845"/>
    </row>
    <row r="313" spans="3:3" x14ac:dyDescent="0.25">
      <c r="C313" s="845" t="s">
        <v>483</v>
      </c>
    </row>
    <row r="314" spans="3:3" x14ac:dyDescent="0.25">
      <c r="C314" s="845" t="s">
        <v>484</v>
      </c>
    </row>
    <row r="315" spans="3:3" x14ac:dyDescent="0.25">
      <c r="C315" s="845"/>
    </row>
    <row r="316" spans="3:3" x14ac:dyDescent="0.25">
      <c r="C316" s="845" t="s">
        <v>485</v>
      </c>
    </row>
    <row r="317" spans="3:3" x14ac:dyDescent="0.25">
      <c r="C317" s="845" t="s">
        <v>486</v>
      </c>
    </row>
    <row r="318" spans="3:3" x14ac:dyDescent="0.25">
      <c r="C318" s="845"/>
    </row>
    <row r="319" spans="3:3" x14ac:dyDescent="0.25">
      <c r="C319" s="845" t="s">
        <v>487</v>
      </c>
    </row>
    <row r="320" spans="3:3" x14ac:dyDescent="0.25">
      <c r="C320" s="845" t="s">
        <v>488</v>
      </c>
    </row>
  </sheetData>
  <sortState ref="A420:K433">
    <sortCondition ref="C420:C433"/>
  </sortState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6"/>
  <sheetViews>
    <sheetView workbookViewId="0"/>
  </sheetViews>
  <sheetFormatPr defaultColWidth="9.140625" defaultRowHeight="15" x14ac:dyDescent="0.25"/>
  <cols>
    <col min="1" max="1" width="9.85546875" customWidth="1"/>
    <col min="2" max="2" width="22" customWidth="1"/>
    <col min="3" max="3" width="18.85546875" customWidth="1"/>
    <col min="4" max="4" width="22" customWidth="1"/>
    <col min="5" max="5" width="18.85546875" customWidth="1"/>
  </cols>
  <sheetData>
    <row r="1" spans="1:5" ht="16.5" customHeight="1" x14ac:dyDescent="0.25">
      <c r="A1" s="5236" t="s">
        <v>938</v>
      </c>
      <c r="B1" s="5260"/>
      <c r="C1" s="5261"/>
      <c r="D1" s="5262"/>
      <c r="E1" s="5263"/>
    </row>
    <row r="2" spans="1:5" ht="12" customHeight="1" x14ac:dyDescent="0.25">
      <c r="A2" s="5309" t="s">
        <v>562</v>
      </c>
      <c r="B2" s="5264" t="s">
        <v>939</v>
      </c>
      <c r="C2" s="5265"/>
      <c r="D2" s="5264" t="s">
        <v>940</v>
      </c>
      <c r="E2" s="5266"/>
    </row>
    <row r="3" spans="1:5" ht="12" customHeight="1" x14ac:dyDescent="0.25">
      <c r="A3" s="5311"/>
      <c r="B3" s="848" t="s">
        <v>264</v>
      </c>
      <c r="C3" s="848" t="s">
        <v>265</v>
      </c>
      <c r="D3" s="849" t="s">
        <v>766</v>
      </c>
      <c r="E3" s="848" t="s">
        <v>765</v>
      </c>
    </row>
    <row r="4" spans="1:5" ht="15.75" customHeight="1" x14ac:dyDescent="0.25">
      <c r="A4" s="5215" t="s">
        <v>605</v>
      </c>
      <c r="B4" s="5267"/>
      <c r="C4" s="5268"/>
      <c r="D4" s="5269"/>
      <c r="E4" s="5270"/>
    </row>
    <row r="5" spans="1:5" ht="12" customHeight="1" x14ac:dyDescent="0.25">
      <c r="A5" s="5181" t="s">
        <v>941</v>
      </c>
      <c r="B5" s="850">
        <v>18.920000000000002</v>
      </c>
      <c r="C5" s="851">
        <v>15.92</v>
      </c>
      <c r="D5" s="852">
        <v>17.940000000000001</v>
      </c>
      <c r="E5" s="851">
        <v>15.92</v>
      </c>
    </row>
    <row r="6" spans="1:5" ht="12" customHeight="1" x14ac:dyDescent="0.25">
      <c r="A6" s="5182"/>
      <c r="B6" s="853" t="s">
        <v>942</v>
      </c>
      <c r="C6" s="854" t="s">
        <v>943</v>
      </c>
      <c r="D6" s="855" t="s">
        <v>942</v>
      </c>
      <c r="E6" s="854" t="s">
        <v>943</v>
      </c>
    </row>
    <row r="7" spans="1:5" ht="12" customHeight="1" x14ac:dyDescent="0.25">
      <c r="A7" s="5183"/>
      <c r="B7" s="856" t="s">
        <v>944</v>
      </c>
      <c r="C7" s="857" t="s">
        <v>945</v>
      </c>
      <c r="D7" s="858" t="s">
        <v>946</v>
      </c>
      <c r="E7" s="857" t="s">
        <v>947</v>
      </c>
    </row>
    <row r="8" spans="1:5" ht="12" customHeight="1" x14ac:dyDescent="0.25">
      <c r="A8" s="5181" t="s">
        <v>948</v>
      </c>
      <c r="B8" s="859">
        <v>41.2</v>
      </c>
      <c r="C8" s="860">
        <v>36.24</v>
      </c>
      <c r="D8" s="861">
        <v>39.200000000000003</v>
      </c>
      <c r="E8" s="860">
        <v>35.56</v>
      </c>
    </row>
    <row r="9" spans="1:5" ht="12" customHeight="1" x14ac:dyDescent="0.25">
      <c r="A9" s="5271"/>
      <c r="B9" s="862" t="s">
        <v>949</v>
      </c>
      <c r="C9" s="863" t="s">
        <v>950</v>
      </c>
      <c r="D9" s="855" t="s">
        <v>951</v>
      </c>
      <c r="E9" s="863" t="s">
        <v>952</v>
      </c>
    </row>
    <row r="10" spans="1:5" ht="12" customHeight="1" x14ac:dyDescent="0.25">
      <c r="A10" s="5272"/>
      <c r="B10" s="864" t="s">
        <v>953</v>
      </c>
      <c r="C10" s="865" t="s">
        <v>954</v>
      </c>
      <c r="D10" s="858" t="s">
        <v>955</v>
      </c>
      <c r="E10" s="865" t="s">
        <v>955</v>
      </c>
    </row>
    <row r="11" spans="1:5" ht="12" customHeight="1" x14ac:dyDescent="0.25">
      <c r="A11" s="5181" t="s">
        <v>956</v>
      </c>
      <c r="B11" s="866">
        <v>132.52000000000001</v>
      </c>
      <c r="C11" s="860">
        <v>121.67</v>
      </c>
      <c r="D11" s="861">
        <v>128.51</v>
      </c>
      <c r="E11" s="860">
        <v>121.33</v>
      </c>
    </row>
    <row r="12" spans="1:5" ht="12" customHeight="1" x14ac:dyDescent="0.25">
      <c r="A12" s="5213"/>
      <c r="B12" s="855" t="s">
        <v>957</v>
      </c>
      <c r="C12" s="863" t="s">
        <v>958</v>
      </c>
      <c r="D12" s="855" t="s">
        <v>951</v>
      </c>
      <c r="E12" s="863" t="s">
        <v>958</v>
      </c>
    </row>
    <row r="13" spans="1:5" ht="12" customHeight="1" x14ac:dyDescent="0.25">
      <c r="A13" s="5214"/>
      <c r="B13" s="867" t="s">
        <v>959</v>
      </c>
      <c r="C13" s="858" t="s">
        <v>959</v>
      </c>
      <c r="D13" s="858" t="s">
        <v>946</v>
      </c>
      <c r="E13" s="858" t="s">
        <v>946</v>
      </c>
    </row>
    <row r="14" spans="1:5" ht="12" customHeight="1" x14ac:dyDescent="0.25">
      <c r="A14" s="5181" t="s">
        <v>960</v>
      </c>
      <c r="B14" s="868">
        <v>323.08999999999997</v>
      </c>
      <c r="C14" s="869">
        <v>305.86</v>
      </c>
      <c r="D14" s="852">
        <v>318.52</v>
      </c>
      <c r="E14" s="869">
        <v>305.45</v>
      </c>
    </row>
    <row r="15" spans="1:5" ht="12" customHeight="1" x14ac:dyDescent="0.25">
      <c r="A15" s="5298"/>
      <c r="B15" s="870" t="s">
        <v>957</v>
      </c>
      <c r="C15" s="863" t="s">
        <v>958</v>
      </c>
      <c r="D15" s="855" t="s">
        <v>961</v>
      </c>
      <c r="E15" s="863" t="s">
        <v>958</v>
      </c>
    </row>
    <row r="16" spans="1:5" ht="12" customHeight="1" x14ac:dyDescent="0.25">
      <c r="A16" s="5299"/>
      <c r="B16" s="871" t="s">
        <v>962</v>
      </c>
      <c r="C16" s="865" t="s">
        <v>963</v>
      </c>
      <c r="D16" s="872" t="s">
        <v>964</v>
      </c>
      <c r="E16" s="865" t="s">
        <v>965</v>
      </c>
    </row>
    <row r="17" spans="1:5" ht="12" customHeight="1" x14ac:dyDescent="0.25">
      <c r="A17" s="5181" t="s">
        <v>966</v>
      </c>
      <c r="B17" s="868">
        <v>709.46</v>
      </c>
      <c r="C17" s="851">
        <v>644.39</v>
      </c>
      <c r="D17" s="852">
        <v>705.36</v>
      </c>
      <c r="E17" s="869">
        <v>639.77</v>
      </c>
    </row>
    <row r="18" spans="1:5" ht="12" customHeight="1" x14ac:dyDescent="0.25">
      <c r="A18" s="5286"/>
      <c r="B18" s="870" t="s">
        <v>967</v>
      </c>
      <c r="C18" s="854" t="s">
        <v>968</v>
      </c>
      <c r="D18" s="855" t="s">
        <v>961</v>
      </c>
      <c r="E18" s="863" t="s">
        <v>969</v>
      </c>
    </row>
    <row r="19" spans="1:5" ht="12" customHeight="1" x14ac:dyDescent="0.25">
      <c r="A19" s="5287"/>
      <c r="B19" s="871" t="s">
        <v>970</v>
      </c>
      <c r="C19" s="857" t="s">
        <v>971</v>
      </c>
      <c r="D19" s="872" t="s">
        <v>972</v>
      </c>
      <c r="E19" s="865" t="s">
        <v>973</v>
      </c>
    </row>
    <row r="20" spans="1:5" ht="12" customHeight="1" x14ac:dyDescent="0.25">
      <c r="A20" s="5181" t="s">
        <v>974</v>
      </c>
      <c r="B20" s="873">
        <v>1357.87</v>
      </c>
      <c r="C20" s="874">
        <v>1331.73</v>
      </c>
      <c r="D20" s="875">
        <v>1337.4</v>
      </c>
      <c r="E20" s="876">
        <v>1249.71</v>
      </c>
    </row>
    <row r="21" spans="1:5" ht="12" customHeight="1" x14ac:dyDescent="0.25">
      <c r="A21" s="5321"/>
      <c r="B21" s="855" t="s">
        <v>975</v>
      </c>
      <c r="C21" s="854" t="s">
        <v>976</v>
      </c>
      <c r="D21" s="855" t="s">
        <v>961</v>
      </c>
      <c r="E21" s="863" t="s">
        <v>969</v>
      </c>
    </row>
    <row r="22" spans="1:5" ht="12" customHeight="1" x14ac:dyDescent="0.25">
      <c r="A22" s="5322"/>
      <c r="B22" s="872" t="s">
        <v>977</v>
      </c>
      <c r="C22" s="857" t="s">
        <v>978</v>
      </c>
      <c r="D22" s="872" t="s">
        <v>979</v>
      </c>
      <c r="E22" s="865" t="s">
        <v>980</v>
      </c>
    </row>
    <row r="23" spans="1:5" ht="15.75" customHeight="1" x14ac:dyDescent="0.25">
      <c r="A23" s="5215" t="s">
        <v>606</v>
      </c>
      <c r="B23" s="5256"/>
      <c r="C23" s="5257"/>
      <c r="D23" s="5258"/>
      <c r="E23" s="5259"/>
    </row>
    <row r="24" spans="1:5" ht="12" customHeight="1" x14ac:dyDescent="0.25">
      <c r="A24" s="5181" t="s">
        <v>948</v>
      </c>
      <c r="B24" s="859">
        <v>38.78</v>
      </c>
      <c r="C24" s="851">
        <v>34.04</v>
      </c>
      <c r="D24" s="861">
        <v>36.68</v>
      </c>
      <c r="E24" s="869">
        <v>33.19</v>
      </c>
    </row>
    <row r="25" spans="1:5" ht="12" customHeight="1" x14ac:dyDescent="0.25">
      <c r="A25" s="5292"/>
      <c r="B25" s="862" t="s">
        <v>942</v>
      </c>
      <c r="C25" s="854" t="s">
        <v>981</v>
      </c>
      <c r="D25" s="855" t="s">
        <v>942</v>
      </c>
      <c r="E25" s="863" t="s">
        <v>982</v>
      </c>
    </row>
    <row r="26" spans="1:5" ht="12" customHeight="1" x14ac:dyDescent="0.25">
      <c r="A26" s="5293"/>
      <c r="B26" s="877" t="s">
        <v>983</v>
      </c>
      <c r="C26" s="878" t="s">
        <v>984</v>
      </c>
      <c r="D26" s="858" t="s">
        <v>946</v>
      </c>
      <c r="E26" s="865" t="s">
        <v>946</v>
      </c>
    </row>
    <row r="27" spans="1:5" ht="12" customHeight="1" x14ac:dyDescent="0.25">
      <c r="A27" s="5181" t="s">
        <v>960</v>
      </c>
      <c r="B27" s="868">
        <v>313.58</v>
      </c>
      <c r="C27" s="869">
        <v>254.92</v>
      </c>
      <c r="D27" s="852">
        <v>302.88</v>
      </c>
      <c r="E27" s="869">
        <v>247.22</v>
      </c>
    </row>
    <row r="28" spans="1:5" ht="12" customHeight="1" x14ac:dyDescent="0.25">
      <c r="A28" s="5186"/>
      <c r="B28" s="870" t="s">
        <v>949</v>
      </c>
      <c r="C28" s="863" t="s">
        <v>985</v>
      </c>
      <c r="D28" s="855" t="s">
        <v>949</v>
      </c>
      <c r="E28" s="863" t="s">
        <v>982</v>
      </c>
    </row>
    <row r="29" spans="1:5" ht="12" customHeight="1" x14ac:dyDescent="0.25">
      <c r="A29" s="5187"/>
      <c r="B29" s="879" t="s">
        <v>986</v>
      </c>
      <c r="C29" s="880" t="s">
        <v>987</v>
      </c>
      <c r="D29" s="881" t="s">
        <v>988</v>
      </c>
      <c r="E29" s="865" t="s">
        <v>989</v>
      </c>
    </row>
    <row r="30" spans="1:5" ht="12" customHeight="1" x14ac:dyDescent="0.25">
      <c r="A30" s="5181" t="s">
        <v>966</v>
      </c>
      <c r="B30" s="882">
        <v>649.94000000000005</v>
      </c>
      <c r="C30" s="876">
        <v>617.28</v>
      </c>
      <c r="D30" s="875">
        <v>631.66999999999996</v>
      </c>
      <c r="E30" s="876">
        <v>601.66</v>
      </c>
    </row>
    <row r="31" spans="1:5" ht="12" customHeight="1" x14ac:dyDescent="0.25">
      <c r="A31" s="5284"/>
      <c r="B31" s="862" t="s">
        <v>949</v>
      </c>
      <c r="C31" s="863" t="s">
        <v>981</v>
      </c>
      <c r="D31" s="855" t="s">
        <v>990</v>
      </c>
      <c r="E31" s="863" t="s">
        <v>981</v>
      </c>
    </row>
    <row r="32" spans="1:5" ht="12" customHeight="1" x14ac:dyDescent="0.25">
      <c r="A32" s="5285"/>
      <c r="B32" s="864" t="s">
        <v>991</v>
      </c>
      <c r="C32" s="865" t="s">
        <v>992</v>
      </c>
      <c r="D32" s="872" t="s">
        <v>993</v>
      </c>
      <c r="E32" s="865" t="s">
        <v>994</v>
      </c>
    </row>
    <row r="33" spans="1:5" ht="15.75" customHeight="1" x14ac:dyDescent="0.25">
      <c r="A33" s="5215" t="s">
        <v>604</v>
      </c>
      <c r="B33" s="5244"/>
      <c r="C33" s="5245"/>
      <c r="D33" s="5246"/>
      <c r="E33" s="5247"/>
    </row>
    <row r="34" spans="1:5" ht="12" customHeight="1" x14ac:dyDescent="0.25">
      <c r="A34" s="5181" t="s">
        <v>995</v>
      </c>
      <c r="B34" s="859">
        <v>8.36</v>
      </c>
      <c r="C34" s="851">
        <v>7.31</v>
      </c>
      <c r="D34" s="851">
        <v>8.1</v>
      </c>
      <c r="E34" s="851">
        <v>7.14</v>
      </c>
    </row>
    <row r="35" spans="1:5" ht="12" customHeight="1" x14ac:dyDescent="0.25">
      <c r="A35" s="5312"/>
      <c r="B35" s="862" t="s">
        <v>996</v>
      </c>
      <c r="C35" s="854" t="s">
        <v>997</v>
      </c>
      <c r="D35" s="854" t="s">
        <v>990</v>
      </c>
      <c r="E35" s="854" t="s">
        <v>952</v>
      </c>
    </row>
    <row r="36" spans="1:5" ht="12" customHeight="1" x14ac:dyDescent="0.25">
      <c r="A36" s="5313"/>
      <c r="B36" s="857" t="s">
        <v>998</v>
      </c>
      <c r="C36" s="857" t="s">
        <v>999</v>
      </c>
      <c r="D36" s="857" t="s">
        <v>998</v>
      </c>
      <c r="E36" s="857" t="s">
        <v>1000</v>
      </c>
    </row>
    <row r="37" spans="1:5" ht="12" customHeight="1" x14ac:dyDescent="0.25">
      <c r="A37" s="5181" t="s">
        <v>941</v>
      </c>
      <c r="B37" s="866">
        <v>17.52</v>
      </c>
      <c r="C37" s="860">
        <v>15.36</v>
      </c>
      <c r="D37" s="860">
        <v>16.55</v>
      </c>
      <c r="E37" s="883">
        <v>14.92</v>
      </c>
    </row>
    <row r="38" spans="1:5" ht="12" customHeight="1" x14ac:dyDescent="0.25">
      <c r="A38" s="5204"/>
      <c r="B38" s="855" t="s">
        <v>1001</v>
      </c>
      <c r="C38" s="863" t="s">
        <v>997</v>
      </c>
      <c r="D38" s="863" t="s">
        <v>942</v>
      </c>
      <c r="E38" s="854" t="s">
        <v>968</v>
      </c>
    </row>
    <row r="39" spans="1:5" ht="12" customHeight="1" x14ac:dyDescent="0.25">
      <c r="A39" s="5205"/>
      <c r="B39" s="872" t="s">
        <v>1002</v>
      </c>
      <c r="C39" s="865" t="s">
        <v>1003</v>
      </c>
      <c r="D39" s="865" t="s">
        <v>965</v>
      </c>
      <c r="E39" s="857" t="s">
        <v>1004</v>
      </c>
    </row>
    <row r="40" spans="1:5" ht="15.75" customHeight="1" x14ac:dyDescent="0.25">
      <c r="A40" s="5215" t="s">
        <v>1005</v>
      </c>
      <c r="B40" s="5248"/>
      <c r="C40" s="5249"/>
      <c r="D40" s="5250"/>
      <c r="E40" s="5251"/>
    </row>
    <row r="41" spans="1:5" ht="12" customHeight="1" x14ac:dyDescent="0.25">
      <c r="A41" s="5181" t="s">
        <v>941</v>
      </c>
      <c r="B41" s="866">
        <v>21.92</v>
      </c>
      <c r="C41" s="869">
        <v>20.02</v>
      </c>
      <c r="D41" s="869">
        <v>21.46</v>
      </c>
      <c r="E41" s="869">
        <v>18.77</v>
      </c>
    </row>
    <row r="42" spans="1:5" ht="12" customHeight="1" x14ac:dyDescent="0.25">
      <c r="A42" s="5300"/>
      <c r="B42" s="855" t="s">
        <v>1006</v>
      </c>
      <c r="C42" s="863" t="s">
        <v>997</v>
      </c>
      <c r="D42" s="863" t="s">
        <v>1007</v>
      </c>
      <c r="E42" s="863" t="s">
        <v>1008</v>
      </c>
    </row>
    <row r="43" spans="1:5" ht="12" customHeight="1" x14ac:dyDescent="0.25">
      <c r="A43" s="5301"/>
      <c r="B43" s="872" t="s">
        <v>1009</v>
      </c>
      <c r="C43" s="865" t="s">
        <v>1010</v>
      </c>
      <c r="D43" s="858" t="s">
        <v>946</v>
      </c>
      <c r="E43" s="865" t="s">
        <v>1011</v>
      </c>
    </row>
    <row r="44" spans="1:5" ht="12" customHeight="1" x14ac:dyDescent="0.25">
      <c r="A44" s="5181" t="s">
        <v>948</v>
      </c>
      <c r="B44" s="866">
        <v>47.91</v>
      </c>
      <c r="C44" s="860">
        <v>43.77</v>
      </c>
      <c r="D44" s="860">
        <v>47.58</v>
      </c>
      <c r="E44" s="860">
        <v>42.7</v>
      </c>
    </row>
    <row r="45" spans="1:5" ht="12" customHeight="1" x14ac:dyDescent="0.25">
      <c r="A45" s="5184"/>
      <c r="B45" s="855" t="s">
        <v>1006</v>
      </c>
      <c r="C45" s="863" t="s">
        <v>1012</v>
      </c>
      <c r="D45" s="863" t="s">
        <v>1007</v>
      </c>
      <c r="E45" s="863" t="s">
        <v>1013</v>
      </c>
    </row>
    <row r="46" spans="1:5" ht="12" customHeight="1" x14ac:dyDescent="0.25">
      <c r="A46" s="5185"/>
      <c r="B46" s="872" t="s">
        <v>1014</v>
      </c>
      <c r="C46" s="865" t="s">
        <v>1015</v>
      </c>
      <c r="D46" s="858" t="s">
        <v>955</v>
      </c>
      <c r="E46" s="865" t="s">
        <v>1016</v>
      </c>
    </row>
    <row r="47" spans="1:5" ht="12" customHeight="1" x14ac:dyDescent="0.25">
      <c r="A47" s="5181" t="s">
        <v>956</v>
      </c>
      <c r="B47" s="866">
        <v>149.49</v>
      </c>
      <c r="C47" s="860">
        <v>138.86000000000001</v>
      </c>
      <c r="D47" s="860">
        <v>146.62</v>
      </c>
      <c r="E47" s="860">
        <v>136.33000000000001</v>
      </c>
    </row>
    <row r="48" spans="1:5" ht="12" customHeight="1" x14ac:dyDescent="0.25">
      <c r="A48" s="5282"/>
      <c r="B48" s="855" t="s">
        <v>1006</v>
      </c>
      <c r="C48" s="863" t="s">
        <v>1017</v>
      </c>
      <c r="D48" s="863" t="s">
        <v>1018</v>
      </c>
      <c r="E48" s="863" t="s">
        <v>1019</v>
      </c>
    </row>
    <row r="49" spans="1:5" ht="12" customHeight="1" x14ac:dyDescent="0.25">
      <c r="A49" s="5283"/>
      <c r="B49" s="872" t="s">
        <v>1020</v>
      </c>
      <c r="C49" s="865" t="s">
        <v>1021</v>
      </c>
      <c r="D49" s="858" t="s">
        <v>946</v>
      </c>
      <c r="E49" s="865" t="s">
        <v>1022</v>
      </c>
    </row>
    <row r="50" spans="1:5" ht="15.75" customHeight="1" x14ac:dyDescent="0.25">
      <c r="A50" s="5215" t="s">
        <v>1023</v>
      </c>
      <c r="B50" s="5252"/>
      <c r="C50" s="5253"/>
      <c r="D50" s="5254"/>
      <c r="E50" s="5255"/>
    </row>
    <row r="51" spans="1:5" ht="10.5" customHeight="1" x14ac:dyDescent="0.25">
      <c r="A51" s="5181" t="s">
        <v>1024</v>
      </c>
      <c r="B51" s="851">
        <v>120.15</v>
      </c>
      <c r="C51" s="851">
        <v>109.24</v>
      </c>
      <c r="D51" s="884">
        <v>113.61</v>
      </c>
      <c r="E51" s="851">
        <v>106.26</v>
      </c>
    </row>
    <row r="52" spans="1:5" ht="10.5" customHeight="1" x14ac:dyDescent="0.25">
      <c r="A52" s="5195"/>
      <c r="B52" s="885" t="s">
        <v>1025</v>
      </c>
      <c r="C52" s="885" t="s">
        <v>943</v>
      </c>
      <c r="D52" s="111" t="s">
        <v>990</v>
      </c>
      <c r="E52" s="886" t="s">
        <v>952</v>
      </c>
    </row>
    <row r="53" spans="1:5" ht="10.5" customHeight="1" x14ac:dyDescent="0.25">
      <c r="A53" s="5196"/>
      <c r="B53" s="885" t="s">
        <v>1026</v>
      </c>
      <c r="C53" s="885" t="s">
        <v>985</v>
      </c>
      <c r="D53" s="111" t="s">
        <v>996</v>
      </c>
      <c r="E53" s="887" t="s">
        <v>1027</v>
      </c>
    </row>
    <row r="54" spans="1:5" ht="10.5" customHeight="1" x14ac:dyDescent="0.25">
      <c r="A54" s="5197"/>
      <c r="B54" s="885" t="s">
        <v>1028</v>
      </c>
      <c r="C54" s="885" t="s">
        <v>950</v>
      </c>
      <c r="D54" s="111" t="s">
        <v>1028</v>
      </c>
      <c r="E54" s="886" t="s">
        <v>982</v>
      </c>
    </row>
    <row r="55" spans="1:5" ht="10.5" customHeight="1" x14ac:dyDescent="0.25">
      <c r="A55" s="5198"/>
      <c r="B55" s="885" t="s">
        <v>1029</v>
      </c>
      <c r="C55" s="885" t="s">
        <v>997</v>
      </c>
      <c r="D55" s="111" t="s">
        <v>1007</v>
      </c>
      <c r="E55" s="886" t="s">
        <v>1030</v>
      </c>
    </row>
    <row r="56" spans="1:5" ht="10.5" customHeight="1" x14ac:dyDescent="0.25">
      <c r="A56" s="5199"/>
      <c r="B56" s="857" t="s">
        <v>1031</v>
      </c>
      <c r="C56" s="857" t="s">
        <v>1032</v>
      </c>
      <c r="D56" s="864" t="s">
        <v>1033</v>
      </c>
      <c r="E56" s="888" t="s">
        <v>1034</v>
      </c>
    </row>
    <row r="57" spans="1:5" ht="10.5" customHeight="1" x14ac:dyDescent="0.25">
      <c r="A57" s="5181" t="s">
        <v>1035</v>
      </c>
      <c r="B57" s="860">
        <v>249.04</v>
      </c>
      <c r="C57" s="860">
        <v>232.02</v>
      </c>
      <c r="D57" s="861">
        <v>237.96</v>
      </c>
      <c r="E57" s="860">
        <v>221.4</v>
      </c>
    </row>
    <row r="58" spans="1:5" ht="10.5" customHeight="1" x14ac:dyDescent="0.25">
      <c r="A58" s="5190"/>
      <c r="B58" s="889" t="s">
        <v>1029</v>
      </c>
      <c r="C58" s="890" t="s">
        <v>950</v>
      </c>
      <c r="D58" s="891" t="s">
        <v>951</v>
      </c>
      <c r="E58" s="889" t="s">
        <v>985</v>
      </c>
    </row>
    <row r="59" spans="1:5" ht="10.5" customHeight="1" x14ac:dyDescent="0.25">
      <c r="A59" s="5191"/>
      <c r="B59" s="889" t="s">
        <v>996</v>
      </c>
      <c r="C59" s="889" t="s">
        <v>1036</v>
      </c>
      <c r="D59" s="891" t="s">
        <v>1037</v>
      </c>
      <c r="E59" s="889" t="s">
        <v>982</v>
      </c>
    </row>
    <row r="60" spans="1:5" ht="10.5" customHeight="1" x14ac:dyDescent="0.25">
      <c r="A60" s="5192"/>
      <c r="B60" s="889" t="s">
        <v>1001</v>
      </c>
      <c r="C60" s="889" t="s">
        <v>1038</v>
      </c>
      <c r="D60" s="891" t="s">
        <v>942</v>
      </c>
      <c r="E60" s="889" t="s">
        <v>950</v>
      </c>
    </row>
    <row r="61" spans="1:5" ht="10.5" customHeight="1" x14ac:dyDescent="0.25">
      <c r="A61" s="5193"/>
      <c r="B61" s="889" t="s">
        <v>1025</v>
      </c>
      <c r="C61" s="889" t="s">
        <v>985</v>
      </c>
      <c r="D61" s="891" t="s">
        <v>990</v>
      </c>
      <c r="E61" s="889" t="s">
        <v>1039</v>
      </c>
    </row>
    <row r="62" spans="1:5" ht="10.5" customHeight="1" x14ac:dyDescent="0.25">
      <c r="A62" s="5194"/>
      <c r="B62" s="858" t="s">
        <v>1040</v>
      </c>
      <c r="C62" s="858" t="s">
        <v>959</v>
      </c>
      <c r="D62" s="858" t="s">
        <v>965</v>
      </c>
      <c r="E62" s="858" t="s">
        <v>965</v>
      </c>
    </row>
    <row r="63" spans="1:5" ht="10.5" customHeight="1" x14ac:dyDescent="0.25">
      <c r="A63" s="5181" t="s">
        <v>1041</v>
      </c>
      <c r="B63" s="869">
        <v>626.87</v>
      </c>
      <c r="C63" s="869">
        <v>554.49</v>
      </c>
      <c r="D63" s="852">
        <v>607.39</v>
      </c>
      <c r="E63" s="869">
        <v>528.86</v>
      </c>
    </row>
    <row r="64" spans="1:5" ht="10.5" customHeight="1" x14ac:dyDescent="0.25">
      <c r="A64" s="5208"/>
      <c r="B64" s="889" t="s">
        <v>996</v>
      </c>
      <c r="C64" s="890" t="s">
        <v>950</v>
      </c>
      <c r="D64" s="891" t="s">
        <v>951</v>
      </c>
      <c r="E64" s="889" t="s">
        <v>950</v>
      </c>
    </row>
    <row r="65" spans="1:5" ht="10.5" customHeight="1" x14ac:dyDescent="0.25">
      <c r="A65" s="5209"/>
      <c r="B65" s="889" t="s">
        <v>1028</v>
      </c>
      <c r="C65" s="889" t="s">
        <v>1042</v>
      </c>
      <c r="D65" s="891" t="s">
        <v>990</v>
      </c>
      <c r="E65" s="889" t="s">
        <v>985</v>
      </c>
    </row>
    <row r="66" spans="1:5" ht="10.5" customHeight="1" x14ac:dyDescent="0.25">
      <c r="A66" s="5210"/>
      <c r="B66" s="889" t="s">
        <v>1029</v>
      </c>
      <c r="C66" s="889" t="s">
        <v>1043</v>
      </c>
      <c r="D66" s="891" t="s">
        <v>1037</v>
      </c>
      <c r="E66" s="889" t="s">
        <v>982</v>
      </c>
    </row>
    <row r="67" spans="1:5" ht="10.5" customHeight="1" x14ac:dyDescent="0.25">
      <c r="A67" s="5211"/>
      <c r="B67" s="889" t="s">
        <v>1025</v>
      </c>
      <c r="C67" s="889" t="s">
        <v>985</v>
      </c>
      <c r="D67" s="891" t="s">
        <v>949</v>
      </c>
      <c r="E67" s="889" t="s">
        <v>952</v>
      </c>
    </row>
    <row r="68" spans="1:5" ht="10.5" customHeight="1" x14ac:dyDescent="0.25">
      <c r="A68" s="5212"/>
      <c r="B68" s="865" t="s">
        <v>1044</v>
      </c>
      <c r="C68" s="865" t="s">
        <v>1045</v>
      </c>
      <c r="D68" s="865" t="s">
        <v>989</v>
      </c>
      <c r="E68" s="865" t="s">
        <v>989</v>
      </c>
    </row>
    <row r="69" spans="1:5" ht="16.5" customHeight="1" x14ac:dyDescent="0.25">
      <c r="A69" s="5236" t="s">
        <v>1046</v>
      </c>
      <c r="B69" s="5237"/>
      <c r="C69" s="5238"/>
      <c r="D69" s="5239"/>
      <c r="E69" s="5240"/>
    </row>
    <row r="70" spans="1:5" ht="12" customHeight="1" x14ac:dyDescent="0.25">
      <c r="A70" s="5309" t="s">
        <v>562</v>
      </c>
      <c r="B70" s="5241" t="s">
        <v>1047</v>
      </c>
      <c r="C70" s="5242"/>
      <c r="D70" s="5241" t="s">
        <v>1048</v>
      </c>
      <c r="E70" s="5243"/>
    </row>
    <row r="71" spans="1:5" ht="12" customHeight="1" x14ac:dyDescent="0.25">
      <c r="A71" s="5310"/>
      <c r="B71" s="892" t="s">
        <v>775</v>
      </c>
      <c r="C71" s="893" t="s">
        <v>774</v>
      </c>
      <c r="D71" s="893" t="s">
        <v>264</v>
      </c>
      <c r="E71" s="892" t="s">
        <v>265</v>
      </c>
    </row>
    <row r="72" spans="1:5" ht="15.75" customHeight="1" x14ac:dyDescent="0.25">
      <c r="A72" s="5215" t="s">
        <v>605</v>
      </c>
      <c r="B72" s="5232"/>
      <c r="C72" s="5233"/>
      <c r="D72" s="5234"/>
      <c r="E72" s="5235"/>
    </row>
    <row r="73" spans="1:5" ht="12" customHeight="1" x14ac:dyDescent="0.25">
      <c r="A73" s="5181" t="s">
        <v>941</v>
      </c>
      <c r="B73" s="866">
        <v>19.850000000000001</v>
      </c>
      <c r="C73" s="851">
        <v>17.7</v>
      </c>
      <c r="D73" s="861">
        <v>19.11</v>
      </c>
      <c r="E73" s="869">
        <v>17.5</v>
      </c>
    </row>
    <row r="74" spans="1:5" ht="12" customHeight="1" x14ac:dyDescent="0.25">
      <c r="A74" s="5325"/>
      <c r="B74" s="855" t="s">
        <v>1029</v>
      </c>
      <c r="C74" s="854" t="s">
        <v>1049</v>
      </c>
      <c r="D74" s="855" t="s">
        <v>1029</v>
      </c>
      <c r="E74" s="863" t="s">
        <v>1043</v>
      </c>
    </row>
    <row r="75" spans="1:5" ht="12" customHeight="1" x14ac:dyDescent="0.25">
      <c r="A75" s="5326"/>
      <c r="B75" s="872" t="s">
        <v>1050</v>
      </c>
      <c r="C75" s="894" t="s">
        <v>1051</v>
      </c>
      <c r="D75" s="865" t="s">
        <v>1052</v>
      </c>
      <c r="E75" s="865" t="s">
        <v>1053</v>
      </c>
    </row>
    <row r="76" spans="1:5" ht="12" customHeight="1" x14ac:dyDescent="0.25">
      <c r="A76" s="5181" t="s">
        <v>948</v>
      </c>
      <c r="B76" s="866">
        <v>43.88</v>
      </c>
      <c r="C76" s="883">
        <v>40.549999999999997</v>
      </c>
      <c r="D76" s="861">
        <v>41.48</v>
      </c>
      <c r="E76" s="883">
        <v>37.69</v>
      </c>
    </row>
    <row r="77" spans="1:5" ht="12" customHeight="1" x14ac:dyDescent="0.25">
      <c r="A77" s="5290"/>
      <c r="B77" s="855" t="s">
        <v>1029</v>
      </c>
      <c r="C77" s="854" t="s">
        <v>1049</v>
      </c>
      <c r="D77" s="855" t="s">
        <v>1029</v>
      </c>
      <c r="E77" s="854" t="s">
        <v>950</v>
      </c>
    </row>
    <row r="78" spans="1:5" ht="12" customHeight="1" x14ac:dyDescent="0.25">
      <c r="A78" s="5291"/>
      <c r="B78" s="872" t="s">
        <v>1054</v>
      </c>
      <c r="C78" s="857" t="s">
        <v>1055</v>
      </c>
      <c r="D78" s="865" t="s">
        <v>1056</v>
      </c>
      <c r="E78" s="857" t="s">
        <v>1057</v>
      </c>
    </row>
    <row r="79" spans="1:5" ht="12" customHeight="1" x14ac:dyDescent="0.25">
      <c r="A79" s="5181" t="s">
        <v>956</v>
      </c>
      <c r="B79" s="866">
        <v>139.87</v>
      </c>
      <c r="C79" s="883">
        <v>133.16999999999999</v>
      </c>
      <c r="D79" s="884">
        <v>137.02000000000001</v>
      </c>
      <c r="E79" s="860">
        <v>125.51</v>
      </c>
    </row>
    <row r="80" spans="1:5" ht="12" customHeight="1" x14ac:dyDescent="0.25">
      <c r="A80" s="5188"/>
      <c r="B80" s="855" t="s">
        <v>951</v>
      </c>
      <c r="C80" s="854" t="s">
        <v>950</v>
      </c>
      <c r="D80" s="862" t="s">
        <v>951</v>
      </c>
      <c r="E80" s="863" t="s">
        <v>950</v>
      </c>
    </row>
    <row r="81" spans="1:5" ht="12" customHeight="1" x14ac:dyDescent="0.25">
      <c r="A81" s="5189"/>
      <c r="B81" s="872" t="s">
        <v>1058</v>
      </c>
      <c r="C81" s="857" t="s">
        <v>1059</v>
      </c>
      <c r="D81" s="864" t="s">
        <v>1060</v>
      </c>
      <c r="E81" s="865" t="s">
        <v>1061</v>
      </c>
    </row>
    <row r="82" spans="1:5" ht="12" customHeight="1" x14ac:dyDescent="0.25">
      <c r="A82" s="5181" t="s">
        <v>960</v>
      </c>
      <c r="B82" s="866">
        <v>339.29</v>
      </c>
      <c r="C82" s="883">
        <v>327.27</v>
      </c>
      <c r="D82" s="884">
        <v>331.09</v>
      </c>
      <c r="E82" s="860">
        <v>310.17</v>
      </c>
    </row>
    <row r="83" spans="1:5" ht="12" customHeight="1" x14ac:dyDescent="0.25">
      <c r="A83" s="5200"/>
      <c r="B83" s="855" t="s">
        <v>951</v>
      </c>
      <c r="C83" s="854" t="s">
        <v>950</v>
      </c>
      <c r="D83" s="862" t="s">
        <v>967</v>
      </c>
      <c r="E83" s="863" t="s">
        <v>981</v>
      </c>
    </row>
    <row r="84" spans="1:5" ht="12" customHeight="1" x14ac:dyDescent="0.25">
      <c r="A84" s="5201"/>
      <c r="B84" s="872" t="s">
        <v>1062</v>
      </c>
      <c r="C84" s="857" t="s">
        <v>1063</v>
      </c>
      <c r="D84" s="895" t="s">
        <v>1064</v>
      </c>
      <c r="E84" s="865" t="s">
        <v>1065</v>
      </c>
    </row>
    <row r="85" spans="1:5" ht="12" customHeight="1" x14ac:dyDescent="0.25">
      <c r="A85" s="5181" t="s">
        <v>966</v>
      </c>
      <c r="B85" s="859">
        <v>746.47</v>
      </c>
      <c r="C85" s="883">
        <v>723.47</v>
      </c>
      <c r="D85" s="861">
        <v>715.49</v>
      </c>
      <c r="E85" s="883">
        <v>649.41999999999996</v>
      </c>
    </row>
    <row r="86" spans="1:5" ht="12" customHeight="1" x14ac:dyDescent="0.25">
      <c r="A86" s="5302"/>
      <c r="B86" s="862" t="s">
        <v>1037</v>
      </c>
      <c r="C86" s="854" t="s">
        <v>981</v>
      </c>
      <c r="D86" s="855" t="s">
        <v>1037</v>
      </c>
      <c r="E86" s="854" t="s">
        <v>981</v>
      </c>
    </row>
    <row r="87" spans="1:5" ht="12" customHeight="1" x14ac:dyDescent="0.25">
      <c r="A87" s="5303"/>
      <c r="B87" s="864" t="s">
        <v>1066</v>
      </c>
      <c r="C87" s="857" t="s">
        <v>1067</v>
      </c>
      <c r="D87" s="872" t="s">
        <v>1068</v>
      </c>
      <c r="E87" s="857" t="s">
        <v>1069</v>
      </c>
    </row>
    <row r="88" spans="1:5" ht="12" customHeight="1" x14ac:dyDescent="0.25">
      <c r="A88" s="5181" t="s">
        <v>974</v>
      </c>
      <c r="B88" s="859">
        <v>1506.32</v>
      </c>
      <c r="C88" s="883">
        <v>1433.92</v>
      </c>
      <c r="D88" s="861">
        <v>1407.7</v>
      </c>
      <c r="E88" s="883">
        <v>1351.37</v>
      </c>
    </row>
    <row r="89" spans="1:5" ht="12" customHeight="1" x14ac:dyDescent="0.25">
      <c r="A89" s="5273"/>
      <c r="B89" s="862" t="s">
        <v>1037</v>
      </c>
      <c r="C89" s="854" t="s">
        <v>981</v>
      </c>
      <c r="D89" s="855" t="s">
        <v>1037</v>
      </c>
      <c r="E89" s="854" t="s">
        <v>1070</v>
      </c>
    </row>
    <row r="90" spans="1:5" ht="12" customHeight="1" x14ac:dyDescent="0.25">
      <c r="A90" s="5274"/>
      <c r="B90" s="864" t="s">
        <v>1071</v>
      </c>
      <c r="C90" s="857" t="s">
        <v>1072</v>
      </c>
      <c r="D90" s="872" t="s">
        <v>1073</v>
      </c>
      <c r="E90" s="857" t="s">
        <v>1074</v>
      </c>
    </row>
    <row r="91" spans="1:5" ht="15.75" customHeight="1" x14ac:dyDescent="0.25">
      <c r="A91" s="5215" t="s">
        <v>606</v>
      </c>
      <c r="B91" s="5228"/>
      <c r="C91" s="5229"/>
      <c r="D91" s="5230"/>
      <c r="E91" s="5231"/>
    </row>
    <row r="92" spans="1:5" ht="12" customHeight="1" x14ac:dyDescent="0.25">
      <c r="A92" s="5181" t="s">
        <v>948</v>
      </c>
      <c r="B92" s="866">
        <v>41.41</v>
      </c>
      <c r="C92" s="851">
        <v>39.1</v>
      </c>
      <c r="D92" s="861">
        <v>40.01</v>
      </c>
      <c r="E92" s="869">
        <v>36.479999999999997</v>
      </c>
    </row>
    <row r="93" spans="1:5" ht="12" customHeight="1" x14ac:dyDescent="0.25">
      <c r="A93" s="5202"/>
      <c r="B93" s="855" t="s">
        <v>1075</v>
      </c>
      <c r="C93" s="854" t="s">
        <v>1042</v>
      </c>
      <c r="D93" s="855" t="s">
        <v>1075</v>
      </c>
      <c r="E93" s="863" t="s">
        <v>1076</v>
      </c>
    </row>
    <row r="94" spans="1:5" ht="12" customHeight="1" x14ac:dyDescent="0.25">
      <c r="A94" s="5203"/>
      <c r="B94" s="867" t="s">
        <v>1077</v>
      </c>
      <c r="C94" s="894" t="s">
        <v>1078</v>
      </c>
      <c r="D94" s="865" t="s">
        <v>1052</v>
      </c>
      <c r="E94" s="865" t="s">
        <v>1052</v>
      </c>
    </row>
    <row r="95" spans="1:5" ht="12" customHeight="1" x14ac:dyDescent="0.25">
      <c r="A95" s="5181" t="s">
        <v>960</v>
      </c>
      <c r="B95" s="866">
        <v>339.88</v>
      </c>
      <c r="C95" s="883">
        <v>338.06</v>
      </c>
      <c r="D95" s="861">
        <v>323.57</v>
      </c>
      <c r="E95" s="860">
        <v>304.49</v>
      </c>
    </row>
    <row r="96" spans="1:5" ht="12" customHeight="1" x14ac:dyDescent="0.25">
      <c r="A96" s="5275"/>
      <c r="B96" s="855" t="s">
        <v>1079</v>
      </c>
      <c r="C96" s="854" t="s">
        <v>985</v>
      </c>
      <c r="D96" s="855" t="s">
        <v>1075</v>
      </c>
      <c r="E96" s="863" t="s">
        <v>985</v>
      </c>
    </row>
    <row r="97" spans="1:5" ht="12" customHeight="1" x14ac:dyDescent="0.25">
      <c r="A97" s="5276"/>
      <c r="B97" s="872" t="s">
        <v>1045</v>
      </c>
      <c r="C97" s="857" t="s">
        <v>1080</v>
      </c>
      <c r="D97" s="865" t="s">
        <v>1044</v>
      </c>
      <c r="E97" s="865" t="s">
        <v>1081</v>
      </c>
    </row>
    <row r="98" spans="1:5" ht="12" customHeight="1" x14ac:dyDescent="0.25">
      <c r="A98" s="5181" t="s">
        <v>966</v>
      </c>
      <c r="B98" s="859">
        <v>746.47</v>
      </c>
      <c r="C98" s="883">
        <v>738.1</v>
      </c>
      <c r="D98" s="884">
        <v>733.18</v>
      </c>
      <c r="E98" s="883">
        <v>640.4</v>
      </c>
    </row>
    <row r="99" spans="1:5" ht="12" customHeight="1" x14ac:dyDescent="0.25">
      <c r="A99" s="5294"/>
      <c r="B99" s="862" t="s">
        <v>1037</v>
      </c>
      <c r="C99" s="854" t="s">
        <v>981</v>
      </c>
      <c r="D99" s="862" t="s">
        <v>1082</v>
      </c>
      <c r="E99" s="854" t="s">
        <v>985</v>
      </c>
    </row>
    <row r="100" spans="1:5" ht="12" customHeight="1" x14ac:dyDescent="0.25">
      <c r="A100" s="5295"/>
      <c r="B100" s="864" t="s">
        <v>1083</v>
      </c>
      <c r="C100" s="857" t="s">
        <v>1084</v>
      </c>
      <c r="D100" s="864" t="s">
        <v>1085</v>
      </c>
      <c r="E100" s="857" t="s">
        <v>1086</v>
      </c>
    </row>
    <row r="101" spans="1:5" ht="15.75" customHeight="1" x14ac:dyDescent="0.25">
      <c r="A101" s="5215" t="s">
        <v>604</v>
      </c>
      <c r="B101" s="5224"/>
      <c r="C101" s="5225"/>
      <c r="D101" s="5226"/>
      <c r="E101" s="5227"/>
    </row>
    <row r="102" spans="1:5" ht="12" customHeight="1" x14ac:dyDescent="0.25">
      <c r="A102" s="5181" t="s">
        <v>995</v>
      </c>
      <c r="B102" s="859">
        <v>8.81</v>
      </c>
      <c r="C102" s="851">
        <v>8.11</v>
      </c>
      <c r="D102" s="851">
        <v>8.81</v>
      </c>
      <c r="E102" s="851">
        <v>7.7</v>
      </c>
    </row>
    <row r="103" spans="1:5" ht="12" customHeight="1" x14ac:dyDescent="0.25">
      <c r="A103" s="5288"/>
      <c r="B103" s="862" t="s">
        <v>1075</v>
      </c>
      <c r="C103" s="854" t="s">
        <v>1043</v>
      </c>
      <c r="D103" s="854" t="s">
        <v>1075</v>
      </c>
      <c r="E103" s="854" t="s">
        <v>950</v>
      </c>
    </row>
    <row r="104" spans="1:5" ht="12" customHeight="1" x14ac:dyDescent="0.25">
      <c r="A104" s="5289"/>
      <c r="B104" s="864" t="s">
        <v>999</v>
      </c>
      <c r="C104" s="857" t="s">
        <v>999</v>
      </c>
      <c r="D104" s="857" t="s">
        <v>999</v>
      </c>
      <c r="E104" s="857" t="s">
        <v>1087</v>
      </c>
    </row>
    <row r="105" spans="1:5" ht="12" customHeight="1" x14ac:dyDescent="0.25">
      <c r="A105" s="5181" t="s">
        <v>941</v>
      </c>
      <c r="B105" s="859">
        <v>18.190000000000001</v>
      </c>
      <c r="C105" s="883">
        <v>16.649999999999999</v>
      </c>
      <c r="D105" s="883">
        <v>17.59</v>
      </c>
      <c r="E105" s="860">
        <v>15.71</v>
      </c>
    </row>
    <row r="106" spans="1:5" ht="12" customHeight="1" x14ac:dyDescent="0.25">
      <c r="A106" s="5314"/>
      <c r="B106" s="896" t="s">
        <v>1088</v>
      </c>
      <c r="C106" s="854" t="s">
        <v>1043</v>
      </c>
      <c r="D106" s="854" t="s">
        <v>1075</v>
      </c>
      <c r="E106" s="863" t="s">
        <v>1049</v>
      </c>
    </row>
    <row r="107" spans="1:5" ht="12" customHeight="1" x14ac:dyDescent="0.25">
      <c r="A107" s="5315"/>
      <c r="B107" s="864" t="s">
        <v>1089</v>
      </c>
      <c r="C107" s="857" t="s">
        <v>1090</v>
      </c>
      <c r="D107" s="857" t="s">
        <v>1089</v>
      </c>
      <c r="E107" s="865" t="s">
        <v>959</v>
      </c>
    </row>
    <row r="108" spans="1:5" ht="15.75" customHeight="1" x14ac:dyDescent="0.25">
      <c r="A108" s="5215" t="s">
        <v>1005</v>
      </c>
      <c r="B108" s="5220"/>
      <c r="C108" s="5221"/>
      <c r="D108" s="5222"/>
      <c r="E108" s="5223"/>
    </row>
    <row r="109" spans="1:5" ht="12" customHeight="1" x14ac:dyDescent="0.25">
      <c r="A109" s="5181" t="s">
        <v>941</v>
      </c>
      <c r="B109" s="859">
        <v>23.8</v>
      </c>
      <c r="C109" s="851">
        <v>22</v>
      </c>
      <c r="D109" s="851">
        <v>23</v>
      </c>
      <c r="E109" s="851">
        <v>20.79</v>
      </c>
    </row>
    <row r="110" spans="1:5" ht="12" customHeight="1" x14ac:dyDescent="0.25">
      <c r="A110" s="5296"/>
      <c r="B110" s="862" t="s">
        <v>1091</v>
      </c>
      <c r="C110" s="854" t="s">
        <v>1092</v>
      </c>
      <c r="D110" s="854" t="s">
        <v>1093</v>
      </c>
      <c r="E110" s="854" t="s">
        <v>943</v>
      </c>
    </row>
    <row r="111" spans="1:5" ht="12" customHeight="1" x14ac:dyDescent="0.25">
      <c r="A111" s="5297"/>
      <c r="B111" s="864" t="s">
        <v>1094</v>
      </c>
      <c r="C111" s="857" t="s">
        <v>1095</v>
      </c>
      <c r="D111" s="857" t="s">
        <v>1096</v>
      </c>
      <c r="E111" s="857" t="s">
        <v>1097</v>
      </c>
    </row>
    <row r="112" spans="1:5" ht="12" customHeight="1" x14ac:dyDescent="0.25">
      <c r="A112" s="5181" t="s">
        <v>948</v>
      </c>
      <c r="B112" s="859">
        <v>53.01</v>
      </c>
      <c r="C112" s="883">
        <v>48.95</v>
      </c>
      <c r="D112" s="883">
        <v>50.68</v>
      </c>
      <c r="E112" s="883">
        <v>45.9</v>
      </c>
    </row>
    <row r="113" spans="1:5" ht="12" customHeight="1" x14ac:dyDescent="0.25">
      <c r="A113" s="5206"/>
      <c r="B113" s="862" t="s">
        <v>1098</v>
      </c>
      <c r="C113" s="854" t="s">
        <v>1092</v>
      </c>
      <c r="D113" s="854" t="s">
        <v>1099</v>
      </c>
      <c r="E113" s="854" t="s">
        <v>1012</v>
      </c>
    </row>
    <row r="114" spans="1:5" ht="12" customHeight="1" x14ac:dyDescent="0.25">
      <c r="A114" s="5207"/>
      <c r="B114" s="864" t="s">
        <v>1100</v>
      </c>
      <c r="C114" s="857" t="s">
        <v>1101</v>
      </c>
      <c r="D114" s="857" t="s">
        <v>1102</v>
      </c>
      <c r="E114" s="857" t="s">
        <v>1096</v>
      </c>
    </row>
    <row r="115" spans="1:5" ht="12" customHeight="1" x14ac:dyDescent="0.25">
      <c r="A115" s="5181" t="s">
        <v>956</v>
      </c>
      <c r="B115" s="866">
        <v>158.33000000000001</v>
      </c>
      <c r="C115" s="883">
        <v>149.38999999999999</v>
      </c>
      <c r="D115" s="860">
        <v>154.19</v>
      </c>
      <c r="E115" s="860">
        <v>144.66999999999999</v>
      </c>
    </row>
    <row r="116" spans="1:5" ht="12" customHeight="1" x14ac:dyDescent="0.25">
      <c r="A116" s="5323"/>
      <c r="B116" s="855" t="s">
        <v>1103</v>
      </c>
      <c r="C116" s="854" t="s">
        <v>1092</v>
      </c>
      <c r="D116" s="863" t="s">
        <v>1018</v>
      </c>
      <c r="E116" s="863" t="s">
        <v>1012</v>
      </c>
    </row>
    <row r="117" spans="1:5" ht="12" customHeight="1" x14ac:dyDescent="0.25">
      <c r="A117" s="5324"/>
      <c r="B117" s="872" t="s">
        <v>1104</v>
      </c>
      <c r="C117" s="857" t="s">
        <v>1105</v>
      </c>
      <c r="D117" s="865" t="s">
        <v>1106</v>
      </c>
      <c r="E117" s="865" t="s">
        <v>1107</v>
      </c>
    </row>
    <row r="118" spans="1:5" ht="15.75" customHeight="1" x14ac:dyDescent="0.25">
      <c r="A118" s="5215" t="s">
        <v>1023</v>
      </c>
      <c r="B118" s="5216"/>
      <c r="C118" s="5217"/>
      <c r="D118" s="5218"/>
      <c r="E118" s="5219"/>
    </row>
    <row r="119" spans="1:5" ht="10.5" customHeight="1" x14ac:dyDescent="0.25">
      <c r="A119" s="5181" t="s">
        <v>1024</v>
      </c>
      <c r="B119" s="850">
        <v>125.14</v>
      </c>
      <c r="C119" s="851">
        <v>129.03</v>
      </c>
      <c r="D119" s="897">
        <v>124.17</v>
      </c>
      <c r="E119" s="851">
        <v>112.19</v>
      </c>
    </row>
    <row r="120" spans="1:5" ht="10.5" customHeight="1" x14ac:dyDescent="0.25">
      <c r="A120" s="5304"/>
      <c r="B120" s="898" t="s">
        <v>1088</v>
      </c>
      <c r="C120" s="885" t="s">
        <v>1027</v>
      </c>
      <c r="D120" s="111" t="s">
        <v>1029</v>
      </c>
      <c r="E120" s="885" t="s">
        <v>1108</v>
      </c>
    </row>
    <row r="121" spans="1:5" ht="10.5" customHeight="1" x14ac:dyDescent="0.25">
      <c r="A121" s="5305"/>
      <c r="B121" s="898" t="s">
        <v>1109</v>
      </c>
      <c r="C121" s="885" t="s">
        <v>1110</v>
      </c>
      <c r="D121" s="111" t="s">
        <v>1028</v>
      </c>
      <c r="E121" s="885" t="s">
        <v>1111</v>
      </c>
    </row>
    <row r="122" spans="1:5" ht="10.5" customHeight="1" x14ac:dyDescent="0.25">
      <c r="A122" s="5306"/>
      <c r="B122" s="898" t="s">
        <v>1091</v>
      </c>
      <c r="C122" s="885" t="s">
        <v>1112</v>
      </c>
      <c r="D122" s="111" t="s">
        <v>1025</v>
      </c>
      <c r="E122" s="885" t="s">
        <v>1113</v>
      </c>
    </row>
    <row r="123" spans="1:5" ht="10.5" customHeight="1" x14ac:dyDescent="0.25">
      <c r="A123" s="5307"/>
      <c r="B123" s="898" t="s">
        <v>1114</v>
      </c>
      <c r="C123" s="885" t="s">
        <v>981</v>
      </c>
      <c r="D123" s="111" t="s">
        <v>1026</v>
      </c>
      <c r="E123" s="885" t="s">
        <v>943</v>
      </c>
    </row>
    <row r="124" spans="1:5" ht="10.5" customHeight="1" x14ac:dyDescent="0.25">
      <c r="A124" s="5308"/>
      <c r="B124" s="856" t="s">
        <v>1031</v>
      </c>
      <c r="C124" s="857" t="s">
        <v>1115</v>
      </c>
      <c r="D124" s="864" t="s">
        <v>1116</v>
      </c>
      <c r="E124" s="857" t="s">
        <v>1117</v>
      </c>
    </row>
    <row r="125" spans="1:5" ht="10.5" customHeight="1" x14ac:dyDescent="0.25">
      <c r="A125" s="5181" t="s">
        <v>1035</v>
      </c>
      <c r="B125" s="873">
        <v>308.02999999999997</v>
      </c>
      <c r="C125" s="874">
        <v>315.31</v>
      </c>
      <c r="D125" s="875">
        <v>259.7</v>
      </c>
      <c r="E125" s="876">
        <v>245.79</v>
      </c>
    </row>
    <row r="126" spans="1:5" ht="10.5" customHeight="1" x14ac:dyDescent="0.25">
      <c r="A126" s="5316"/>
      <c r="B126" s="891" t="s">
        <v>1091</v>
      </c>
      <c r="C126" s="885" t="s">
        <v>1118</v>
      </c>
      <c r="D126" s="891" t="s">
        <v>1001</v>
      </c>
      <c r="E126" s="889" t="s">
        <v>1092</v>
      </c>
    </row>
    <row r="127" spans="1:5" ht="10.5" customHeight="1" x14ac:dyDescent="0.25">
      <c r="A127" s="5317"/>
      <c r="B127" s="891" t="s">
        <v>1119</v>
      </c>
      <c r="C127" s="885" t="s">
        <v>1120</v>
      </c>
      <c r="D127" s="891" t="s">
        <v>1121</v>
      </c>
      <c r="E127" s="889" t="s">
        <v>976</v>
      </c>
    </row>
    <row r="128" spans="1:5" ht="10.5" customHeight="1" x14ac:dyDescent="0.25">
      <c r="A128" s="5318"/>
      <c r="B128" s="891" t="s">
        <v>1122</v>
      </c>
      <c r="C128" s="885" t="s">
        <v>1123</v>
      </c>
      <c r="D128" s="891" t="s">
        <v>1124</v>
      </c>
      <c r="E128" s="889" t="s">
        <v>1042</v>
      </c>
    </row>
    <row r="129" spans="1:5" ht="10.5" customHeight="1" x14ac:dyDescent="0.25">
      <c r="A129" s="5319"/>
      <c r="B129" s="891" t="s">
        <v>1125</v>
      </c>
      <c r="C129" s="885" t="s">
        <v>981</v>
      </c>
      <c r="D129" s="891" t="s">
        <v>1029</v>
      </c>
      <c r="E129" s="889" t="s">
        <v>1126</v>
      </c>
    </row>
    <row r="130" spans="1:5" ht="10.5" customHeight="1" x14ac:dyDescent="0.25">
      <c r="A130" s="5320"/>
      <c r="B130" s="867" t="s">
        <v>1127</v>
      </c>
      <c r="C130" s="894" t="s">
        <v>1128</v>
      </c>
      <c r="D130" s="867" t="s">
        <v>1129</v>
      </c>
      <c r="E130" s="858" t="s">
        <v>1129</v>
      </c>
    </row>
    <row r="131" spans="1:5" ht="10.5" customHeight="1" x14ac:dyDescent="0.25">
      <c r="A131" s="5181" t="s">
        <v>1041</v>
      </c>
      <c r="B131" s="868">
        <v>709.13</v>
      </c>
      <c r="C131" s="851">
        <v>723.45</v>
      </c>
      <c r="D131" s="852">
        <v>651.66</v>
      </c>
      <c r="E131" s="851">
        <v>630</v>
      </c>
    </row>
    <row r="132" spans="1:5" ht="10.5" customHeight="1" x14ac:dyDescent="0.25">
      <c r="A132" s="5277"/>
      <c r="B132" s="899" t="s">
        <v>1119</v>
      </c>
      <c r="C132" s="885" t="s">
        <v>1130</v>
      </c>
      <c r="D132" s="891" t="s">
        <v>1029</v>
      </c>
      <c r="E132" s="885" t="s">
        <v>1113</v>
      </c>
    </row>
    <row r="133" spans="1:5" ht="10.5" customHeight="1" x14ac:dyDescent="0.25">
      <c r="A133" s="5278"/>
      <c r="B133" s="899" t="s">
        <v>1131</v>
      </c>
      <c r="C133" s="885" t="s">
        <v>1110</v>
      </c>
      <c r="D133" s="891" t="s">
        <v>1001</v>
      </c>
      <c r="E133" s="885" t="s">
        <v>950</v>
      </c>
    </row>
    <row r="134" spans="1:5" ht="10.5" customHeight="1" x14ac:dyDescent="0.25">
      <c r="A134" s="5279"/>
      <c r="B134" s="899" t="s">
        <v>1122</v>
      </c>
      <c r="C134" s="885" t="s">
        <v>1132</v>
      </c>
      <c r="D134" s="891" t="s">
        <v>1133</v>
      </c>
      <c r="E134" s="885" t="s">
        <v>1108</v>
      </c>
    </row>
    <row r="135" spans="1:5" ht="10.5" customHeight="1" x14ac:dyDescent="0.25">
      <c r="A135" s="5280"/>
      <c r="B135" s="899" t="s">
        <v>1134</v>
      </c>
      <c r="C135" s="885" t="s">
        <v>981</v>
      </c>
      <c r="D135" s="891" t="s">
        <v>1124</v>
      </c>
      <c r="E135" s="885" t="s">
        <v>943</v>
      </c>
    </row>
    <row r="136" spans="1:5" ht="10.5" customHeight="1" x14ac:dyDescent="0.25">
      <c r="A136" s="5281"/>
      <c r="B136" s="871" t="s">
        <v>1135</v>
      </c>
      <c r="C136" s="857" t="s">
        <v>1136</v>
      </c>
      <c r="D136" s="872" t="s">
        <v>1077</v>
      </c>
      <c r="E136" s="857" t="s">
        <v>1137</v>
      </c>
    </row>
  </sheetData>
  <mergeCells count="52">
    <mergeCell ref="A131:A136"/>
    <mergeCell ref="A47:A49"/>
    <mergeCell ref="A30:A32"/>
    <mergeCell ref="A17:A19"/>
    <mergeCell ref="A102:A104"/>
    <mergeCell ref="A76:A78"/>
    <mergeCell ref="A24:A26"/>
    <mergeCell ref="A98:A100"/>
    <mergeCell ref="A109:A111"/>
    <mergeCell ref="A41:A43"/>
    <mergeCell ref="A85:A87"/>
    <mergeCell ref="A119:A124"/>
    <mergeCell ref="A70:A71"/>
    <mergeCell ref="A34:A36"/>
    <mergeCell ref="A105:A107"/>
    <mergeCell ref="A125:A130"/>
    <mergeCell ref="A1:E1"/>
    <mergeCell ref="B2:C2"/>
    <mergeCell ref="D2:E2"/>
    <mergeCell ref="A4:E4"/>
    <mergeCell ref="A8:A10"/>
    <mergeCell ref="A2:A3"/>
    <mergeCell ref="A118:E118"/>
    <mergeCell ref="A108:E108"/>
    <mergeCell ref="A101:E101"/>
    <mergeCell ref="A91:E91"/>
    <mergeCell ref="A72:E72"/>
    <mergeCell ref="A88:A90"/>
    <mergeCell ref="A95:A97"/>
    <mergeCell ref="A115:A117"/>
    <mergeCell ref="A73:A75"/>
    <mergeCell ref="A82:A84"/>
    <mergeCell ref="A92:A94"/>
    <mergeCell ref="A37:A39"/>
    <mergeCell ref="A112:A114"/>
    <mergeCell ref="A63:A68"/>
    <mergeCell ref="A69:E69"/>
    <mergeCell ref="B70:C70"/>
    <mergeCell ref="D70:E70"/>
    <mergeCell ref="A40:E40"/>
    <mergeCell ref="A50:E50"/>
    <mergeCell ref="A5:A7"/>
    <mergeCell ref="A44:A46"/>
    <mergeCell ref="A27:A29"/>
    <mergeCell ref="A79:A81"/>
    <mergeCell ref="A57:A62"/>
    <mergeCell ref="A51:A56"/>
    <mergeCell ref="A11:A13"/>
    <mergeCell ref="A33:E33"/>
    <mergeCell ref="A23:E23"/>
    <mergeCell ref="A14:A16"/>
    <mergeCell ref="A20:A22"/>
  </mergeCells>
  <conditionalFormatting sqref="B73">
    <cfRule type="expression" dxfId="4" priority="5">
      <formula>IF(NOT(ISBLANK(B73)), IF(ISNUMBER(B73), IF(INT(B73/10000)&gt;23, TRUE, IF(INT(MOD(B73, 10000)/100)&gt;59.99, TRUE, IF(MOD(B73, 100)&gt;59.99, TRUE, FALSE))), TRUE))</formula>
    </cfRule>
  </conditionalFormatting>
  <conditionalFormatting sqref="D5 D8:E8 B11:E11 B14 D14:E14 B17 D17:E17 B20 D20:E20 D24:E24 B27:E27 C30:E30 B37:D37 C41 E41 B44:E44 B47:C47 E47 B57:E57 B63:E63 E73 B76 D76 B79 E79 B82 E82 D85 D88 B92 D92:E92 B95 E95 D105:E105 D115:E115 D125:E125 D131">
    <cfRule type="expression" dxfId="3" priority="4">
      <formula>IF(NOT(ISBLANK(B5)), IF(ISNUMBER(B5), IF(INT(B5/10000)&gt;23, TRUE, IF(INT(MOD(B5, 10000)/100)&gt;59.99, TRUE, IF(MOD(B5, 100)&gt;59.99, TRUE, FALSE))), TRUE))</formula>
    </cfRule>
  </conditionalFormatting>
  <conditionalFormatting sqref="E131">
    <cfRule type="expression" dxfId="2" priority="3">
      <formula>IF(NOT(ISBLANK(E131)), IF(ISNUMBER(E131), IF(INT(E131/10000)&gt;23, TRUE, IF(INT(MOD(E131, 10000)/100)&gt;59.99, TRUE, IF(MOD(E131, 100)&gt;59.99, TRUE, FALSE))), TRUE))</formula>
    </cfRule>
  </conditionalFormatting>
  <conditionalFormatting sqref="B5:C5 E5 B8:C8 C17 C20 B24:C24 B30 B34:E34 E37 B41 D41 D47 B51:E51 C73:D73 C76 E76 C79:D79 C82:D82 B85:C85 E85 B88:C88 E88 C92 C95:D95 B98:E98 B102:E102 B105:C105 B109:E109 B112:E112 B115:C115 B119:E119 B125:C125 B131:C131">
    <cfRule type="expression" dxfId="1" priority="2">
      <formula>IF(NOT(ISBLANK(B5)), IF(ISNUMBER(B5), IF(INT(B5/10000)&gt;23, TRUE, IF(INT(MOD(B5, 10000)/100)&gt;59.99, TRUE, IF(MOD(B5, 100)&gt;59.99, TRUE, FALSE))), TRUE))</formula>
    </cfRule>
  </conditionalFormatting>
  <conditionalFormatting sqref="C14">
    <cfRule type="expression" dxfId="0" priority="1">
      <formula>IF(NOT(ISBLANK(C14)), IF(ISNUMBER(C14), IF(INT(C14/10000)&gt;23, TRUE, IF(INT(MOD(C14, 10000)/100)&gt;59.99, TRUE, IF(MOD(C14, 100)&gt;59.99, TRUE, FALSE))), TRUE))</formula>
    </cfRule>
  </conditionalFormatting>
  <pageMargins left="0.51999998092651367" right="0.32000002264976501" top="0.32000002264976501" bottom="0.37000000476837158" header="0.30000001192092896" footer="0.30000001192092896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/>
  </sheetViews>
  <sheetFormatPr defaultColWidth="9.140625" defaultRowHeight="15" x14ac:dyDescent="0.25"/>
  <cols>
    <col min="1" max="1" width="3.140625" style="900" customWidth="1"/>
    <col min="2" max="2" width="10" style="900" customWidth="1"/>
    <col min="3" max="3" width="5.7109375" style="900" customWidth="1"/>
    <col min="4" max="4" width="10" style="900" customWidth="1"/>
    <col min="5" max="5" width="5.7109375" style="900" customWidth="1"/>
    <col min="6" max="6" width="10" style="900" customWidth="1"/>
    <col min="7" max="7" width="5.7109375" style="900" customWidth="1"/>
    <col min="8" max="8" width="10" style="900" customWidth="1"/>
    <col min="9" max="9" width="5.7109375" style="900" customWidth="1"/>
    <col min="10" max="10" width="10" style="900" customWidth="1"/>
    <col min="11" max="11" width="5.7109375" style="900" customWidth="1"/>
    <col min="12" max="12" width="10" style="900" customWidth="1"/>
    <col min="13" max="13" width="5.7109375" style="900" customWidth="1"/>
    <col min="14" max="14" width="9.140625" style="900" bestFit="1" customWidth="1"/>
    <col min="15" max="16384" width="9.140625" style="900"/>
  </cols>
  <sheetData>
    <row r="1" spans="1:13" ht="28.5" customHeight="1" x14ac:dyDescent="0.3">
      <c r="A1" s="901" t="s">
        <v>1138</v>
      </c>
      <c r="B1" s="902"/>
      <c r="C1" s="903"/>
      <c r="D1" s="903"/>
    </row>
    <row r="2" spans="1:13" s="103" customFormat="1" ht="21" customHeight="1" x14ac:dyDescent="0.25">
      <c r="A2" s="904"/>
      <c r="B2" s="5327" t="s">
        <v>1139</v>
      </c>
      <c r="C2" s="5328"/>
      <c r="D2" s="5327" t="s">
        <v>1140</v>
      </c>
      <c r="E2" s="5333"/>
      <c r="F2" s="5327" t="s">
        <v>1141</v>
      </c>
      <c r="G2" s="5332"/>
      <c r="H2" s="5327" t="s">
        <v>1142</v>
      </c>
      <c r="I2" s="5331"/>
      <c r="J2" s="5327" t="s">
        <v>1143</v>
      </c>
      <c r="K2" s="5330"/>
      <c r="L2" s="5327" t="s">
        <v>1144</v>
      </c>
      <c r="M2" s="5329"/>
    </row>
    <row r="3" spans="1:13" s="103" customFormat="1" ht="16.5" customHeight="1" x14ac:dyDescent="0.25">
      <c r="A3" s="904"/>
      <c r="B3" s="905" t="s">
        <v>1145</v>
      </c>
      <c r="C3" s="906" t="s">
        <v>1146</v>
      </c>
      <c r="D3" s="905" t="s">
        <v>1145</v>
      </c>
      <c r="E3" s="906" t="s">
        <v>1146</v>
      </c>
      <c r="F3" s="905" t="s">
        <v>1145</v>
      </c>
      <c r="G3" s="906" t="s">
        <v>1146</v>
      </c>
      <c r="H3" s="905" t="s">
        <v>1145</v>
      </c>
      <c r="I3" s="906" t="s">
        <v>1146</v>
      </c>
      <c r="J3" s="905" t="s">
        <v>1145</v>
      </c>
      <c r="K3" s="906" t="s">
        <v>1146</v>
      </c>
      <c r="L3" s="905" t="s">
        <v>1145</v>
      </c>
      <c r="M3" s="906" t="s">
        <v>1146</v>
      </c>
    </row>
    <row r="4" spans="1:13" s="103" customFormat="1" ht="24.95" customHeight="1" x14ac:dyDescent="0.25">
      <c r="A4" s="907">
        <v>1</v>
      </c>
      <c r="B4" s="908"/>
      <c r="C4" s="908"/>
      <c r="D4" s="908"/>
      <c r="E4" s="908"/>
      <c r="F4" s="908"/>
      <c r="G4" s="908"/>
      <c r="H4" s="908"/>
      <c r="I4" s="908"/>
      <c r="J4" s="908"/>
      <c r="K4" s="908"/>
      <c r="L4" s="908"/>
      <c r="M4" s="908"/>
    </row>
    <row r="5" spans="1:13" s="103" customFormat="1" ht="24.95" customHeight="1" x14ac:dyDescent="0.25">
      <c r="A5" s="907">
        <v>2</v>
      </c>
      <c r="B5" s="908"/>
      <c r="C5" s="908"/>
      <c r="D5" s="908"/>
      <c r="E5" s="908"/>
      <c r="F5" s="908"/>
      <c r="G5" s="908"/>
      <c r="H5" s="908"/>
      <c r="I5" s="908"/>
      <c r="J5" s="908"/>
      <c r="K5" s="908"/>
      <c r="L5" s="908"/>
      <c r="M5" s="908"/>
    </row>
    <row r="6" spans="1:13" s="103" customFormat="1" ht="24.95" customHeight="1" x14ac:dyDescent="0.25">
      <c r="A6" s="907">
        <v>3</v>
      </c>
      <c r="B6" s="908"/>
      <c r="C6" s="908"/>
      <c r="D6" s="908"/>
      <c r="E6" s="908"/>
      <c r="F6" s="908"/>
      <c r="G6" s="908"/>
      <c r="H6" s="908"/>
      <c r="I6" s="908"/>
      <c r="J6" s="908"/>
      <c r="K6" s="908"/>
      <c r="L6" s="908"/>
      <c r="M6" s="908"/>
    </row>
    <row r="7" spans="1:13" s="103" customFormat="1" ht="24.95" customHeight="1" x14ac:dyDescent="0.25">
      <c r="A7" s="907">
        <v>4</v>
      </c>
      <c r="B7" s="908"/>
      <c r="C7" s="908"/>
      <c r="D7" s="908"/>
      <c r="E7" s="908"/>
      <c r="F7" s="908"/>
      <c r="G7" s="908"/>
      <c r="H7" s="908"/>
      <c r="I7" s="908"/>
      <c r="J7" s="908"/>
      <c r="K7" s="908"/>
      <c r="L7" s="908"/>
      <c r="M7" s="908"/>
    </row>
    <row r="8" spans="1:13" s="103" customFormat="1" ht="24.95" customHeight="1" x14ac:dyDescent="0.25">
      <c r="A8" s="907">
        <v>5</v>
      </c>
      <c r="B8" s="908"/>
      <c r="C8" s="908"/>
      <c r="D8" s="908"/>
      <c r="E8" s="908"/>
      <c r="F8" s="908"/>
      <c r="G8" s="908"/>
      <c r="H8" s="908"/>
      <c r="I8" s="908"/>
      <c r="J8" s="908"/>
      <c r="K8" s="908"/>
      <c r="L8" s="908"/>
      <c r="M8" s="908"/>
    </row>
    <row r="9" spans="1:13" s="103" customFormat="1" ht="24.95" customHeight="1" x14ac:dyDescent="0.25">
      <c r="A9" s="907">
        <v>6</v>
      </c>
      <c r="B9" s="908"/>
      <c r="C9" s="908"/>
      <c r="D9" s="908"/>
      <c r="E9" s="908"/>
      <c r="F9" s="908"/>
      <c r="G9" s="908"/>
      <c r="H9" s="908"/>
      <c r="I9" s="908"/>
      <c r="J9" s="908"/>
      <c r="K9" s="908"/>
      <c r="L9" s="908"/>
      <c r="M9" s="908"/>
    </row>
    <row r="10" spans="1:13" s="103" customFormat="1" ht="24.95" customHeight="1" x14ac:dyDescent="0.25">
      <c r="A10" s="907">
        <v>7</v>
      </c>
      <c r="B10" s="908"/>
      <c r="C10" s="908"/>
      <c r="D10" s="908"/>
      <c r="E10" s="908"/>
      <c r="F10" s="908"/>
      <c r="G10" s="908"/>
      <c r="H10" s="908"/>
      <c r="I10" s="908"/>
      <c r="J10" s="908"/>
      <c r="K10" s="908"/>
      <c r="L10" s="908"/>
      <c r="M10" s="908"/>
    </row>
    <row r="11" spans="1:13" s="103" customFormat="1" ht="24.95" customHeight="1" x14ac:dyDescent="0.25">
      <c r="A11" s="907">
        <v>8</v>
      </c>
      <c r="B11" s="908"/>
      <c r="C11" s="908"/>
      <c r="D11" s="908"/>
      <c r="E11" s="908"/>
      <c r="F11" s="908"/>
      <c r="G11" s="908"/>
      <c r="H11" s="908"/>
      <c r="I11" s="908"/>
      <c r="J11" s="908"/>
      <c r="K11" s="908"/>
      <c r="L11" s="908"/>
      <c r="M11" s="908"/>
    </row>
    <row r="12" spans="1:13" s="103" customFormat="1" ht="24.95" customHeight="1" x14ac:dyDescent="0.25">
      <c r="A12" s="907">
        <v>9</v>
      </c>
      <c r="B12" s="908"/>
      <c r="C12" s="908"/>
      <c r="D12" s="908"/>
      <c r="E12" s="908"/>
      <c r="F12" s="908"/>
      <c r="G12" s="908"/>
      <c r="H12" s="908"/>
      <c r="I12" s="908"/>
      <c r="J12" s="908"/>
      <c r="K12" s="908"/>
      <c r="L12" s="908"/>
      <c r="M12" s="908"/>
    </row>
    <row r="13" spans="1:13" s="103" customFormat="1" ht="24.95" customHeight="1" x14ac:dyDescent="0.25">
      <c r="A13" s="907">
        <v>10</v>
      </c>
      <c r="B13" s="908"/>
      <c r="C13" s="908"/>
      <c r="D13" s="908"/>
      <c r="E13" s="908"/>
      <c r="F13" s="908"/>
      <c r="G13" s="908"/>
      <c r="H13" s="908"/>
      <c r="I13" s="908"/>
      <c r="J13" s="908"/>
      <c r="K13" s="908"/>
      <c r="L13" s="908"/>
      <c r="M13" s="908"/>
    </row>
    <row r="14" spans="1:13" s="103" customFormat="1" ht="24.95" customHeight="1" x14ac:dyDescent="0.25">
      <c r="A14" s="907">
        <v>11</v>
      </c>
      <c r="B14" s="908"/>
      <c r="C14" s="908"/>
      <c r="D14" s="908"/>
      <c r="E14" s="908"/>
      <c r="F14" s="908"/>
      <c r="G14" s="908"/>
      <c r="H14" s="908"/>
      <c r="I14" s="908"/>
      <c r="J14" s="908"/>
      <c r="K14" s="908"/>
      <c r="L14" s="908"/>
      <c r="M14" s="908"/>
    </row>
    <row r="15" spans="1:13" s="103" customFormat="1" ht="24.95" customHeight="1" x14ac:dyDescent="0.25">
      <c r="A15" s="907">
        <v>12</v>
      </c>
      <c r="B15" s="908"/>
      <c r="C15" s="908"/>
      <c r="D15" s="908"/>
      <c r="E15" s="908"/>
      <c r="F15" s="908"/>
      <c r="G15" s="908"/>
      <c r="H15" s="908"/>
      <c r="I15" s="908"/>
      <c r="J15" s="908"/>
      <c r="K15" s="908"/>
      <c r="L15" s="908"/>
      <c r="M15" s="908"/>
    </row>
    <row r="16" spans="1:13" s="103" customFormat="1" ht="24.95" customHeight="1" x14ac:dyDescent="0.25">
      <c r="A16" s="907">
        <v>13</v>
      </c>
      <c r="B16" s="908"/>
      <c r="C16" s="908"/>
      <c r="D16" s="908"/>
      <c r="E16" s="908"/>
      <c r="F16" s="908"/>
      <c r="G16" s="908"/>
      <c r="H16" s="908"/>
      <c r="I16" s="908"/>
      <c r="J16" s="908"/>
      <c r="K16" s="908"/>
      <c r="L16" s="908"/>
      <c r="M16" s="908"/>
    </row>
    <row r="17" spans="1:13" s="103" customFormat="1" ht="24.95" customHeight="1" x14ac:dyDescent="0.25">
      <c r="A17" s="907">
        <v>14</v>
      </c>
      <c r="B17" s="908"/>
      <c r="C17" s="908"/>
      <c r="D17" s="908"/>
      <c r="E17" s="908"/>
      <c r="F17" s="908"/>
      <c r="G17" s="908"/>
      <c r="H17" s="908"/>
      <c r="I17" s="908"/>
      <c r="J17" s="908"/>
      <c r="K17" s="908"/>
      <c r="L17" s="908"/>
      <c r="M17" s="908"/>
    </row>
    <row r="18" spans="1:13" s="103" customFormat="1" ht="24.95" customHeight="1" x14ac:dyDescent="0.25">
      <c r="A18" s="907">
        <v>15</v>
      </c>
      <c r="B18" s="908"/>
      <c r="C18" s="908"/>
      <c r="D18" s="908"/>
      <c r="E18" s="908"/>
      <c r="F18" s="908"/>
      <c r="G18" s="908"/>
      <c r="H18" s="908"/>
      <c r="I18" s="908"/>
      <c r="J18" s="908"/>
      <c r="K18" s="908"/>
      <c r="L18" s="908"/>
      <c r="M18" s="908"/>
    </row>
    <row r="19" spans="1:13" s="103" customFormat="1" ht="24.95" customHeight="1" x14ac:dyDescent="0.25">
      <c r="A19" s="907">
        <v>16</v>
      </c>
      <c r="B19" s="908"/>
      <c r="C19" s="908"/>
      <c r="D19" s="908"/>
      <c r="E19" s="908"/>
      <c r="F19" s="908"/>
      <c r="G19" s="908"/>
      <c r="H19" s="908"/>
      <c r="I19" s="908"/>
      <c r="J19" s="908"/>
      <c r="K19" s="908"/>
      <c r="L19" s="908"/>
      <c r="M19" s="908"/>
    </row>
    <row r="20" spans="1:13" s="103" customFormat="1" ht="24.95" customHeight="1" x14ac:dyDescent="0.25">
      <c r="A20" s="907">
        <v>17</v>
      </c>
      <c r="B20" s="908"/>
      <c r="C20" s="908"/>
      <c r="D20" s="908"/>
      <c r="E20" s="908"/>
      <c r="F20" s="908"/>
      <c r="G20" s="908"/>
      <c r="H20" s="908"/>
      <c r="I20" s="908"/>
      <c r="J20" s="908"/>
      <c r="K20" s="908"/>
      <c r="L20" s="908"/>
      <c r="M20" s="908"/>
    </row>
    <row r="21" spans="1:13" s="103" customFormat="1" ht="24.95" customHeight="1" x14ac:dyDescent="0.25">
      <c r="A21" s="907">
        <v>18</v>
      </c>
      <c r="B21" s="908"/>
      <c r="C21" s="908"/>
      <c r="D21" s="908"/>
      <c r="E21" s="908"/>
      <c r="F21" s="908"/>
      <c r="G21" s="908"/>
      <c r="H21" s="908"/>
      <c r="I21" s="908"/>
      <c r="J21" s="908"/>
      <c r="K21" s="908"/>
      <c r="L21" s="908"/>
      <c r="M21" s="908"/>
    </row>
    <row r="22" spans="1:13" s="103" customFormat="1" ht="24.95" customHeight="1" x14ac:dyDescent="0.25">
      <c r="A22" s="907">
        <v>19</v>
      </c>
      <c r="B22" s="908"/>
      <c r="C22" s="908"/>
      <c r="D22" s="908"/>
      <c r="E22" s="908"/>
      <c r="F22" s="908"/>
      <c r="G22" s="908"/>
      <c r="H22" s="908"/>
      <c r="I22" s="908"/>
      <c r="J22" s="908"/>
      <c r="K22" s="908"/>
      <c r="L22" s="908"/>
      <c r="M22" s="908"/>
    </row>
    <row r="23" spans="1:13" s="103" customFormat="1" ht="24.95" customHeight="1" x14ac:dyDescent="0.25">
      <c r="A23" s="907">
        <v>20</v>
      </c>
      <c r="B23" s="908"/>
      <c r="C23" s="908"/>
      <c r="D23" s="908"/>
      <c r="E23" s="908"/>
      <c r="F23" s="908"/>
      <c r="G23" s="908"/>
      <c r="H23" s="908"/>
      <c r="I23" s="908"/>
      <c r="J23" s="908"/>
      <c r="K23" s="908"/>
      <c r="L23" s="908"/>
      <c r="M23" s="908"/>
    </row>
    <row r="24" spans="1:13" s="103" customFormat="1" ht="24.95" customHeight="1" x14ac:dyDescent="0.25">
      <c r="A24" s="907">
        <v>21</v>
      </c>
      <c r="B24" s="908"/>
      <c r="C24" s="908"/>
      <c r="D24" s="908"/>
      <c r="E24" s="908"/>
      <c r="F24" s="908"/>
      <c r="G24" s="908"/>
      <c r="H24" s="908"/>
      <c r="I24" s="908"/>
      <c r="J24" s="908"/>
      <c r="K24" s="908"/>
      <c r="L24" s="908"/>
      <c r="M24" s="908"/>
    </row>
    <row r="25" spans="1:13" s="103" customFormat="1" ht="24.95" customHeight="1" x14ac:dyDescent="0.25">
      <c r="A25" s="907">
        <v>22</v>
      </c>
      <c r="B25" s="908"/>
      <c r="C25" s="908"/>
      <c r="D25" s="908"/>
      <c r="E25" s="908"/>
      <c r="F25" s="908"/>
      <c r="G25" s="908"/>
      <c r="H25" s="908"/>
      <c r="I25" s="908"/>
      <c r="J25" s="908"/>
      <c r="K25" s="908"/>
      <c r="L25" s="908"/>
      <c r="M25" s="908"/>
    </row>
    <row r="26" spans="1:13" s="103" customFormat="1" ht="24.95" customHeight="1" x14ac:dyDescent="0.25">
      <c r="A26" s="907">
        <v>23</v>
      </c>
      <c r="B26" s="908"/>
      <c r="C26" s="908"/>
      <c r="D26" s="908"/>
      <c r="E26" s="908"/>
      <c r="F26" s="908"/>
      <c r="G26" s="908"/>
      <c r="H26" s="908"/>
      <c r="I26" s="908"/>
      <c r="J26" s="908"/>
      <c r="K26" s="908"/>
      <c r="L26" s="908"/>
      <c r="M26" s="908"/>
    </row>
    <row r="27" spans="1:13" s="103" customFormat="1" ht="24.95" customHeight="1" x14ac:dyDescent="0.25">
      <c r="A27" s="907">
        <v>24</v>
      </c>
      <c r="B27" s="908"/>
      <c r="C27" s="908"/>
      <c r="D27" s="908"/>
      <c r="E27" s="908"/>
      <c r="F27" s="908"/>
      <c r="G27" s="908"/>
      <c r="H27" s="908"/>
      <c r="I27" s="908"/>
      <c r="J27" s="908"/>
      <c r="K27" s="908"/>
      <c r="L27" s="908"/>
      <c r="M27" s="908"/>
    </row>
    <row r="28" spans="1:13" s="103" customFormat="1" ht="24.95" customHeight="1" x14ac:dyDescent="0.25">
      <c r="A28" s="907">
        <v>25</v>
      </c>
      <c r="B28" s="908"/>
      <c r="C28" s="908"/>
      <c r="D28" s="908"/>
      <c r="E28" s="908"/>
      <c r="F28" s="908"/>
      <c r="G28" s="908"/>
      <c r="H28" s="908"/>
      <c r="I28" s="908"/>
      <c r="J28" s="908"/>
      <c r="K28" s="908"/>
      <c r="L28" s="908"/>
      <c r="M28" s="908"/>
    </row>
    <row r="29" spans="1:13" s="103" customFormat="1" ht="24.95" customHeight="1" x14ac:dyDescent="0.25">
      <c r="A29" s="907">
        <v>26</v>
      </c>
      <c r="B29" s="908"/>
      <c r="C29" s="908"/>
      <c r="D29" s="908"/>
      <c r="E29" s="908"/>
      <c r="F29" s="908"/>
      <c r="G29" s="908"/>
      <c r="H29" s="908"/>
      <c r="I29" s="908"/>
      <c r="J29" s="908"/>
      <c r="K29" s="908"/>
      <c r="L29" s="908"/>
      <c r="M29" s="908"/>
    </row>
    <row r="30" spans="1:13" s="103" customFormat="1" ht="24.95" customHeight="1" x14ac:dyDescent="0.25">
      <c r="A30" s="907">
        <v>27</v>
      </c>
      <c r="B30" s="908"/>
      <c r="C30" s="908"/>
      <c r="D30" s="908"/>
      <c r="E30" s="908"/>
      <c r="F30" s="908"/>
      <c r="G30" s="908"/>
      <c r="H30" s="908"/>
      <c r="I30" s="908"/>
      <c r="J30" s="908"/>
      <c r="K30" s="908"/>
      <c r="L30" s="908"/>
      <c r="M30" s="908"/>
    </row>
    <row r="31" spans="1:13" s="103" customFormat="1" ht="24.95" customHeight="1" x14ac:dyDescent="0.25">
      <c r="A31" s="907">
        <v>28</v>
      </c>
      <c r="B31" s="908"/>
      <c r="C31" s="908"/>
      <c r="D31" s="908"/>
      <c r="E31" s="908"/>
      <c r="F31" s="908"/>
      <c r="G31" s="908"/>
      <c r="H31" s="908"/>
      <c r="I31" s="908"/>
      <c r="J31" s="908"/>
      <c r="K31" s="908"/>
      <c r="L31" s="908"/>
      <c r="M31" s="908"/>
    </row>
    <row r="32" spans="1:13" s="103" customFormat="1" ht="24.95" customHeight="1" x14ac:dyDescent="0.25">
      <c r="A32" s="907">
        <v>29</v>
      </c>
      <c r="B32" s="908"/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</row>
    <row r="33" spans="1:13" s="103" customFormat="1" ht="24.95" customHeight="1" x14ac:dyDescent="0.25">
      <c r="A33" s="907">
        <v>30</v>
      </c>
      <c r="B33" s="908"/>
      <c r="C33" s="908"/>
      <c r="D33" s="908"/>
      <c r="E33" s="908"/>
      <c r="F33" s="908"/>
      <c r="G33" s="908"/>
      <c r="H33" s="908"/>
      <c r="I33" s="908"/>
      <c r="J33" s="908"/>
      <c r="K33" s="908"/>
      <c r="L33" s="908"/>
      <c r="M33" s="908"/>
    </row>
  </sheetData>
  <mergeCells count="6">
    <mergeCell ref="B2:C2"/>
    <mergeCell ref="L2:M2"/>
    <mergeCell ref="J2:K2"/>
    <mergeCell ref="H2:I2"/>
    <mergeCell ref="F2:G2"/>
    <mergeCell ref="D2:E2"/>
  </mergeCells>
  <pageMargins left="0.27559053897857666" right="0.31496062874794006" top="0.35433068871498108" bottom="0.35433068871498108" header="0.31496062874794006" footer="0.31496062874794006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/>
  </sheetViews>
  <sheetFormatPr defaultColWidth="9.140625" defaultRowHeight="18" customHeight="1" x14ac:dyDescent="0.25"/>
  <cols>
    <col min="1" max="1" width="8.5703125" style="46" customWidth="1"/>
    <col min="2" max="2" width="15.7109375" style="46" customWidth="1"/>
    <col min="3" max="3" width="8.5703125" style="46" customWidth="1"/>
    <col min="4" max="4" width="15.7109375" style="46" customWidth="1"/>
    <col min="5" max="5" width="8.5703125" style="46" customWidth="1"/>
    <col min="6" max="6" width="15.7109375" style="46" customWidth="1"/>
    <col min="7" max="7" width="8.5703125" style="46" customWidth="1"/>
    <col min="8" max="8" width="15.7109375" style="46" customWidth="1"/>
    <col min="9" max="9" width="9.140625" style="46" bestFit="1" customWidth="1"/>
    <col min="10" max="16384" width="9.140625" style="46"/>
  </cols>
  <sheetData>
    <row r="1" spans="1:8" ht="35.25" customHeight="1" x14ac:dyDescent="0.35">
      <c r="A1" s="5334" t="s">
        <v>1147</v>
      </c>
      <c r="B1" s="5335"/>
      <c r="C1" s="5336"/>
      <c r="D1" s="5337"/>
      <c r="E1" s="5338" t="str">
        <f>A1</f>
        <v>Заплыв __________ дорожка_____</v>
      </c>
      <c r="F1" s="5339"/>
      <c r="G1" s="5340"/>
      <c r="H1" s="5341"/>
    </row>
    <row r="2" spans="1:8" ht="30" customHeight="1" x14ac:dyDescent="0.25">
      <c r="A2" s="909">
        <v>100</v>
      </c>
      <c r="B2" s="910"/>
      <c r="C2" s="910">
        <f>900</f>
        <v>900</v>
      </c>
      <c r="D2" s="911"/>
      <c r="E2" s="909">
        <v>100</v>
      </c>
      <c r="F2" s="910"/>
      <c r="G2" s="910">
        <f>900</f>
        <v>900</v>
      </c>
      <c r="H2" s="912"/>
    </row>
    <row r="3" spans="1:8" ht="30" customHeight="1" x14ac:dyDescent="0.25">
      <c r="A3" s="909">
        <f t="shared" ref="A3:A9" si="0">A2+100</f>
        <v>200</v>
      </c>
      <c r="B3" s="913"/>
      <c r="C3" s="910">
        <f t="shared" ref="C3:C8" si="1">C2+100</f>
        <v>1000</v>
      </c>
      <c r="D3" s="914"/>
      <c r="E3" s="909">
        <f t="shared" ref="E3:E9" si="2">E2+100</f>
        <v>200</v>
      </c>
      <c r="F3" s="913"/>
      <c r="G3" s="910">
        <f t="shared" ref="G3:G8" si="3">G2+100</f>
        <v>1000</v>
      </c>
      <c r="H3" s="915"/>
    </row>
    <row r="4" spans="1:8" ht="30" customHeight="1" x14ac:dyDescent="0.25">
      <c r="A4" s="909">
        <f t="shared" si="0"/>
        <v>300</v>
      </c>
      <c r="B4" s="910"/>
      <c r="C4" s="910">
        <f t="shared" si="1"/>
        <v>1100</v>
      </c>
      <c r="D4" s="911"/>
      <c r="E4" s="909">
        <f t="shared" si="2"/>
        <v>300</v>
      </c>
      <c r="F4" s="910"/>
      <c r="G4" s="910">
        <f t="shared" si="3"/>
        <v>1100</v>
      </c>
      <c r="H4" s="912"/>
    </row>
    <row r="5" spans="1:8" ht="30" customHeight="1" x14ac:dyDescent="0.25">
      <c r="A5" s="909">
        <f t="shared" si="0"/>
        <v>400</v>
      </c>
      <c r="B5" s="913"/>
      <c r="C5" s="910">
        <f t="shared" si="1"/>
        <v>1200</v>
      </c>
      <c r="D5" s="914"/>
      <c r="E5" s="909">
        <f t="shared" si="2"/>
        <v>400</v>
      </c>
      <c r="F5" s="913"/>
      <c r="G5" s="910">
        <f t="shared" si="3"/>
        <v>1200</v>
      </c>
      <c r="H5" s="915"/>
    </row>
    <row r="6" spans="1:8" ht="30" customHeight="1" x14ac:dyDescent="0.25">
      <c r="A6" s="909">
        <f t="shared" si="0"/>
        <v>500</v>
      </c>
      <c r="B6" s="910"/>
      <c r="C6" s="910">
        <f t="shared" si="1"/>
        <v>1300</v>
      </c>
      <c r="D6" s="911"/>
      <c r="E6" s="909">
        <f t="shared" si="2"/>
        <v>500</v>
      </c>
      <c r="F6" s="910"/>
      <c r="G6" s="910">
        <f t="shared" si="3"/>
        <v>1300</v>
      </c>
      <c r="H6" s="912"/>
    </row>
    <row r="7" spans="1:8" ht="30" customHeight="1" x14ac:dyDescent="0.25">
      <c r="A7" s="909">
        <f t="shared" si="0"/>
        <v>600</v>
      </c>
      <c r="B7" s="913"/>
      <c r="C7" s="910">
        <f t="shared" si="1"/>
        <v>1400</v>
      </c>
      <c r="D7" s="914"/>
      <c r="E7" s="909">
        <f t="shared" si="2"/>
        <v>600</v>
      </c>
      <c r="F7" s="913"/>
      <c r="G7" s="910">
        <f t="shared" si="3"/>
        <v>1400</v>
      </c>
      <c r="H7" s="915"/>
    </row>
    <row r="8" spans="1:8" ht="30" customHeight="1" x14ac:dyDescent="0.25">
      <c r="A8" s="909">
        <f t="shared" si="0"/>
        <v>700</v>
      </c>
      <c r="B8" s="910"/>
      <c r="C8" s="910">
        <f t="shared" si="1"/>
        <v>1500</v>
      </c>
      <c r="D8" s="911"/>
      <c r="E8" s="909">
        <f t="shared" si="2"/>
        <v>700</v>
      </c>
      <c r="F8" s="910"/>
      <c r="G8" s="910">
        <f t="shared" si="3"/>
        <v>1500</v>
      </c>
      <c r="H8" s="912"/>
    </row>
    <row r="9" spans="1:8" ht="30" customHeight="1" x14ac:dyDescent="0.25">
      <c r="A9" s="916">
        <f t="shared" si="0"/>
        <v>800</v>
      </c>
      <c r="B9" s="917"/>
      <c r="C9" s="918"/>
      <c r="D9" s="919"/>
      <c r="E9" s="916">
        <f t="shared" si="2"/>
        <v>800</v>
      </c>
      <c r="F9" s="917"/>
      <c r="G9" s="918"/>
      <c r="H9" s="920"/>
    </row>
    <row r="10" spans="1:8" ht="35.25" customHeight="1" x14ac:dyDescent="0.35">
      <c r="A10" s="5334" t="str">
        <f>A1</f>
        <v>Заплыв __________ дорожка_____</v>
      </c>
      <c r="B10" s="5342"/>
      <c r="C10" s="5343"/>
      <c r="D10" s="5344"/>
      <c r="E10" s="5338" t="str">
        <f>A1</f>
        <v>Заплыв __________ дорожка_____</v>
      </c>
      <c r="F10" s="5345"/>
      <c r="G10" s="5346"/>
      <c r="H10" s="5347"/>
    </row>
    <row r="11" spans="1:8" ht="30" customHeight="1" x14ac:dyDescent="0.25">
      <c r="A11" s="909">
        <v>100</v>
      </c>
      <c r="B11" s="910"/>
      <c r="C11" s="910">
        <v>900</v>
      </c>
      <c r="D11" s="911"/>
      <c r="E11" s="909">
        <v>100</v>
      </c>
      <c r="F11" s="910"/>
      <c r="G11" s="910">
        <v>900</v>
      </c>
      <c r="H11" s="912"/>
    </row>
    <row r="12" spans="1:8" ht="30" customHeight="1" x14ac:dyDescent="0.25">
      <c r="A12" s="909">
        <f t="shared" ref="A12:A17" si="4">A11+100</f>
        <v>200</v>
      </c>
      <c r="B12" s="913"/>
      <c r="C12" s="910">
        <f t="shared" ref="C12:C17" si="5">C11+100</f>
        <v>1000</v>
      </c>
      <c r="D12" s="914"/>
      <c r="E12" s="909">
        <f t="shared" ref="E12:E17" si="6">E11+100</f>
        <v>200</v>
      </c>
      <c r="F12" s="913"/>
      <c r="G12" s="910">
        <f t="shared" ref="G12:G17" si="7">G11+100</f>
        <v>1000</v>
      </c>
      <c r="H12" s="915"/>
    </row>
    <row r="13" spans="1:8" ht="30" customHeight="1" x14ac:dyDescent="0.25">
      <c r="A13" s="909">
        <f t="shared" si="4"/>
        <v>300</v>
      </c>
      <c r="B13" s="910"/>
      <c r="C13" s="910">
        <f t="shared" si="5"/>
        <v>1100</v>
      </c>
      <c r="D13" s="911"/>
      <c r="E13" s="909">
        <f t="shared" si="6"/>
        <v>300</v>
      </c>
      <c r="F13" s="910"/>
      <c r="G13" s="910">
        <f t="shared" si="7"/>
        <v>1100</v>
      </c>
      <c r="H13" s="912"/>
    </row>
    <row r="14" spans="1:8" ht="30" customHeight="1" x14ac:dyDescent="0.25">
      <c r="A14" s="909">
        <f t="shared" si="4"/>
        <v>400</v>
      </c>
      <c r="B14" s="913"/>
      <c r="C14" s="910">
        <f t="shared" si="5"/>
        <v>1200</v>
      </c>
      <c r="D14" s="914"/>
      <c r="E14" s="909">
        <f t="shared" si="6"/>
        <v>400</v>
      </c>
      <c r="F14" s="913"/>
      <c r="G14" s="910">
        <f t="shared" si="7"/>
        <v>1200</v>
      </c>
      <c r="H14" s="915"/>
    </row>
    <row r="15" spans="1:8" ht="30" customHeight="1" x14ac:dyDescent="0.25">
      <c r="A15" s="909">
        <f t="shared" si="4"/>
        <v>500</v>
      </c>
      <c r="B15" s="910"/>
      <c r="C15" s="910">
        <f t="shared" si="5"/>
        <v>1300</v>
      </c>
      <c r="D15" s="911"/>
      <c r="E15" s="909">
        <f t="shared" si="6"/>
        <v>500</v>
      </c>
      <c r="F15" s="910"/>
      <c r="G15" s="910">
        <f t="shared" si="7"/>
        <v>1300</v>
      </c>
      <c r="H15" s="912"/>
    </row>
    <row r="16" spans="1:8" ht="30" customHeight="1" x14ac:dyDescent="0.25">
      <c r="A16" s="909">
        <f t="shared" si="4"/>
        <v>600</v>
      </c>
      <c r="B16" s="913"/>
      <c r="C16" s="910">
        <f t="shared" si="5"/>
        <v>1400</v>
      </c>
      <c r="D16" s="914"/>
      <c r="E16" s="909">
        <f t="shared" si="6"/>
        <v>600</v>
      </c>
      <c r="F16" s="913"/>
      <c r="G16" s="910">
        <f t="shared" si="7"/>
        <v>1400</v>
      </c>
      <c r="H16" s="915"/>
    </row>
    <row r="17" spans="1:8" ht="30" customHeight="1" x14ac:dyDescent="0.25">
      <c r="A17" s="909">
        <f t="shared" si="4"/>
        <v>700</v>
      </c>
      <c r="B17" s="910"/>
      <c r="C17" s="910">
        <f t="shared" si="5"/>
        <v>1500</v>
      </c>
      <c r="D17" s="911"/>
      <c r="E17" s="909">
        <f t="shared" si="6"/>
        <v>700</v>
      </c>
      <c r="F17" s="910"/>
      <c r="G17" s="910">
        <f t="shared" si="7"/>
        <v>1500</v>
      </c>
      <c r="H17" s="912"/>
    </row>
    <row r="18" spans="1:8" ht="30" customHeight="1" x14ac:dyDescent="0.25">
      <c r="A18" s="916">
        <v>800</v>
      </c>
      <c r="B18" s="918"/>
      <c r="C18" s="918"/>
      <c r="D18" s="921"/>
      <c r="E18" s="916">
        <v>800</v>
      </c>
      <c r="F18" s="918"/>
      <c r="G18" s="918"/>
      <c r="H18" s="922"/>
    </row>
    <row r="19" spans="1:8" ht="35.25" customHeight="1" x14ac:dyDescent="0.35">
      <c r="A19" s="5334" t="str">
        <f>A1</f>
        <v>Заплыв __________ дорожка_____</v>
      </c>
      <c r="B19" s="5348"/>
      <c r="C19" s="5349"/>
      <c r="D19" s="5350"/>
      <c r="E19" s="5338" t="str">
        <f>A1</f>
        <v>Заплыв __________ дорожка_____</v>
      </c>
      <c r="F19" s="5351"/>
      <c r="G19" s="5352"/>
      <c r="H19" s="5353"/>
    </row>
    <row r="20" spans="1:8" ht="30" customHeight="1" x14ac:dyDescent="0.25">
      <c r="A20" s="909">
        <v>100</v>
      </c>
      <c r="B20" s="913"/>
      <c r="C20" s="910">
        <v>900</v>
      </c>
      <c r="D20" s="914"/>
      <c r="E20" s="909">
        <v>100</v>
      </c>
      <c r="F20" s="913"/>
      <c r="G20" s="910">
        <v>900</v>
      </c>
      <c r="H20" s="915"/>
    </row>
    <row r="21" spans="1:8" ht="30" customHeight="1" x14ac:dyDescent="0.25">
      <c r="A21" s="909">
        <f t="shared" ref="A21:A27" si="8">A20+100</f>
        <v>200</v>
      </c>
      <c r="B21" s="910"/>
      <c r="C21" s="910">
        <f t="shared" ref="C21:C26" si="9">C20+100</f>
        <v>1000</v>
      </c>
      <c r="D21" s="911"/>
      <c r="E21" s="909">
        <f t="shared" ref="E21:E27" si="10">E20+100</f>
        <v>200</v>
      </c>
      <c r="F21" s="910"/>
      <c r="G21" s="910">
        <f t="shared" ref="G21:G26" si="11">G20+100</f>
        <v>1000</v>
      </c>
      <c r="H21" s="912"/>
    </row>
    <row r="22" spans="1:8" ht="30" customHeight="1" x14ac:dyDescent="0.25">
      <c r="A22" s="909">
        <f t="shared" si="8"/>
        <v>300</v>
      </c>
      <c r="B22" s="913"/>
      <c r="C22" s="910">
        <f t="shared" si="9"/>
        <v>1100</v>
      </c>
      <c r="D22" s="914"/>
      <c r="E22" s="909">
        <f t="shared" si="10"/>
        <v>300</v>
      </c>
      <c r="F22" s="913"/>
      <c r="G22" s="910">
        <f t="shared" si="11"/>
        <v>1100</v>
      </c>
      <c r="H22" s="915"/>
    </row>
    <row r="23" spans="1:8" ht="30" customHeight="1" x14ac:dyDescent="0.25">
      <c r="A23" s="909">
        <f t="shared" si="8"/>
        <v>400</v>
      </c>
      <c r="B23" s="910"/>
      <c r="C23" s="910">
        <f t="shared" si="9"/>
        <v>1200</v>
      </c>
      <c r="D23" s="911"/>
      <c r="E23" s="909">
        <f t="shared" si="10"/>
        <v>400</v>
      </c>
      <c r="F23" s="910"/>
      <c r="G23" s="910">
        <f t="shared" si="11"/>
        <v>1200</v>
      </c>
      <c r="H23" s="912"/>
    </row>
    <row r="24" spans="1:8" ht="30" customHeight="1" x14ac:dyDescent="0.25">
      <c r="A24" s="909">
        <f t="shared" si="8"/>
        <v>500</v>
      </c>
      <c r="B24" s="913"/>
      <c r="C24" s="910">
        <f t="shared" si="9"/>
        <v>1300</v>
      </c>
      <c r="D24" s="914"/>
      <c r="E24" s="909">
        <f t="shared" si="10"/>
        <v>500</v>
      </c>
      <c r="F24" s="913"/>
      <c r="G24" s="910">
        <f t="shared" si="11"/>
        <v>1300</v>
      </c>
      <c r="H24" s="915"/>
    </row>
    <row r="25" spans="1:8" ht="30" customHeight="1" x14ac:dyDescent="0.25">
      <c r="A25" s="909">
        <f t="shared" si="8"/>
        <v>600</v>
      </c>
      <c r="B25" s="910"/>
      <c r="C25" s="910">
        <f t="shared" si="9"/>
        <v>1400</v>
      </c>
      <c r="D25" s="911"/>
      <c r="E25" s="909">
        <f t="shared" si="10"/>
        <v>600</v>
      </c>
      <c r="F25" s="910"/>
      <c r="G25" s="910">
        <f t="shared" si="11"/>
        <v>1400</v>
      </c>
      <c r="H25" s="912"/>
    </row>
    <row r="26" spans="1:8" ht="30" customHeight="1" x14ac:dyDescent="0.25">
      <c r="A26" s="909">
        <f t="shared" si="8"/>
        <v>700</v>
      </c>
      <c r="B26" s="913"/>
      <c r="C26" s="910">
        <f t="shared" si="9"/>
        <v>1500</v>
      </c>
      <c r="D26" s="914"/>
      <c r="E26" s="909">
        <f t="shared" si="10"/>
        <v>700</v>
      </c>
      <c r="F26" s="913"/>
      <c r="G26" s="910">
        <f t="shared" si="11"/>
        <v>1500</v>
      </c>
      <c r="H26" s="915"/>
    </row>
    <row r="27" spans="1:8" ht="30" customHeight="1" x14ac:dyDescent="0.25">
      <c r="A27" s="916">
        <f t="shared" si="8"/>
        <v>800</v>
      </c>
      <c r="B27" s="918"/>
      <c r="C27" s="918"/>
      <c r="D27" s="921"/>
      <c r="E27" s="916">
        <f t="shared" si="10"/>
        <v>800</v>
      </c>
      <c r="F27" s="918"/>
      <c r="G27" s="918"/>
      <c r="H27" s="922"/>
    </row>
  </sheetData>
  <mergeCells count="6">
    <mergeCell ref="A1:D1"/>
    <mergeCell ref="E1:H1"/>
    <mergeCell ref="A10:D10"/>
    <mergeCell ref="E10:H10"/>
    <mergeCell ref="A19:D19"/>
    <mergeCell ref="E19:H19"/>
  </mergeCells>
  <pageMargins left="0.23622046411037445" right="0.23622046411037445" top="0.23622046411037445" bottom="0.23622046411037445" header="0" footer="0"/>
  <pageSetup paperSize="9" fitToWidth="0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/>
  </sheetViews>
  <sheetFormatPr defaultColWidth="9.140625" defaultRowHeight="15" x14ac:dyDescent="0.25"/>
  <cols>
    <col min="1" max="1" width="17.7109375" style="923" customWidth="1"/>
    <col min="2" max="2" width="11.85546875" style="923" customWidth="1"/>
    <col min="3" max="4" width="9.140625" style="923" bestFit="1" customWidth="1"/>
    <col min="5" max="5" width="7.42578125" style="923" customWidth="1"/>
    <col min="6" max="6" width="35.85546875" style="923" customWidth="1"/>
    <col min="7" max="10" width="9.140625" style="923" bestFit="1" customWidth="1"/>
    <col min="11" max="11" width="0.85546875" style="923" customWidth="1"/>
    <col min="12" max="12" width="9.140625" style="923" bestFit="1" customWidth="1"/>
    <col min="13" max="16384" width="9.140625" style="923"/>
  </cols>
  <sheetData>
    <row r="1" spans="1:17" s="730" customFormat="1" ht="342" customHeight="1" x14ac:dyDescent="0.25"/>
    <row r="2" spans="1:17" ht="42.75" customHeight="1" x14ac:dyDescent="0.3">
      <c r="A2" s="730"/>
      <c r="B2" s="5354" t="e">
        <f>#REF!</f>
        <v>#REF!</v>
      </c>
      <c r="C2" s="5354"/>
      <c r="D2" s="5354"/>
      <c r="E2" s="5354"/>
      <c r="F2" s="5354"/>
      <c r="P2" s="924"/>
      <c r="Q2" s="925"/>
    </row>
    <row r="3" spans="1:17" s="926" customFormat="1" ht="48" customHeight="1" x14ac:dyDescent="0.45">
      <c r="D3" s="927" t="s">
        <v>1148</v>
      </c>
      <c r="E3" s="928" t="e">
        <f>#REF!</f>
        <v>#REF!</v>
      </c>
      <c r="F3" s="926" t="s">
        <v>1149</v>
      </c>
      <c r="P3" s="924"/>
      <c r="Q3" s="925"/>
    </row>
    <row r="4" spans="1:17" ht="57.75" customHeight="1" x14ac:dyDescent="0.3">
      <c r="A4" s="926"/>
      <c r="B4" s="5355" t="s">
        <v>1150</v>
      </c>
      <c r="C4" s="5355"/>
      <c r="D4" s="5355"/>
      <c r="E4" s="5355"/>
      <c r="F4" s="5355"/>
      <c r="P4" s="924"/>
      <c r="Q4" s="925"/>
    </row>
    <row r="5" spans="1:17" s="929" customFormat="1" ht="49.5" customHeight="1" x14ac:dyDescent="0.3">
      <c r="B5" s="4808" t="s">
        <v>1151</v>
      </c>
      <c r="C5" s="4808"/>
      <c r="D5" s="4808"/>
      <c r="E5" s="4808"/>
      <c r="F5" s="4808"/>
      <c r="P5" s="924"/>
      <c r="Q5" s="925"/>
    </row>
    <row r="6" spans="1:17" ht="42.75" customHeight="1" x14ac:dyDescent="0.25">
      <c r="A6" s="929"/>
      <c r="B6" s="930"/>
      <c r="C6" s="931" t="s">
        <v>1152</v>
      </c>
      <c r="D6" s="5356" t="e">
        <f>#REF!</f>
        <v>#REF!</v>
      </c>
      <c r="E6" s="5356"/>
      <c r="F6" s="5356"/>
    </row>
    <row r="7" spans="1:17" s="926" customFormat="1" ht="53.25" customHeight="1" x14ac:dyDescent="0.3">
      <c r="B7" s="338"/>
      <c r="C7" s="338"/>
      <c r="D7" s="931" t="s">
        <v>1153</v>
      </c>
      <c r="E7" s="5357" t="e">
        <f>#REF!</f>
        <v>#REF!</v>
      </c>
      <c r="F7" s="5357"/>
    </row>
    <row r="8" spans="1:17" s="932" customFormat="1" ht="18.75" customHeight="1" x14ac:dyDescent="0.3"/>
    <row r="9" spans="1:17" ht="18.75" customHeight="1" x14ac:dyDescent="0.35">
      <c r="B9" s="933" t="s">
        <v>1154</v>
      </c>
      <c r="C9" s="934"/>
      <c r="D9" s="934"/>
      <c r="E9" s="934"/>
      <c r="F9" s="935" t="s">
        <v>1155</v>
      </c>
    </row>
    <row r="10" spans="1:17" ht="101.25" customHeight="1" x14ac:dyDescent="0.25"/>
    <row r="14" spans="1:17" s="730" customFormat="1" ht="342" customHeight="1" x14ac:dyDescent="0.25"/>
    <row r="15" spans="1:17" ht="42.75" customHeight="1" x14ac:dyDescent="0.3">
      <c r="A15" s="730"/>
      <c r="B15" s="5354" t="e">
        <f>#REF!</f>
        <v>#REF!</v>
      </c>
      <c r="C15" s="5354"/>
      <c r="D15" s="5354"/>
      <c r="E15" s="5354"/>
      <c r="F15" s="5354"/>
      <c r="P15" s="924"/>
      <c r="Q15" s="925"/>
    </row>
    <row r="16" spans="1:17" s="926" customFormat="1" ht="48" customHeight="1" x14ac:dyDescent="0.45">
      <c r="D16" s="927" t="s">
        <v>1148</v>
      </c>
      <c r="E16" s="928" t="e">
        <f>#REF!</f>
        <v>#REF!</v>
      </c>
      <c r="F16" s="926" t="s">
        <v>1149</v>
      </c>
      <c r="P16" s="924"/>
      <c r="Q16" s="925"/>
    </row>
    <row r="17" spans="1:17" ht="57.75" customHeight="1" x14ac:dyDescent="0.3">
      <c r="A17" s="926"/>
      <c r="B17" s="5355" t="s">
        <v>1150</v>
      </c>
      <c r="C17" s="5355"/>
      <c r="D17" s="5355"/>
      <c r="E17" s="5355"/>
      <c r="F17" s="5355"/>
      <c r="P17" s="924"/>
      <c r="Q17" s="925"/>
    </row>
    <row r="18" spans="1:17" s="929" customFormat="1" ht="49.5" customHeight="1" x14ac:dyDescent="0.3">
      <c r="B18" s="4808" t="s">
        <v>1151</v>
      </c>
      <c r="C18" s="4808"/>
      <c r="D18" s="4808"/>
      <c r="E18" s="4808"/>
      <c r="F18" s="4808"/>
      <c r="P18" s="924"/>
      <c r="Q18" s="925"/>
    </row>
    <row r="19" spans="1:17" ht="42.75" customHeight="1" x14ac:dyDescent="0.25">
      <c r="A19" s="929"/>
      <c r="B19" s="930"/>
      <c r="C19" s="931" t="s">
        <v>1152</v>
      </c>
      <c r="D19" s="5356" t="e">
        <f>#REF!</f>
        <v>#REF!</v>
      </c>
      <c r="E19" s="5356"/>
      <c r="F19" s="5356"/>
    </row>
    <row r="20" spans="1:17" s="926" customFormat="1" ht="53.25" customHeight="1" x14ac:dyDescent="0.3">
      <c r="B20" s="338"/>
      <c r="C20" s="338"/>
      <c r="D20" s="931" t="s">
        <v>1153</v>
      </c>
      <c r="E20" s="5357" t="e">
        <f>#REF!</f>
        <v>#REF!</v>
      </c>
      <c r="F20" s="5357"/>
    </row>
    <row r="21" spans="1:17" s="932" customFormat="1" ht="18.75" customHeight="1" x14ac:dyDescent="0.3"/>
    <row r="22" spans="1:17" ht="18.75" customHeight="1" x14ac:dyDescent="0.35">
      <c r="B22" s="933" t="s">
        <v>1154</v>
      </c>
      <c r="C22" s="934"/>
      <c r="D22" s="934"/>
      <c r="E22" s="934"/>
      <c r="F22" s="935" t="s">
        <v>1155</v>
      </c>
    </row>
    <row r="23" spans="1:17" ht="101.25" customHeight="1" x14ac:dyDescent="0.25"/>
    <row r="27" spans="1:17" s="730" customFormat="1" ht="342" customHeight="1" x14ac:dyDescent="0.25"/>
    <row r="28" spans="1:17" ht="42.75" customHeight="1" x14ac:dyDescent="0.3">
      <c r="A28" s="730"/>
      <c r="B28" s="5354" t="e">
        <f>#REF!</f>
        <v>#REF!</v>
      </c>
      <c r="C28" s="5354"/>
      <c r="D28" s="5354"/>
      <c r="E28" s="5354"/>
      <c r="F28" s="5354"/>
      <c r="P28" s="924"/>
      <c r="Q28" s="925"/>
    </row>
    <row r="29" spans="1:17" s="926" customFormat="1" ht="48" customHeight="1" x14ac:dyDescent="0.45">
      <c r="D29" s="927" t="s">
        <v>1148</v>
      </c>
      <c r="E29" s="928" t="e">
        <f>#REF!</f>
        <v>#REF!</v>
      </c>
      <c r="F29" s="926" t="s">
        <v>1149</v>
      </c>
      <c r="P29" s="924"/>
      <c r="Q29" s="925"/>
    </row>
    <row r="30" spans="1:17" ht="57.75" customHeight="1" x14ac:dyDescent="0.3">
      <c r="A30" s="926"/>
      <c r="B30" s="5355" t="s">
        <v>1150</v>
      </c>
      <c r="C30" s="5355"/>
      <c r="D30" s="5355"/>
      <c r="E30" s="5355"/>
      <c r="F30" s="5355"/>
      <c r="P30" s="924"/>
      <c r="Q30" s="925"/>
    </row>
    <row r="31" spans="1:17" s="929" customFormat="1" ht="49.5" customHeight="1" x14ac:dyDescent="0.3">
      <c r="B31" s="4808" t="s">
        <v>1151</v>
      </c>
      <c r="C31" s="4808"/>
      <c r="D31" s="4808"/>
      <c r="E31" s="4808"/>
      <c r="F31" s="4808"/>
      <c r="P31" s="924"/>
      <c r="Q31" s="925"/>
    </row>
    <row r="32" spans="1:17" ht="42.75" customHeight="1" x14ac:dyDescent="0.25">
      <c r="A32" s="929"/>
      <c r="B32" s="930"/>
      <c r="C32" s="931" t="s">
        <v>1152</v>
      </c>
      <c r="D32" s="5356" t="e">
        <f>#REF!</f>
        <v>#REF!</v>
      </c>
      <c r="E32" s="5356"/>
      <c r="F32" s="5356"/>
    </row>
    <row r="33" spans="2:6" s="926" customFormat="1" ht="53.25" customHeight="1" x14ac:dyDescent="0.3">
      <c r="B33" s="338"/>
      <c r="C33" s="338"/>
      <c r="D33" s="931" t="s">
        <v>1153</v>
      </c>
      <c r="E33" s="5357" t="e">
        <f>#REF!</f>
        <v>#REF!</v>
      </c>
      <c r="F33" s="5357"/>
    </row>
    <row r="34" spans="2:6" s="932" customFormat="1" ht="18.75" customHeight="1" x14ac:dyDescent="0.3"/>
    <row r="35" spans="2:6" ht="18.75" customHeight="1" x14ac:dyDescent="0.35">
      <c r="B35" s="933" t="s">
        <v>1154</v>
      </c>
      <c r="C35" s="934"/>
      <c r="D35" s="934"/>
      <c r="E35" s="934"/>
      <c r="F35" s="935" t="s">
        <v>1155</v>
      </c>
    </row>
    <row r="36" spans="2:6" ht="101.25" customHeight="1" x14ac:dyDescent="0.25"/>
  </sheetData>
  <mergeCells count="15">
    <mergeCell ref="B15:F15"/>
    <mergeCell ref="B17:F17"/>
    <mergeCell ref="B18:F18"/>
    <mergeCell ref="D19:F19"/>
    <mergeCell ref="E20:F20"/>
    <mergeCell ref="B28:F28"/>
    <mergeCell ref="B30:F30"/>
    <mergeCell ref="B31:F31"/>
    <mergeCell ref="D32:F32"/>
    <mergeCell ref="E33:F33"/>
    <mergeCell ref="B2:F2"/>
    <mergeCell ref="B4:F4"/>
    <mergeCell ref="B5:F5"/>
    <mergeCell ref="D6:F6"/>
    <mergeCell ref="E7:F7"/>
  </mergeCells>
  <pageMargins left="0.27569445967674255" right="0.27569445967674255" top="0.27569445967674255" bottom="0.27569445967674255" header="0.51180553436279297" footer="0.51180553436279297"/>
  <pageSetup paperSize="9" fitToWidth="0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9"/>
  <sheetViews>
    <sheetView topLeftCell="A14" workbookViewId="0">
      <pane xSplit="3" ySplit="5" topLeftCell="D19" activePane="bottomRight" state="frozen"/>
      <selection pane="topRight" activeCell="A14" sqref="A14"/>
      <selection pane="bottomLeft" activeCell="A14" sqref="A14"/>
      <selection pane="bottomRight" activeCell="D19" sqref="D19"/>
    </sheetView>
  </sheetViews>
  <sheetFormatPr defaultColWidth="5.42578125" defaultRowHeight="18.75" x14ac:dyDescent="0.25"/>
  <cols>
    <col min="1" max="1" width="5" style="936" customWidth="1"/>
    <col min="2" max="2" width="17.28515625" style="936" customWidth="1"/>
    <col min="3" max="3" width="10.140625" style="936" customWidth="1"/>
    <col min="4" max="4" width="9.7109375" style="936" customWidth="1"/>
    <col min="5" max="22" width="9.28515625" style="936" customWidth="1"/>
    <col min="23" max="256" width="5.42578125" style="936" bestFit="1" customWidth="1"/>
    <col min="257" max="257" width="5" style="936" customWidth="1"/>
    <col min="258" max="258" width="17.28515625" style="936" customWidth="1"/>
    <col min="259" max="259" width="10.140625" style="936" customWidth="1"/>
    <col min="260" max="260" width="9.7109375" style="936" customWidth="1"/>
    <col min="261" max="278" width="9.28515625" style="936" customWidth="1"/>
    <col min="279" max="512" width="5.42578125" style="936" bestFit="1" customWidth="1"/>
    <col min="513" max="513" width="5" style="936" customWidth="1"/>
    <col min="514" max="514" width="17.28515625" style="936" customWidth="1"/>
    <col min="515" max="515" width="10.140625" style="936" customWidth="1"/>
    <col min="516" max="516" width="9.7109375" style="936" customWidth="1"/>
    <col min="517" max="534" width="9.28515625" style="936" customWidth="1"/>
    <col min="535" max="768" width="5.42578125" style="936" bestFit="1" customWidth="1"/>
    <col min="769" max="769" width="5" style="936" customWidth="1"/>
    <col min="770" max="770" width="17.28515625" style="936" customWidth="1"/>
    <col min="771" max="771" width="10.140625" style="936" customWidth="1"/>
    <col min="772" max="772" width="9.7109375" style="936" customWidth="1"/>
    <col min="773" max="790" width="9.28515625" style="936" customWidth="1"/>
    <col min="791" max="1024" width="5.42578125" style="936" bestFit="1" customWidth="1"/>
    <col min="1025" max="1025" width="5" style="936" customWidth="1"/>
    <col min="1026" max="1026" width="17.28515625" style="936" customWidth="1"/>
    <col min="1027" max="1027" width="10.140625" style="936" customWidth="1"/>
    <col min="1028" max="1028" width="9.7109375" style="936" customWidth="1"/>
    <col min="1029" max="1046" width="9.28515625" style="936" customWidth="1"/>
    <col min="1047" max="1280" width="5.42578125" style="936" bestFit="1" customWidth="1"/>
    <col min="1281" max="1281" width="5" style="936" customWidth="1"/>
    <col min="1282" max="1282" width="17.28515625" style="936" customWidth="1"/>
    <col min="1283" max="1283" width="10.140625" style="936" customWidth="1"/>
    <col min="1284" max="1284" width="9.7109375" style="936" customWidth="1"/>
    <col min="1285" max="1302" width="9.28515625" style="936" customWidth="1"/>
    <col min="1303" max="1536" width="5.42578125" style="936" bestFit="1" customWidth="1"/>
    <col min="1537" max="1537" width="5" style="936" customWidth="1"/>
    <col min="1538" max="1538" width="17.28515625" style="936" customWidth="1"/>
    <col min="1539" max="1539" width="10.140625" style="936" customWidth="1"/>
    <col min="1540" max="1540" width="9.7109375" style="936" customWidth="1"/>
    <col min="1541" max="1558" width="9.28515625" style="936" customWidth="1"/>
    <col min="1559" max="1792" width="5.42578125" style="936" bestFit="1" customWidth="1"/>
    <col min="1793" max="1793" width="5" style="936" customWidth="1"/>
    <col min="1794" max="1794" width="17.28515625" style="936" customWidth="1"/>
    <col min="1795" max="1795" width="10.140625" style="936" customWidth="1"/>
    <col min="1796" max="1796" width="9.7109375" style="936" customWidth="1"/>
    <col min="1797" max="1814" width="9.28515625" style="936" customWidth="1"/>
    <col min="1815" max="2048" width="5.42578125" style="936" bestFit="1" customWidth="1"/>
    <col min="2049" max="2049" width="5" style="936" customWidth="1"/>
    <col min="2050" max="2050" width="17.28515625" style="936" customWidth="1"/>
    <col min="2051" max="2051" width="10.140625" style="936" customWidth="1"/>
    <col min="2052" max="2052" width="9.7109375" style="936" customWidth="1"/>
    <col min="2053" max="2070" width="9.28515625" style="936" customWidth="1"/>
    <col min="2071" max="2304" width="5.42578125" style="936" bestFit="1" customWidth="1"/>
    <col min="2305" max="2305" width="5" style="936" customWidth="1"/>
    <col min="2306" max="2306" width="17.28515625" style="936" customWidth="1"/>
    <col min="2307" max="2307" width="10.140625" style="936" customWidth="1"/>
    <col min="2308" max="2308" width="9.7109375" style="936" customWidth="1"/>
    <col min="2309" max="2326" width="9.28515625" style="936" customWidth="1"/>
    <col min="2327" max="2560" width="5.42578125" style="936" bestFit="1" customWidth="1"/>
    <col min="2561" max="2561" width="5" style="936" customWidth="1"/>
    <col min="2562" max="2562" width="17.28515625" style="936" customWidth="1"/>
    <col min="2563" max="2563" width="10.140625" style="936" customWidth="1"/>
    <col min="2564" max="2564" width="9.7109375" style="936" customWidth="1"/>
    <col min="2565" max="2582" width="9.28515625" style="936" customWidth="1"/>
    <col min="2583" max="2816" width="5.42578125" style="936" bestFit="1" customWidth="1"/>
    <col min="2817" max="2817" width="5" style="936" customWidth="1"/>
    <col min="2818" max="2818" width="17.28515625" style="936" customWidth="1"/>
    <col min="2819" max="2819" width="10.140625" style="936" customWidth="1"/>
    <col min="2820" max="2820" width="9.7109375" style="936" customWidth="1"/>
    <col min="2821" max="2838" width="9.28515625" style="936" customWidth="1"/>
    <col min="2839" max="3072" width="5.42578125" style="936" bestFit="1" customWidth="1"/>
    <col min="3073" max="3073" width="5" style="936" customWidth="1"/>
    <col min="3074" max="3074" width="17.28515625" style="936" customWidth="1"/>
    <col min="3075" max="3075" width="10.140625" style="936" customWidth="1"/>
    <col min="3076" max="3076" width="9.7109375" style="936" customWidth="1"/>
    <col min="3077" max="3094" width="9.28515625" style="936" customWidth="1"/>
    <col min="3095" max="3328" width="5.42578125" style="936" bestFit="1" customWidth="1"/>
    <col min="3329" max="3329" width="5" style="936" customWidth="1"/>
    <col min="3330" max="3330" width="17.28515625" style="936" customWidth="1"/>
    <col min="3331" max="3331" width="10.140625" style="936" customWidth="1"/>
    <col min="3332" max="3332" width="9.7109375" style="936" customWidth="1"/>
    <col min="3333" max="3350" width="9.28515625" style="936" customWidth="1"/>
    <col min="3351" max="3584" width="5.42578125" style="936" bestFit="1" customWidth="1"/>
    <col min="3585" max="3585" width="5" style="936" customWidth="1"/>
    <col min="3586" max="3586" width="17.28515625" style="936" customWidth="1"/>
    <col min="3587" max="3587" width="10.140625" style="936" customWidth="1"/>
    <col min="3588" max="3588" width="9.7109375" style="936" customWidth="1"/>
    <col min="3589" max="3606" width="9.28515625" style="936" customWidth="1"/>
    <col min="3607" max="3840" width="5.42578125" style="936" bestFit="1" customWidth="1"/>
    <col min="3841" max="3841" width="5" style="936" customWidth="1"/>
    <col min="3842" max="3842" width="17.28515625" style="936" customWidth="1"/>
    <col min="3843" max="3843" width="10.140625" style="936" customWidth="1"/>
    <col min="3844" max="3844" width="9.7109375" style="936" customWidth="1"/>
    <col min="3845" max="3862" width="9.28515625" style="936" customWidth="1"/>
    <col min="3863" max="4096" width="5.42578125" style="936" bestFit="1" customWidth="1"/>
    <col min="4097" max="4097" width="5" style="936" customWidth="1"/>
    <col min="4098" max="4098" width="17.28515625" style="936" customWidth="1"/>
    <col min="4099" max="4099" width="10.140625" style="936" customWidth="1"/>
    <col min="4100" max="4100" width="9.7109375" style="936" customWidth="1"/>
    <col min="4101" max="4118" width="9.28515625" style="936" customWidth="1"/>
    <col min="4119" max="4352" width="5.42578125" style="936" bestFit="1" customWidth="1"/>
    <col min="4353" max="4353" width="5" style="936" customWidth="1"/>
    <col min="4354" max="4354" width="17.28515625" style="936" customWidth="1"/>
    <col min="4355" max="4355" width="10.140625" style="936" customWidth="1"/>
    <col min="4356" max="4356" width="9.7109375" style="936" customWidth="1"/>
    <col min="4357" max="4374" width="9.28515625" style="936" customWidth="1"/>
    <col min="4375" max="4608" width="5.42578125" style="936" bestFit="1" customWidth="1"/>
    <col min="4609" max="4609" width="5" style="936" customWidth="1"/>
    <col min="4610" max="4610" width="17.28515625" style="936" customWidth="1"/>
    <col min="4611" max="4611" width="10.140625" style="936" customWidth="1"/>
    <col min="4612" max="4612" width="9.7109375" style="936" customWidth="1"/>
    <col min="4613" max="4630" width="9.28515625" style="936" customWidth="1"/>
    <col min="4631" max="4864" width="5.42578125" style="936" bestFit="1" customWidth="1"/>
    <col min="4865" max="4865" width="5" style="936" customWidth="1"/>
    <col min="4866" max="4866" width="17.28515625" style="936" customWidth="1"/>
    <col min="4867" max="4867" width="10.140625" style="936" customWidth="1"/>
    <col min="4868" max="4868" width="9.7109375" style="936" customWidth="1"/>
    <col min="4869" max="4886" width="9.28515625" style="936" customWidth="1"/>
    <col min="4887" max="5120" width="5.42578125" style="936" bestFit="1" customWidth="1"/>
    <col min="5121" max="5121" width="5" style="936" customWidth="1"/>
    <col min="5122" max="5122" width="17.28515625" style="936" customWidth="1"/>
    <col min="5123" max="5123" width="10.140625" style="936" customWidth="1"/>
    <col min="5124" max="5124" width="9.7109375" style="936" customWidth="1"/>
    <col min="5125" max="5142" width="9.28515625" style="936" customWidth="1"/>
    <col min="5143" max="5376" width="5.42578125" style="936" bestFit="1" customWidth="1"/>
    <col min="5377" max="5377" width="5" style="936" customWidth="1"/>
    <col min="5378" max="5378" width="17.28515625" style="936" customWidth="1"/>
    <col min="5379" max="5379" width="10.140625" style="936" customWidth="1"/>
    <col min="5380" max="5380" width="9.7109375" style="936" customWidth="1"/>
    <col min="5381" max="5398" width="9.28515625" style="936" customWidth="1"/>
    <col min="5399" max="5632" width="5.42578125" style="936" bestFit="1" customWidth="1"/>
    <col min="5633" max="5633" width="5" style="936" customWidth="1"/>
    <col min="5634" max="5634" width="17.28515625" style="936" customWidth="1"/>
    <col min="5635" max="5635" width="10.140625" style="936" customWidth="1"/>
    <col min="5636" max="5636" width="9.7109375" style="936" customWidth="1"/>
    <col min="5637" max="5654" width="9.28515625" style="936" customWidth="1"/>
    <col min="5655" max="5888" width="5.42578125" style="936" bestFit="1" customWidth="1"/>
    <col min="5889" max="5889" width="5" style="936" customWidth="1"/>
    <col min="5890" max="5890" width="17.28515625" style="936" customWidth="1"/>
    <col min="5891" max="5891" width="10.140625" style="936" customWidth="1"/>
    <col min="5892" max="5892" width="9.7109375" style="936" customWidth="1"/>
    <col min="5893" max="5910" width="9.28515625" style="936" customWidth="1"/>
    <col min="5911" max="6144" width="5.42578125" style="936" bestFit="1" customWidth="1"/>
    <col min="6145" max="6145" width="5" style="936" customWidth="1"/>
    <col min="6146" max="6146" width="17.28515625" style="936" customWidth="1"/>
    <col min="6147" max="6147" width="10.140625" style="936" customWidth="1"/>
    <col min="6148" max="6148" width="9.7109375" style="936" customWidth="1"/>
    <col min="6149" max="6166" width="9.28515625" style="936" customWidth="1"/>
    <col min="6167" max="6400" width="5.42578125" style="936" bestFit="1" customWidth="1"/>
    <col min="6401" max="6401" width="5" style="936" customWidth="1"/>
    <col min="6402" max="6402" width="17.28515625" style="936" customWidth="1"/>
    <col min="6403" max="6403" width="10.140625" style="936" customWidth="1"/>
    <col min="6404" max="6404" width="9.7109375" style="936" customWidth="1"/>
    <col min="6405" max="6422" width="9.28515625" style="936" customWidth="1"/>
    <col min="6423" max="6656" width="5.42578125" style="936" bestFit="1" customWidth="1"/>
    <col min="6657" max="6657" width="5" style="936" customWidth="1"/>
    <col min="6658" max="6658" width="17.28515625" style="936" customWidth="1"/>
    <col min="6659" max="6659" width="10.140625" style="936" customWidth="1"/>
    <col min="6660" max="6660" width="9.7109375" style="936" customWidth="1"/>
    <col min="6661" max="6678" width="9.28515625" style="936" customWidth="1"/>
    <col min="6679" max="6912" width="5.42578125" style="936" bestFit="1" customWidth="1"/>
    <col min="6913" max="6913" width="5" style="936" customWidth="1"/>
    <col min="6914" max="6914" width="17.28515625" style="936" customWidth="1"/>
    <col min="6915" max="6915" width="10.140625" style="936" customWidth="1"/>
    <col min="6916" max="6916" width="9.7109375" style="936" customWidth="1"/>
    <col min="6917" max="6934" width="9.28515625" style="936" customWidth="1"/>
    <col min="6935" max="7168" width="5.42578125" style="936" bestFit="1" customWidth="1"/>
    <col min="7169" max="7169" width="5" style="936" customWidth="1"/>
    <col min="7170" max="7170" width="17.28515625" style="936" customWidth="1"/>
    <col min="7171" max="7171" width="10.140625" style="936" customWidth="1"/>
    <col min="7172" max="7172" width="9.7109375" style="936" customWidth="1"/>
    <col min="7173" max="7190" width="9.28515625" style="936" customWidth="1"/>
    <col min="7191" max="7424" width="5.42578125" style="936" bestFit="1" customWidth="1"/>
    <col min="7425" max="7425" width="5" style="936" customWidth="1"/>
    <col min="7426" max="7426" width="17.28515625" style="936" customWidth="1"/>
    <col min="7427" max="7427" width="10.140625" style="936" customWidth="1"/>
    <col min="7428" max="7428" width="9.7109375" style="936" customWidth="1"/>
    <col min="7429" max="7446" width="9.28515625" style="936" customWidth="1"/>
    <col min="7447" max="7680" width="5.42578125" style="936" bestFit="1" customWidth="1"/>
    <col min="7681" max="7681" width="5" style="936" customWidth="1"/>
    <col min="7682" max="7682" width="17.28515625" style="936" customWidth="1"/>
    <col min="7683" max="7683" width="10.140625" style="936" customWidth="1"/>
    <col min="7684" max="7684" width="9.7109375" style="936" customWidth="1"/>
    <col min="7685" max="7702" width="9.28515625" style="936" customWidth="1"/>
    <col min="7703" max="7936" width="5.42578125" style="936" bestFit="1" customWidth="1"/>
    <col min="7937" max="7937" width="5" style="936" customWidth="1"/>
    <col min="7938" max="7938" width="17.28515625" style="936" customWidth="1"/>
    <col min="7939" max="7939" width="10.140625" style="936" customWidth="1"/>
    <col min="7940" max="7940" width="9.7109375" style="936" customWidth="1"/>
    <col min="7941" max="7958" width="9.28515625" style="936" customWidth="1"/>
    <col min="7959" max="8192" width="5.42578125" style="936" bestFit="1" customWidth="1"/>
    <col min="8193" max="8193" width="5" style="936" customWidth="1"/>
    <col min="8194" max="8194" width="17.28515625" style="936" customWidth="1"/>
    <col min="8195" max="8195" width="10.140625" style="936" customWidth="1"/>
    <col min="8196" max="8196" width="9.7109375" style="936" customWidth="1"/>
    <col min="8197" max="8214" width="9.28515625" style="936" customWidth="1"/>
    <col min="8215" max="8448" width="5.42578125" style="936" bestFit="1" customWidth="1"/>
    <col min="8449" max="8449" width="5" style="936" customWidth="1"/>
    <col min="8450" max="8450" width="17.28515625" style="936" customWidth="1"/>
    <col min="8451" max="8451" width="10.140625" style="936" customWidth="1"/>
    <col min="8452" max="8452" width="9.7109375" style="936" customWidth="1"/>
    <col min="8453" max="8470" width="9.28515625" style="936" customWidth="1"/>
    <col min="8471" max="8704" width="5.42578125" style="936" bestFit="1" customWidth="1"/>
    <col min="8705" max="8705" width="5" style="936" customWidth="1"/>
    <col min="8706" max="8706" width="17.28515625" style="936" customWidth="1"/>
    <col min="8707" max="8707" width="10.140625" style="936" customWidth="1"/>
    <col min="8708" max="8708" width="9.7109375" style="936" customWidth="1"/>
    <col min="8709" max="8726" width="9.28515625" style="936" customWidth="1"/>
    <col min="8727" max="8960" width="5.42578125" style="936" bestFit="1" customWidth="1"/>
    <col min="8961" max="8961" width="5" style="936" customWidth="1"/>
    <col min="8962" max="8962" width="17.28515625" style="936" customWidth="1"/>
    <col min="8963" max="8963" width="10.140625" style="936" customWidth="1"/>
    <col min="8964" max="8964" width="9.7109375" style="936" customWidth="1"/>
    <col min="8965" max="8982" width="9.28515625" style="936" customWidth="1"/>
    <col min="8983" max="9216" width="5.42578125" style="936" bestFit="1" customWidth="1"/>
    <col min="9217" max="9217" width="5" style="936" customWidth="1"/>
    <col min="9218" max="9218" width="17.28515625" style="936" customWidth="1"/>
    <col min="9219" max="9219" width="10.140625" style="936" customWidth="1"/>
    <col min="9220" max="9220" width="9.7109375" style="936" customWidth="1"/>
    <col min="9221" max="9238" width="9.28515625" style="936" customWidth="1"/>
    <col min="9239" max="9472" width="5.42578125" style="936" bestFit="1" customWidth="1"/>
    <col min="9473" max="9473" width="5" style="936" customWidth="1"/>
    <col min="9474" max="9474" width="17.28515625" style="936" customWidth="1"/>
    <col min="9475" max="9475" width="10.140625" style="936" customWidth="1"/>
    <col min="9476" max="9476" width="9.7109375" style="936" customWidth="1"/>
    <col min="9477" max="9494" width="9.28515625" style="936" customWidth="1"/>
    <col min="9495" max="9728" width="5.42578125" style="936" bestFit="1" customWidth="1"/>
    <col min="9729" max="9729" width="5" style="936" customWidth="1"/>
    <col min="9730" max="9730" width="17.28515625" style="936" customWidth="1"/>
    <col min="9731" max="9731" width="10.140625" style="936" customWidth="1"/>
    <col min="9732" max="9732" width="9.7109375" style="936" customWidth="1"/>
    <col min="9733" max="9750" width="9.28515625" style="936" customWidth="1"/>
    <col min="9751" max="9984" width="5.42578125" style="936" bestFit="1" customWidth="1"/>
    <col min="9985" max="9985" width="5" style="936" customWidth="1"/>
    <col min="9986" max="9986" width="17.28515625" style="936" customWidth="1"/>
    <col min="9987" max="9987" width="10.140625" style="936" customWidth="1"/>
    <col min="9988" max="9988" width="9.7109375" style="936" customWidth="1"/>
    <col min="9989" max="10006" width="9.28515625" style="936" customWidth="1"/>
    <col min="10007" max="10240" width="5.42578125" style="936" bestFit="1" customWidth="1"/>
    <col min="10241" max="10241" width="5" style="936" customWidth="1"/>
    <col min="10242" max="10242" width="17.28515625" style="936" customWidth="1"/>
    <col min="10243" max="10243" width="10.140625" style="936" customWidth="1"/>
    <col min="10244" max="10244" width="9.7109375" style="936" customWidth="1"/>
    <col min="10245" max="10262" width="9.28515625" style="936" customWidth="1"/>
    <col min="10263" max="10496" width="5.42578125" style="936" bestFit="1" customWidth="1"/>
    <col min="10497" max="10497" width="5" style="936" customWidth="1"/>
    <col min="10498" max="10498" width="17.28515625" style="936" customWidth="1"/>
    <col min="10499" max="10499" width="10.140625" style="936" customWidth="1"/>
    <col min="10500" max="10500" width="9.7109375" style="936" customWidth="1"/>
    <col min="10501" max="10518" width="9.28515625" style="936" customWidth="1"/>
    <col min="10519" max="10752" width="5.42578125" style="936" bestFit="1" customWidth="1"/>
    <col min="10753" max="10753" width="5" style="936" customWidth="1"/>
    <col min="10754" max="10754" width="17.28515625" style="936" customWidth="1"/>
    <col min="10755" max="10755" width="10.140625" style="936" customWidth="1"/>
    <col min="10756" max="10756" width="9.7109375" style="936" customWidth="1"/>
    <col min="10757" max="10774" width="9.28515625" style="936" customWidth="1"/>
    <col min="10775" max="11008" width="5.42578125" style="936" bestFit="1" customWidth="1"/>
    <col min="11009" max="11009" width="5" style="936" customWidth="1"/>
    <col min="11010" max="11010" width="17.28515625" style="936" customWidth="1"/>
    <col min="11011" max="11011" width="10.140625" style="936" customWidth="1"/>
    <col min="11012" max="11012" width="9.7109375" style="936" customWidth="1"/>
    <col min="11013" max="11030" width="9.28515625" style="936" customWidth="1"/>
    <col min="11031" max="11264" width="5.42578125" style="936" bestFit="1" customWidth="1"/>
    <col min="11265" max="11265" width="5" style="936" customWidth="1"/>
    <col min="11266" max="11266" width="17.28515625" style="936" customWidth="1"/>
    <col min="11267" max="11267" width="10.140625" style="936" customWidth="1"/>
    <col min="11268" max="11268" width="9.7109375" style="936" customWidth="1"/>
    <col min="11269" max="11286" width="9.28515625" style="936" customWidth="1"/>
    <col min="11287" max="11520" width="5.42578125" style="936" bestFit="1" customWidth="1"/>
    <col min="11521" max="11521" width="5" style="936" customWidth="1"/>
    <col min="11522" max="11522" width="17.28515625" style="936" customWidth="1"/>
    <col min="11523" max="11523" width="10.140625" style="936" customWidth="1"/>
    <col min="11524" max="11524" width="9.7109375" style="936" customWidth="1"/>
    <col min="11525" max="11542" width="9.28515625" style="936" customWidth="1"/>
    <col min="11543" max="11776" width="5.42578125" style="936" bestFit="1" customWidth="1"/>
    <col min="11777" max="11777" width="5" style="936" customWidth="1"/>
    <col min="11778" max="11778" width="17.28515625" style="936" customWidth="1"/>
    <col min="11779" max="11779" width="10.140625" style="936" customWidth="1"/>
    <col min="11780" max="11780" width="9.7109375" style="936" customWidth="1"/>
    <col min="11781" max="11798" width="9.28515625" style="936" customWidth="1"/>
    <col min="11799" max="12032" width="5.42578125" style="936" bestFit="1" customWidth="1"/>
    <col min="12033" max="12033" width="5" style="936" customWidth="1"/>
    <col min="12034" max="12034" width="17.28515625" style="936" customWidth="1"/>
    <col min="12035" max="12035" width="10.140625" style="936" customWidth="1"/>
    <col min="12036" max="12036" width="9.7109375" style="936" customWidth="1"/>
    <col min="12037" max="12054" width="9.28515625" style="936" customWidth="1"/>
    <col min="12055" max="12288" width="5.42578125" style="936" bestFit="1" customWidth="1"/>
    <col min="12289" max="12289" width="5" style="936" customWidth="1"/>
    <col min="12290" max="12290" width="17.28515625" style="936" customWidth="1"/>
    <col min="12291" max="12291" width="10.140625" style="936" customWidth="1"/>
    <col min="12292" max="12292" width="9.7109375" style="936" customWidth="1"/>
    <col min="12293" max="12310" width="9.28515625" style="936" customWidth="1"/>
    <col min="12311" max="12544" width="5.42578125" style="936" bestFit="1" customWidth="1"/>
    <col min="12545" max="12545" width="5" style="936" customWidth="1"/>
    <col min="12546" max="12546" width="17.28515625" style="936" customWidth="1"/>
    <col min="12547" max="12547" width="10.140625" style="936" customWidth="1"/>
    <col min="12548" max="12548" width="9.7109375" style="936" customWidth="1"/>
    <col min="12549" max="12566" width="9.28515625" style="936" customWidth="1"/>
    <col min="12567" max="12800" width="5.42578125" style="936" bestFit="1" customWidth="1"/>
    <col min="12801" max="12801" width="5" style="936" customWidth="1"/>
    <col min="12802" max="12802" width="17.28515625" style="936" customWidth="1"/>
    <col min="12803" max="12803" width="10.140625" style="936" customWidth="1"/>
    <col min="12804" max="12804" width="9.7109375" style="936" customWidth="1"/>
    <col min="12805" max="12822" width="9.28515625" style="936" customWidth="1"/>
    <col min="12823" max="13056" width="5.42578125" style="936" bestFit="1" customWidth="1"/>
    <col min="13057" max="13057" width="5" style="936" customWidth="1"/>
    <col min="13058" max="13058" width="17.28515625" style="936" customWidth="1"/>
    <col min="13059" max="13059" width="10.140625" style="936" customWidth="1"/>
    <col min="13060" max="13060" width="9.7109375" style="936" customWidth="1"/>
    <col min="13061" max="13078" width="9.28515625" style="936" customWidth="1"/>
    <col min="13079" max="13312" width="5.42578125" style="936" bestFit="1" customWidth="1"/>
    <col min="13313" max="13313" width="5" style="936" customWidth="1"/>
    <col min="13314" max="13314" width="17.28515625" style="936" customWidth="1"/>
    <col min="13315" max="13315" width="10.140625" style="936" customWidth="1"/>
    <col min="13316" max="13316" width="9.7109375" style="936" customWidth="1"/>
    <col min="13317" max="13334" width="9.28515625" style="936" customWidth="1"/>
    <col min="13335" max="13568" width="5.42578125" style="936" bestFit="1" customWidth="1"/>
    <col min="13569" max="13569" width="5" style="936" customWidth="1"/>
    <col min="13570" max="13570" width="17.28515625" style="936" customWidth="1"/>
    <col min="13571" max="13571" width="10.140625" style="936" customWidth="1"/>
    <col min="13572" max="13572" width="9.7109375" style="936" customWidth="1"/>
    <col min="13573" max="13590" width="9.28515625" style="936" customWidth="1"/>
    <col min="13591" max="13824" width="5.42578125" style="936" bestFit="1" customWidth="1"/>
    <col min="13825" max="13825" width="5" style="936" customWidth="1"/>
    <col min="13826" max="13826" width="17.28515625" style="936" customWidth="1"/>
    <col min="13827" max="13827" width="10.140625" style="936" customWidth="1"/>
    <col min="13828" max="13828" width="9.7109375" style="936" customWidth="1"/>
    <col min="13829" max="13846" width="9.28515625" style="936" customWidth="1"/>
    <col min="13847" max="14080" width="5.42578125" style="936" bestFit="1" customWidth="1"/>
    <col min="14081" max="14081" width="5" style="936" customWidth="1"/>
    <col min="14082" max="14082" width="17.28515625" style="936" customWidth="1"/>
    <col min="14083" max="14083" width="10.140625" style="936" customWidth="1"/>
    <col min="14084" max="14084" width="9.7109375" style="936" customWidth="1"/>
    <col min="14085" max="14102" width="9.28515625" style="936" customWidth="1"/>
    <col min="14103" max="14336" width="5.42578125" style="936" bestFit="1" customWidth="1"/>
    <col min="14337" max="14337" width="5" style="936" customWidth="1"/>
    <col min="14338" max="14338" width="17.28515625" style="936" customWidth="1"/>
    <col min="14339" max="14339" width="10.140625" style="936" customWidth="1"/>
    <col min="14340" max="14340" width="9.7109375" style="936" customWidth="1"/>
    <col min="14341" max="14358" width="9.28515625" style="936" customWidth="1"/>
    <col min="14359" max="14592" width="5.42578125" style="936" bestFit="1" customWidth="1"/>
    <col min="14593" max="14593" width="5" style="936" customWidth="1"/>
    <col min="14594" max="14594" width="17.28515625" style="936" customWidth="1"/>
    <col min="14595" max="14595" width="10.140625" style="936" customWidth="1"/>
    <col min="14596" max="14596" width="9.7109375" style="936" customWidth="1"/>
    <col min="14597" max="14614" width="9.28515625" style="936" customWidth="1"/>
    <col min="14615" max="14848" width="5.42578125" style="936" bestFit="1" customWidth="1"/>
    <col min="14849" max="14849" width="5" style="936" customWidth="1"/>
    <col min="14850" max="14850" width="17.28515625" style="936" customWidth="1"/>
    <col min="14851" max="14851" width="10.140625" style="936" customWidth="1"/>
    <col min="14852" max="14852" width="9.7109375" style="936" customWidth="1"/>
    <col min="14853" max="14870" width="9.28515625" style="936" customWidth="1"/>
    <col min="14871" max="15104" width="5.42578125" style="936" bestFit="1" customWidth="1"/>
    <col min="15105" max="15105" width="5" style="936" customWidth="1"/>
    <col min="15106" max="15106" width="17.28515625" style="936" customWidth="1"/>
    <col min="15107" max="15107" width="10.140625" style="936" customWidth="1"/>
    <col min="15108" max="15108" width="9.7109375" style="936" customWidth="1"/>
    <col min="15109" max="15126" width="9.28515625" style="936" customWidth="1"/>
    <col min="15127" max="15360" width="5.42578125" style="936" bestFit="1" customWidth="1"/>
    <col min="15361" max="15361" width="5" style="936" customWidth="1"/>
    <col min="15362" max="15362" width="17.28515625" style="936" customWidth="1"/>
    <col min="15363" max="15363" width="10.140625" style="936" customWidth="1"/>
    <col min="15364" max="15364" width="9.7109375" style="936" customWidth="1"/>
    <col min="15365" max="15382" width="9.28515625" style="936" customWidth="1"/>
    <col min="15383" max="15616" width="5.42578125" style="936" bestFit="1" customWidth="1"/>
    <col min="15617" max="15617" width="5" style="936" customWidth="1"/>
    <col min="15618" max="15618" width="17.28515625" style="936" customWidth="1"/>
    <col min="15619" max="15619" width="10.140625" style="936" customWidth="1"/>
    <col min="15620" max="15620" width="9.7109375" style="936" customWidth="1"/>
    <col min="15621" max="15638" width="9.28515625" style="936" customWidth="1"/>
    <col min="15639" max="15872" width="5.42578125" style="936" bestFit="1" customWidth="1"/>
    <col min="15873" max="15873" width="5" style="936" customWidth="1"/>
    <col min="15874" max="15874" width="17.28515625" style="936" customWidth="1"/>
    <col min="15875" max="15875" width="10.140625" style="936" customWidth="1"/>
    <col min="15876" max="15876" width="9.7109375" style="936" customWidth="1"/>
    <col min="15877" max="15894" width="9.28515625" style="936" customWidth="1"/>
    <col min="15895" max="16128" width="5.42578125" style="936" bestFit="1" customWidth="1"/>
    <col min="16129" max="16129" width="5" style="936" customWidth="1"/>
    <col min="16130" max="16130" width="17.28515625" style="936" customWidth="1"/>
    <col min="16131" max="16131" width="10.140625" style="936" customWidth="1"/>
    <col min="16132" max="16132" width="9.7109375" style="936" customWidth="1"/>
    <col min="16133" max="16150" width="9.28515625" style="936" customWidth="1"/>
    <col min="16151" max="16384" width="5.42578125" style="936" bestFit="1" customWidth="1"/>
  </cols>
  <sheetData>
    <row r="1" spans="1:22" s="937" customFormat="1" ht="25.5" customHeight="1" x14ac:dyDescent="0.35">
      <c r="A1" s="5358" t="s">
        <v>1156</v>
      </c>
      <c r="B1" s="5358"/>
      <c r="C1" s="5358"/>
      <c r="D1" s="5358"/>
      <c r="E1" s="5358"/>
      <c r="F1" s="5358"/>
      <c r="G1" s="5358"/>
      <c r="H1" s="5358"/>
      <c r="I1" s="5358"/>
      <c r="J1" s="5358"/>
      <c r="K1" s="5358"/>
      <c r="L1" s="5358"/>
      <c r="M1" s="5358"/>
      <c r="N1" s="5358"/>
      <c r="O1" s="5358"/>
      <c r="P1" s="5358"/>
      <c r="Q1" s="5358"/>
      <c r="R1" s="5358"/>
      <c r="S1" s="5358"/>
      <c r="T1" s="5358"/>
      <c r="U1" s="5358"/>
      <c r="V1" s="5358"/>
    </row>
    <row r="2" spans="1:22" s="937" customFormat="1" ht="24" customHeight="1" x14ac:dyDescent="0.35">
      <c r="A2" s="938"/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  <c r="Q2" s="938"/>
      <c r="R2" s="938"/>
      <c r="S2" s="938"/>
      <c r="T2" s="938"/>
      <c r="U2" s="938"/>
      <c r="V2" s="938"/>
    </row>
    <row r="3" spans="1:22" s="937" customFormat="1" ht="31.5" customHeight="1" x14ac:dyDescent="0.35">
      <c r="A3" s="938"/>
      <c r="B3" s="938"/>
      <c r="C3" s="5360" t="s">
        <v>1157</v>
      </c>
      <c r="D3" s="5360"/>
      <c r="E3" s="5360"/>
      <c r="F3" s="5360"/>
      <c r="G3" s="5360"/>
      <c r="H3" s="5360"/>
      <c r="I3" s="5360"/>
      <c r="J3" s="5360"/>
      <c r="K3" s="5360"/>
      <c r="L3" s="5360"/>
      <c r="M3" s="5360"/>
      <c r="N3" s="5360"/>
      <c r="O3" s="5360"/>
      <c r="P3" s="5360"/>
      <c r="Q3" s="5360"/>
      <c r="R3" s="5360"/>
      <c r="S3" s="5360"/>
      <c r="T3" s="5360"/>
      <c r="U3" s="5360"/>
      <c r="V3" s="5360"/>
    </row>
    <row r="4" spans="1:22" s="937" customFormat="1" ht="22.5" customHeight="1" x14ac:dyDescent="0.35">
      <c r="A4" s="938"/>
      <c r="B4" s="938"/>
      <c r="C4" s="5359" t="s">
        <v>1158</v>
      </c>
      <c r="D4" s="5359"/>
      <c r="E4" s="5359"/>
      <c r="F4" s="5359"/>
      <c r="G4" s="5359"/>
      <c r="H4" s="5359"/>
      <c r="I4" s="5359"/>
      <c r="J4" s="5359"/>
      <c r="K4" s="5359"/>
      <c r="L4" s="5359"/>
      <c r="M4" s="5359"/>
      <c r="N4" s="5359"/>
      <c r="O4" s="5359"/>
      <c r="P4" s="5359"/>
      <c r="Q4" s="5359"/>
      <c r="R4" s="5359"/>
      <c r="S4" s="5359"/>
      <c r="T4" s="5359"/>
      <c r="U4" s="5359"/>
      <c r="V4" s="5359"/>
    </row>
    <row r="5" spans="1:22" s="937" customFormat="1" ht="32.25" customHeight="1" x14ac:dyDescent="0.35">
      <c r="A5" s="938"/>
      <c r="B5" s="938"/>
      <c r="C5" s="5359" t="s">
        <v>1159</v>
      </c>
      <c r="D5" s="5359"/>
      <c r="E5" s="5359"/>
      <c r="F5" s="5359"/>
      <c r="G5" s="5359"/>
      <c r="H5" s="5359"/>
      <c r="I5" s="5359"/>
      <c r="J5" s="5359"/>
      <c r="K5" s="5359"/>
      <c r="L5" s="5359"/>
      <c r="M5" s="5359"/>
      <c r="N5" s="5359"/>
      <c r="O5" s="5359"/>
      <c r="P5" s="5359"/>
      <c r="Q5" s="5359"/>
      <c r="R5" s="5359"/>
      <c r="S5" s="5359"/>
      <c r="T5" s="5359"/>
      <c r="U5" s="5359"/>
      <c r="V5" s="5359"/>
    </row>
    <row r="6" spans="1:22" s="937" customFormat="1" ht="22.5" customHeight="1" x14ac:dyDescent="0.35">
      <c r="A6" s="938"/>
      <c r="B6" s="938"/>
      <c r="C6" s="5359" t="s">
        <v>1160</v>
      </c>
      <c r="D6" s="5359"/>
      <c r="E6" s="5359"/>
      <c r="F6" s="5359"/>
      <c r="G6" s="5359"/>
      <c r="H6" s="5359"/>
      <c r="I6" s="5359"/>
      <c r="J6" s="5359"/>
      <c r="K6" s="5359"/>
      <c r="L6" s="5359"/>
      <c r="M6" s="5359"/>
      <c r="N6" s="5359"/>
      <c r="O6" s="5359"/>
      <c r="P6" s="5359"/>
      <c r="Q6" s="5359"/>
      <c r="R6" s="5359"/>
      <c r="S6" s="5359"/>
      <c r="T6" s="5359"/>
      <c r="U6" s="5359"/>
      <c r="V6" s="5359"/>
    </row>
    <row r="7" spans="1:22" s="937" customFormat="1" ht="36.75" customHeight="1" x14ac:dyDescent="0.35">
      <c r="A7" s="938"/>
      <c r="B7" s="938"/>
      <c r="C7" s="5359" t="s">
        <v>1161</v>
      </c>
      <c r="D7" s="5359"/>
      <c r="E7" s="5359"/>
      <c r="F7" s="5359"/>
      <c r="G7" s="5359"/>
      <c r="H7" s="5359"/>
      <c r="I7" s="5359"/>
      <c r="J7" s="5359"/>
      <c r="K7" s="5359"/>
      <c r="L7" s="5359"/>
      <c r="M7" s="5359"/>
      <c r="N7" s="5359"/>
      <c r="O7" s="5359"/>
      <c r="P7" s="5359"/>
      <c r="Q7" s="5359"/>
      <c r="R7" s="5359"/>
      <c r="S7" s="5359"/>
      <c r="T7" s="5359"/>
      <c r="U7" s="5359"/>
      <c r="V7" s="5359"/>
    </row>
    <row r="8" spans="1:22" s="937" customFormat="1" ht="72.95" customHeight="1" x14ac:dyDescent="0.35">
      <c r="A8" s="938"/>
      <c r="B8" s="938"/>
      <c r="C8" s="5394" t="s">
        <v>1162</v>
      </c>
      <c r="D8" s="5394"/>
      <c r="E8" s="5394"/>
      <c r="F8" s="5394"/>
      <c r="G8" s="5394"/>
      <c r="H8" s="5394"/>
      <c r="I8" s="5394"/>
      <c r="J8" s="5394"/>
      <c r="K8" s="5394"/>
      <c r="L8" s="5394"/>
      <c r="M8" s="5394"/>
      <c r="N8" s="5394"/>
      <c r="O8" s="5394"/>
      <c r="P8" s="5394"/>
      <c r="Q8" s="5394"/>
      <c r="R8" s="5394"/>
      <c r="S8" s="5394"/>
      <c r="T8" s="5394"/>
      <c r="U8" s="5394"/>
      <c r="V8" s="5394"/>
    </row>
    <row r="9" spans="1:22" s="937" customFormat="1" ht="48.75" customHeight="1" x14ac:dyDescent="0.35">
      <c r="A9" s="938"/>
      <c r="B9" s="938"/>
      <c r="C9" s="5359" t="s">
        <v>1163</v>
      </c>
      <c r="D9" s="5359"/>
      <c r="E9" s="5359"/>
      <c r="F9" s="5359"/>
      <c r="G9" s="5359"/>
      <c r="H9" s="5359"/>
      <c r="I9" s="5359"/>
      <c r="J9" s="5359"/>
      <c r="K9" s="5359"/>
      <c r="L9" s="5359"/>
      <c r="M9" s="5359"/>
      <c r="N9" s="5359"/>
      <c r="O9" s="5359"/>
      <c r="P9" s="5359"/>
      <c r="Q9" s="5359"/>
      <c r="R9" s="5359"/>
      <c r="S9" s="5359"/>
      <c r="T9" s="5359"/>
      <c r="U9" s="5359"/>
      <c r="V9" s="5359"/>
    </row>
    <row r="10" spans="1:22" s="937" customFormat="1" ht="72" customHeight="1" x14ac:dyDescent="0.35">
      <c r="A10" s="938"/>
      <c r="B10" s="938"/>
      <c r="C10" s="5394" t="s">
        <v>1164</v>
      </c>
      <c r="D10" s="5394"/>
      <c r="E10" s="5394"/>
      <c r="F10" s="5394"/>
      <c r="G10" s="5394"/>
      <c r="H10" s="5394"/>
      <c r="I10" s="5394"/>
      <c r="J10" s="5394"/>
      <c r="K10" s="5394"/>
      <c r="L10" s="5394"/>
      <c r="M10" s="5394"/>
      <c r="N10" s="5394"/>
      <c r="O10" s="5394"/>
      <c r="P10" s="5394"/>
      <c r="Q10" s="5394"/>
      <c r="R10" s="5394"/>
      <c r="S10" s="5394"/>
      <c r="T10" s="5394"/>
      <c r="U10" s="5394"/>
      <c r="V10" s="5394"/>
    </row>
    <row r="11" spans="1:22" s="937" customFormat="1" ht="51.75" customHeight="1" x14ac:dyDescent="0.35">
      <c r="A11" s="938"/>
      <c r="B11" s="938"/>
      <c r="C11" s="5359" t="s">
        <v>1165</v>
      </c>
      <c r="D11" s="5359"/>
      <c r="E11" s="5359"/>
      <c r="F11" s="5359"/>
      <c r="G11" s="5359"/>
      <c r="H11" s="5359"/>
      <c r="I11" s="5359"/>
      <c r="J11" s="5359"/>
      <c r="K11" s="5359"/>
      <c r="L11" s="5359"/>
      <c r="M11" s="5359"/>
      <c r="N11" s="5359"/>
      <c r="O11" s="5359"/>
      <c r="P11" s="5359"/>
      <c r="Q11" s="5359"/>
      <c r="R11" s="5359"/>
      <c r="S11" s="5359"/>
      <c r="T11" s="5359"/>
      <c r="U11" s="5359"/>
      <c r="V11" s="5359"/>
    </row>
    <row r="12" spans="1:22" s="937" customFormat="1" ht="43.5" customHeight="1" x14ac:dyDescent="0.35">
      <c r="A12" s="938"/>
      <c r="B12" s="938"/>
      <c r="C12" s="5359" t="s">
        <v>1166</v>
      </c>
      <c r="D12" s="5359"/>
      <c r="E12" s="5359"/>
      <c r="F12" s="5359"/>
      <c r="G12" s="5359"/>
      <c r="H12" s="5359"/>
      <c r="I12" s="5359"/>
      <c r="J12" s="5359"/>
      <c r="K12" s="5359"/>
      <c r="L12" s="5359"/>
      <c r="M12" s="5359"/>
      <c r="N12" s="5359"/>
      <c r="O12" s="5359"/>
      <c r="P12" s="5359"/>
      <c r="Q12" s="5359"/>
      <c r="R12" s="5359"/>
      <c r="S12" s="5359"/>
      <c r="T12" s="5359"/>
      <c r="U12" s="5359"/>
      <c r="V12" s="5359"/>
    </row>
    <row r="13" spans="1:22" s="937" customFormat="1" ht="27" customHeight="1" x14ac:dyDescent="0.35">
      <c r="A13" s="939"/>
      <c r="B13" s="939"/>
      <c r="C13" s="939"/>
      <c r="D13" s="5395"/>
      <c r="E13" s="5395"/>
      <c r="F13" s="5395"/>
      <c r="G13" s="5395"/>
      <c r="H13" s="5395"/>
      <c r="I13" s="5395"/>
      <c r="J13" s="5395"/>
      <c r="K13" s="5395"/>
      <c r="L13" s="5395"/>
      <c r="M13" s="5395"/>
      <c r="N13" s="5395"/>
      <c r="O13" s="5395"/>
      <c r="P13" s="5395"/>
      <c r="Q13" s="5395"/>
      <c r="R13" s="5395"/>
      <c r="S13" s="5395"/>
      <c r="T13" s="5395"/>
      <c r="U13" s="5395"/>
      <c r="V13" s="5395"/>
    </row>
    <row r="14" spans="1:22" s="937" customFormat="1" ht="24" customHeight="1" x14ac:dyDescent="0.25">
      <c r="A14" s="5403" t="s">
        <v>6</v>
      </c>
      <c r="B14" s="5369" t="s">
        <v>1167</v>
      </c>
      <c r="C14" s="5369" t="s">
        <v>1168</v>
      </c>
      <c r="D14" s="5369" t="s">
        <v>1169</v>
      </c>
      <c r="E14" s="5369" t="s">
        <v>261</v>
      </c>
      <c r="F14" s="5389"/>
      <c r="G14" s="5369" t="s">
        <v>262</v>
      </c>
      <c r="H14" s="5386"/>
      <c r="I14" s="5369" t="s">
        <v>79</v>
      </c>
      <c r="J14" s="5383"/>
      <c r="K14" s="5369" t="s">
        <v>1170</v>
      </c>
      <c r="L14" s="5375"/>
      <c r="M14" s="5376"/>
      <c r="N14" s="5377"/>
      <c r="O14" s="5378"/>
      <c r="P14" s="5379"/>
      <c r="Q14" s="5361" t="s">
        <v>1171</v>
      </c>
      <c r="R14" s="5362"/>
      <c r="S14" s="5363"/>
      <c r="T14" s="5364"/>
      <c r="U14" s="5365"/>
      <c r="V14" s="5366"/>
    </row>
    <row r="15" spans="1:22" s="937" customFormat="1" ht="27" customHeight="1" x14ac:dyDescent="0.25">
      <c r="A15" s="5483"/>
      <c r="B15" s="5400"/>
      <c r="C15" s="5396"/>
      <c r="D15" s="5392"/>
      <c r="E15" s="5390"/>
      <c r="F15" s="5391"/>
      <c r="G15" s="5387"/>
      <c r="H15" s="5388"/>
      <c r="I15" s="5384"/>
      <c r="J15" s="5385"/>
      <c r="K15" s="5369" t="s">
        <v>1172</v>
      </c>
      <c r="L15" s="5382"/>
      <c r="M15" s="5369" t="s">
        <v>1173</v>
      </c>
      <c r="N15" s="5381"/>
      <c r="O15" s="5369" t="s">
        <v>1174</v>
      </c>
      <c r="P15" s="5380"/>
      <c r="Q15" s="5369" t="s">
        <v>1172</v>
      </c>
      <c r="R15" s="5374"/>
      <c r="S15" s="5369" t="s">
        <v>1173</v>
      </c>
      <c r="T15" s="5370"/>
      <c r="U15" s="5367" t="s">
        <v>1174</v>
      </c>
      <c r="V15" s="5368"/>
    </row>
    <row r="16" spans="1:22" s="937" customFormat="1" ht="39" customHeight="1" x14ac:dyDescent="0.25">
      <c r="A16" s="5484"/>
      <c r="B16" s="5401"/>
      <c r="C16" s="5397"/>
      <c r="D16" s="5393"/>
      <c r="E16" s="941" t="s">
        <v>625</v>
      </c>
      <c r="F16" s="941" t="s">
        <v>624</v>
      </c>
      <c r="G16" s="941" t="s">
        <v>625</v>
      </c>
      <c r="H16" s="941" t="s">
        <v>624</v>
      </c>
      <c r="I16" s="941" t="s">
        <v>625</v>
      </c>
      <c r="J16" s="941" t="s">
        <v>624</v>
      </c>
      <c r="K16" s="941" t="s">
        <v>625</v>
      </c>
      <c r="L16" s="941" t="s">
        <v>624</v>
      </c>
      <c r="M16" s="941" t="s">
        <v>625</v>
      </c>
      <c r="N16" s="941" t="s">
        <v>624</v>
      </c>
      <c r="O16" s="941" t="s">
        <v>625</v>
      </c>
      <c r="P16" s="941" t="s">
        <v>624</v>
      </c>
      <c r="Q16" s="941" t="s">
        <v>625</v>
      </c>
      <c r="R16" s="941" t="s">
        <v>624</v>
      </c>
      <c r="S16" s="941" t="s">
        <v>625</v>
      </c>
      <c r="T16" s="941" t="s">
        <v>624</v>
      </c>
      <c r="U16" s="941" t="s">
        <v>625</v>
      </c>
      <c r="V16" s="942" t="s">
        <v>624</v>
      </c>
    </row>
    <row r="17" spans="1:22" s="937" customFormat="1" ht="19.5" x14ac:dyDescent="0.25">
      <c r="A17" s="943">
        <v>1</v>
      </c>
      <c r="B17" s="941">
        <f t="shared" ref="B17:V17" si="0">A17+1</f>
        <v>2</v>
      </c>
      <c r="C17" s="941">
        <f t="shared" si="0"/>
        <v>3</v>
      </c>
      <c r="D17" s="941">
        <f t="shared" si="0"/>
        <v>4</v>
      </c>
      <c r="E17" s="941">
        <f t="shared" si="0"/>
        <v>5</v>
      </c>
      <c r="F17" s="941">
        <f t="shared" si="0"/>
        <v>6</v>
      </c>
      <c r="G17" s="941">
        <f t="shared" si="0"/>
        <v>7</v>
      </c>
      <c r="H17" s="941">
        <f t="shared" si="0"/>
        <v>8</v>
      </c>
      <c r="I17" s="941">
        <f t="shared" si="0"/>
        <v>9</v>
      </c>
      <c r="J17" s="941">
        <f t="shared" si="0"/>
        <v>10</v>
      </c>
      <c r="K17" s="941">
        <f t="shared" si="0"/>
        <v>11</v>
      </c>
      <c r="L17" s="941">
        <f t="shared" si="0"/>
        <v>12</v>
      </c>
      <c r="M17" s="941">
        <f t="shared" si="0"/>
        <v>13</v>
      </c>
      <c r="N17" s="941">
        <f t="shared" si="0"/>
        <v>14</v>
      </c>
      <c r="O17" s="941">
        <f t="shared" si="0"/>
        <v>15</v>
      </c>
      <c r="P17" s="941">
        <f t="shared" si="0"/>
        <v>16</v>
      </c>
      <c r="Q17" s="941">
        <f t="shared" si="0"/>
        <v>17</v>
      </c>
      <c r="R17" s="941">
        <f t="shared" si="0"/>
        <v>18</v>
      </c>
      <c r="S17" s="941">
        <f t="shared" si="0"/>
        <v>19</v>
      </c>
      <c r="T17" s="941">
        <f t="shared" si="0"/>
        <v>20</v>
      </c>
      <c r="U17" s="941">
        <f t="shared" si="0"/>
        <v>21</v>
      </c>
      <c r="V17" s="942">
        <f t="shared" si="0"/>
        <v>22</v>
      </c>
    </row>
    <row r="18" spans="1:22" ht="18.75" hidden="1" customHeight="1" x14ac:dyDescent="0.25">
      <c r="A18" s="944"/>
      <c r="B18" s="945"/>
      <c r="C18" s="945"/>
      <c r="D18" s="5371"/>
      <c r="E18" s="5372"/>
      <c r="F18" s="5372"/>
      <c r="G18" s="5372"/>
      <c r="H18" s="5372"/>
      <c r="I18" s="5372"/>
      <c r="J18" s="5372"/>
      <c r="K18" s="5372"/>
      <c r="L18" s="5372"/>
      <c r="M18" s="5372"/>
      <c r="N18" s="5372"/>
      <c r="O18" s="5372"/>
      <c r="P18" s="5372"/>
      <c r="Q18" s="5372"/>
      <c r="R18" s="5372"/>
      <c r="S18" s="5372"/>
      <c r="T18" s="5372"/>
      <c r="U18" s="5372"/>
      <c r="V18" s="5373"/>
    </row>
    <row r="19" spans="1:22" ht="67.5" customHeight="1" x14ac:dyDescent="0.25">
      <c r="A19" s="940">
        <v>1</v>
      </c>
      <c r="B19" s="946" t="s">
        <v>1175</v>
      </c>
      <c r="C19" s="947"/>
      <c r="D19" s="948" t="s">
        <v>408</v>
      </c>
      <c r="E19" s="949">
        <v>185</v>
      </c>
      <c r="F19" s="949">
        <v>155</v>
      </c>
      <c r="G19" s="949">
        <v>155</v>
      </c>
      <c r="H19" s="949">
        <v>128</v>
      </c>
      <c r="I19" s="949">
        <v>130</v>
      </c>
      <c r="J19" s="949">
        <v>103</v>
      </c>
      <c r="K19" s="949">
        <v>115</v>
      </c>
      <c r="L19" s="949">
        <v>88</v>
      </c>
      <c r="M19" s="949">
        <v>96</v>
      </c>
      <c r="N19" s="949">
        <v>71</v>
      </c>
      <c r="O19" s="949">
        <v>76</v>
      </c>
      <c r="P19" s="949">
        <v>53</v>
      </c>
      <c r="Q19" s="950"/>
      <c r="R19" s="950"/>
      <c r="S19" s="950"/>
      <c r="T19" s="950"/>
      <c r="U19" s="950"/>
      <c r="V19" s="951"/>
    </row>
    <row r="20" spans="1:22" ht="66.75" customHeight="1" x14ac:dyDescent="0.25">
      <c r="A20" s="940">
        <v>2</v>
      </c>
      <c r="B20" s="946" t="s">
        <v>1176</v>
      </c>
      <c r="C20" s="947"/>
      <c r="D20" s="948" t="s">
        <v>408</v>
      </c>
      <c r="E20" s="949">
        <v>248</v>
      </c>
      <c r="F20" s="949">
        <v>219</v>
      </c>
      <c r="G20" s="949">
        <v>208</v>
      </c>
      <c r="H20" s="949">
        <v>178</v>
      </c>
      <c r="I20" s="949">
        <v>180</v>
      </c>
      <c r="J20" s="949">
        <v>148</v>
      </c>
      <c r="K20" s="949">
        <v>148</v>
      </c>
      <c r="L20" s="949">
        <v>115</v>
      </c>
      <c r="M20" s="949">
        <v>104</v>
      </c>
      <c r="N20" s="949">
        <v>82</v>
      </c>
      <c r="O20" s="949">
        <v>85</v>
      </c>
      <c r="P20" s="949">
        <v>64</v>
      </c>
      <c r="Q20" s="950"/>
      <c r="R20" s="950"/>
      <c r="S20" s="950"/>
      <c r="T20" s="950"/>
      <c r="U20" s="950"/>
      <c r="V20" s="951"/>
    </row>
    <row r="21" spans="1:22" ht="60" customHeight="1" x14ac:dyDescent="0.25">
      <c r="A21" s="940">
        <f>A20+1</f>
        <v>3</v>
      </c>
      <c r="B21" s="946" t="s">
        <v>420</v>
      </c>
      <c r="C21" s="947"/>
      <c r="D21" s="948" t="s">
        <v>408</v>
      </c>
      <c r="E21" s="952">
        <v>72</v>
      </c>
      <c r="F21" s="952">
        <v>55</v>
      </c>
      <c r="G21" s="952">
        <v>66</v>
      </c>
      <c r="H21" s="952">
        <v>50</v>
      </c>
      <c r="I21" s="952">
        <v>60</v>
      </c>
      <c r="J21" s="952">
        <v>45</v>
      </c>
      <c r="K21" s="953">
        <v>54</v>
      </c>
      <c r="L21" s="952">
        <v>40</v>
      </c>
      <c r="M21" s="952">
        <v>48</v>
      </c>
      <c r="N21" s="952">
        <v>35</v>
      </c>
      <c r="O21" s="952">
        <v>42</v>
      </c>
      <c r="P21" s="952">
        <v>30</v>
      </c>
      <c r="Q21" s="950"/>
      <c r="R21" s="950"/>
      <c r="S21" s="950"/>
      <c r="T21" s="950"/>
      <c r="U21" s="950"/>
      <c r="V21" s="951"/>
    </row>
    <row r="22" spans="1:22" ht="93.75" x14ac:dyDescent="0.25">
      <c r="A22" s="940">
        <f>A21+1</f>
        <v>4</v>
      </c>
      <c r="B22" s="946" t="s">
        <v>421</v>
      </c>
      <c r="C22" s="947"/>
      <c r="D22" s="948" t="s">
        <v>408</v>
      </c>
      <c r="E22" s="952">
        <v>85</v>
      </c>
      <c r="F22" s="952">
        <v>76</v>
      </c>
      <c r="G22" s="952">
        <v>79</v>
      </c>
      <c r="H22" s="952">
        <v>70</v>
      </c>
      <c r="I22" s="952">
        <v>73</v>
      </c>
      <c r="J22" s="952">
        <v>64</v>
      </c>
      <c r="K22" s="953">
        <v>67</v>
      </c>
      <c r="L22" s="952">
        <v>58</v>
      </c>
      <c r="M22" s="952">
        <v>61</v>
      </c>
      <c r="N22" s="952">
        <v>52</v>
      </c>
      <c r="O22" s="952">
        <v>55</v>
      </c>
      <c r="P22" s="952">
        <v>46</v>
      </c>
      <c r="Q22" s="950"/>
      <c r="R22" s="950"/>
      <c r="S22" s="950"/>
      <c r="T22" s="950"/>
      <c r="U22" s="950"/>
      <c r="V22" s="951"/>
    </row>
    <row r="23" spans="1:22" ht="75" x14ac:dyDescent="0.25">
      <c r="A23" s="940">
        <f>A22+1</f>
        <v>5</v>
      </c>
      <c r="B23" s="946" t="s">
        <v>422</v>
      </c>
      <c r="C23" s="947"/>
      <c r="D23" s="948" t="s">
        <v>408</v>
      </c>
      <c r="E23" s="952">
        <v>97</v>
      </c>
      <c r="F23" s="952">
        <v>80</v>
      </c>
      <c r="G23" s="952">
        <v>90</v>
      </c>
      <c r="H23" s="952">
        <v>74</v>
      </c>
      <c r="I23" s="952">
        <v>83</v>
      </c>
      <c r="J23" s="952">
        <v>68</v>
      </c>
      <c r="K23" s="953">
        <v>76</v>
      </c>
      <c r="L23" s="952">
        <v>62</v>
      </c>
      <c r="M23" s="952">
        <v>67</v>
      </c>
      <c r="N23" s="952">
        <v>56</v>
      </c>
      <c r="O23" s="952">
        <v>60</v>
      </c>
      <c r="P23" s="952">
        <v>50</v>
      </c>
      <c r="Q23" s="950"/>
      <c r="R23" s="950"/>
      <c r="S23" s="950"/>
      <c r="T23" s="950"/>
      <c r="U23" s="950"/>
      <c r="V23" s="951"/>
    </row>
    <row r="24" spans="1:22" ht="54" customHeight="1" x14ac:dyDescent="0.25">
      <c r="A24" s="5403">
        <v>6</v>
      </c>
      <c r="B24" s="5398" t="s">
        <v>1177</v>
      </c>
      <c r="C24" s="954" t="s">
        <v>1178</v>
      </c>
      <c r="D24" s="955" t="s">
        <v>1179</v>
      </c>
      <c r="E24" s="956"/>
      <c r="F24" s="956"/>
      <c r="G24" s="956"/>
      <c r="H24" s="956"/>
      <c r="I24" s="957">
        <v>4.5833333333333338E-4</v>
      </c>
      <c r="J24" s="957">
        <v>4.8148148148148155E-4</v>
      </c>
      <c r="K24" s="958">
        <v>4.884259259259259E-4</v>
      </c>
      <c r="L24" s="957">
        <v>5.2083333333333333E-4</v>
      </c>
      <c r="M24" s="957">
        <v>5.2777777777777773E-4</v>
      </c>
      <c r="N24" s="957">
        <v>5.6250000000000007E-4</v>
      </c>
      <c r="O24" s="957">
        <v>5.7291666666666667E-4</v>
      </c>
      <c r="P24" s="957">
        <v>6.134259259259259E-4</v>
      </c>
      <c r="Q24" s="956"/>
      <c r="R24" s="956"/>
      <c r="S24" s="956"/>
      <c r="T24" s="956"/>
      <c r="U24" s="956"/>
      <c r="V24" s="959"/>
    </row>
    <row r="25" spans="1:22" ht="54" customHeight="1" x14ac:dyDescent="0.25">
      <c r="A25" s="5489"/>
      <c r="B25" s="5399"/>
      <c r="C25" s="960" t="s">
        <v>1180</v>
      </c>
      <c r="D25" s="961" t="s">
        <v>1179</v>
      </c>
      <c r="E25" s="962" t="s">
        <v>1181</v>
      </c>
      <c r="F25" s="962" t="s">
        <v>1182</v>
      </c>
      <c r="G25" s="962" t="s">
        <v>1183</v>
      </c>
      <c r="H25" s="962" t="s">
        <v>1184</v>
      </c>
      <c r="I25" s="963" t="s">
        <v>1185</v>
      </c>
      <c r="J25" s="963" t="s">
        <v>1186</v>
      </c>
      <c r="K25" s="964" t="s">
        <v>1187</v>
      </c>
      <c r="L25" s="964" t="s">
        <v>1188</v>
      </c>
      <c r="M25" s="964" t="s">
        <v>1189</v>
      </c>
      <c r="N25" s="964" t="s">
        <v>1190</v>
      </c>
      <c r="O25" s="964" t="s">
        <v>1191</v>
      </c>
      <c r="P25" s="964" t="s">
        <v>1192</v>
      </c>
      <c r="Q25" s="965"/>
      <c r="R25" s="965"/>
      <c r="S25" s="965"/>
      <c r="T25" s="965"/>
      <c r="U25" s="965"/>
      <c r="V25" s="966"/>
    </row>
    <row r="26" spans="1:22" ht="56.25" customHeight="1" x14ac:dyDescent="0.25">
      <c r="A26" s="5403">
        <v>7</v>
      </c>
      <c r="B26" s="5398" t="s">
        <v>1193</v>
      </c>
      <c r="C26" s="954" t="s">
        <v>1178</v>
      </c>
      <c r="D26" s="955" t="s">
        <v>1179</v>
      </c>
      <c r="E26" s="956"/>
      <c r="F26" s="956"/>
      <c r="G26" s="956"/>
      <c r="H26" s="956"/>
      <c r="I26" s="967">
        <v>1.1689814814814816E-3</v>
      </c>
      <c r="J26" s="967">
        <v>1.3368055555555555E-3</v>
      </c>
      <c r="K26" s="957">
        <v>1.3020833333333333E-3</v>
      </c>
      <c r="L26" s="957">
        <v>1.4756944444444444E-3</v>
      </c>
      <c r="M26" s="957">
        <v>1.417824074074074E-3</v>
      </c>
      <c r="N26" s="957">
        <v>1.5740740740740741E-3</v>
      </c>
      <c r="O26" s="957">
        <v>1.5277777777777779E-3</v>
      </c>
      <c r="P26" s="957">
        <v>1.6956018518518518E-3</v>
      </c>
      <c r="Q26" s="957">
        <v>1.6840277777777776E-3</v>
      </c>
      <c r="R26" s="957">
        <v>1.8634259259259261E-3</v>
      </c>
      <c r="S26" s="957">
        <v>1.8518518518518517E-3</v>
      </c>
      <c r="T26" s="957">
        <v>2.0254629629629629E-3</v>
      </c>
      <c r="U26" s="957">
        <v>2.0138888888888888E-3</v>
      </c>
      <c r="V26" s="968">
        <v>2.1990740740740742E-3</v>
      </c>
    </row>
    <row r="27" spans="1:22" ht="57" customHeight="1" x14ac:dyDescent="0.25">
      <c r="A27" s="5412"/>
      <c r="B27" s="5475"/>
      <c r="C27" s="960" t="s">
        <v>1180</v>
      </c>
      <c r="D27" s="961" t="s">
        <v>1179</v>
      </c>
      <c r="E27" s="962" t="s">
        <v>1194</v>
      </c>
      <c r="F27" s="962" t="s">
        <v>1195</v>
      </c>
      <c r="G27" s="962" t="s">
        <v>1196</v>
      </c>
      <c r="H27" s="962" t="s">
        <v>1197</v>
      </c>
      <c r="I27" s="962" t="s">
        <v>1198</v>
      </c>
      <c r="J27" s="962" t="s">
        <v>1199</v>
      </c>
      <c r="K27" s="964" t="s">
        <v>1200</v>
      </c>
      <c r="L27" s="963" t="s">
        <v>1201</v>
      </c>
      <c r="M27" s="963" t="s">
        <v>1202</v>
      </c>
      <c r="N27" s="963" t="s">
        <v>1203</v>
      </c>
      <c r="O27" s="963" t="s">
        <v>1204</v>
      </c>
      <c r="P27" s="969" t="s">
        <v>1205</v>
      </c>
      <c r="Q27" s="970" t="s">
        <v>1206</v>
      </c>
      <c r="R27" s="970" t="s">
        <v>1207</v>
      </c>
      <c r="S27" s="970" t="s">
        <v>1208</v>
      </c>
      <c r="T27" s="970" t="s">
        <v>1209</v>
      </c>
      <c r="U27" s="970" t="s">
        <v>1210</v>
      </c>
      <c r="V27" s="971" t="s">
        <v>1211</v>
      </c>
    </row>
    <row r="28" spans="1:22" ht="54.75" customHeight="1" x14ac:dyDescent="0.25">
      <c r="A28" s="5403">
        <v>8</v>
      </c>
      <c r="B28" s="5398" t="s">
        <v>1212</v>
      </c>
      <c r="C28" s="954" t="s">
        <v>1178</v>
      </c>
      <c r="D28" s="955" t="s">
        <v>1179</v>
      </c>
      <c r="E28" s="956"/>
      <c r="F28" s="956"/>
      <c r="G28" s="956"/>
      <c r="H28" s="956"/>
      <c r="I28" s="967">
        <v>2.6770833333333334E-3</v>
      </c>
      <c r="J28" s="967">
        <v>3.0092592592592588E-3</v>
      </c>
      <c r="K28" s="957">
        <v>2.9687500000000005E-3</v>
      </c>
      <c r="L28" s="957">
        <v>3.2870370370370367E-3</v>
      </c>
      <c r="M28" s="957">
        <v>3.2002314814814814E-3</v>
      </c>
      <c r="N28" s="957">
        <v>3.4490740740740745E-3</v>
      </c>
      <c r="O28" s="957">
        <v>3.472222222222222E-3</v>
      </c>
      <c r="P28" s="957">
        <v>3.8657407407407408E-3</v>
      </c>
      <c r="Q28" s="957">
        <v>3.7962962962962963E-3</v>
      </c>
      <c r="R28" s="957">
        <v>4.108796296296297E-3</v>
      </c>
      <c r="S28" s="957">
        <v>4.0798611111111114E-3</v>
      </c>
      <c r="T28" s="957">
        <v>4.5370370370370365E-3</v>
      </c>
      <c r="U28" s="957">
        <v>4.4907407407407405E-3</v>
      </c>
      <c r="V28" s="968">
        <v>4.8611111111111112E-3</v>
      </c>
    </row>
    <row r="29" spans="1:22" ht="55.5" customHeight="1" x14ac:dyDescent="0.25">
      <c r="A29" s="5408"/>
      <c r="B29" s="5492"/>
      <c r="C29" s="960" t="s">
        <v>1180</v>
      </c>
      <c r="D29" s="961" t="s">
        <v>1179</v>
      </c>
      <c r="E29" s="962" t="s">
        <v>1213</v>
      </c>
      <c r="F29" s="962" t="s">
        <v>1214</v>
      </c>
      <c r="G29" s="962" t="s">
        <v>1215</v>
      </c>
      <c r="H29" s="962" t="s">
        <v>1216</v>
      </c>
      <c r="I29" s="962" t="s">
        <v>1217</v>
      </c>
      <c r="J29" s="962" t="s">
        <v>1218</v>
      </c>
      <c r="K29" s="964" t="s">
        <v>1219</v>
      </c>
      <c r="L29" s="963" t="s">
        <v>1220</v>
      </c>
      <c r="M29" s="963" t="s">
        <v>1221</v>
      </c>
      <c r="N29" s="963" t="s">
        <v>1222</v>
      </c>
      <c r="O29" s="963" t="s">
        <v>1223</v>
      </c>
      <c r="P29" s="963" t="s">
        <v>1224</v>
      </c>
      <c r="Q29" s="964" t="s">
        <v>1225</v>
      </c>
      <c r="R29" s="964" t="s">
        <v>1226</v>
      </c>
      <c r="S29" s="964" t="s">
        <v>1227</v>
      </c>
      <c r="T29" s="964" t="s">
        <v>1228</v>
      </c>
      <c r="U29" s="964" t="s">
        <v>1229</v>
      </c>
      <c r="V29" s="972" t="s">
        <v>1230</v>
      </c>
    </row>
    <row r="30" spans="1:22" ht="55.5" customHeight="1" x14ac:dyDescent="0.25">
      <c r="A30" s="5403">
        <v>9</v>
      </c>
      <c r="B30" s="5398" t="s">
        <v>1231</v>
      </c>
      <c r="C30" s="954" t="s">
        <v>1178</v>
      </c>
      <c r="D30" s="955" t="s">
        <v>1179</v>
      </c>
      <c r="E30" s="956"/>
      <c r="F30" s="956"/>
      <c r="G30" s="956"/>
      <c r="H30" s="956"/>
      <c r="I30" s="957">
        <v>2.4074074074074077E-4</v>
      </c>
      <c r="J30" s="957">
        <v>2.9861111111111109E-4</v>
      </c>
      <c r="K30" s="957">
        <v>2.6620370370370372E-4</v>
      </c>
      <c r="L30" s="957">
        <v>3.2407407407407406E-4</v>
      </c>
      <c r="M30" s="957">
        <v>2.9513888888888889E-4</v>
      </c>
      <c r="N30" s="957">
        <v>3.5069444444444444E-4</v>
      </c>
      <c r="O30" s="957">
        <v>3.4259259259259263E-4</v>
      </c>
      <c r="P30" s="957">
        <v>4.0509259259259258E-4</v>
      </c>
      <c r="Q30" s="957">
        <v>3.8194444444444446E-4</v>
      </c>
      <c r="R30" s="957">
        <v>4.4560185185185192E-4</v>
      </c>
      <c r="S30" s="957">
        <v>4.1898148148148155E-4</v>
      </c>
      <c r="T30" s="957">
        <v>4.7453703703703704E-4</v>
      </c>
      <c r="U30" s="957">
        <v>4.5138888888888892E-4</v>
      </c>
      <c r="V30" s="968">
        <v>5.2083333333333333E-4</v>
      </c>
    </row>
    <row r="31" spans="1:22" ht="55.5" customHeight="1" x14ac:dyDescent="0.25">
      <c r="A31" s="5419"/>
      <c r="B31" s="5402"/>
      <c r="C31" s="960" t="s">
        <v>1180</v>
      </c>
      <c r="D31" s="961" t="s">
        <v>1179</v>
      </c>
      <c r="E31" s="962" t="s">
        <v>1232</v>
      </c>
      <c r="F31" s="962" t="s">
        <v>1233</v>
      </c>
      <c r="G31" s="962" t="s">
        <v>1234</v>
      </c>
      <c r="H31" s="962" t="s">
        <v>1235</v>
      </c>
      <c r="I31" s="963" t="s">
        <v>1235</v>
      </c>
      <c r="J31" s="963" t="s">
        <v>1236</v>
      </c>
      <c r="K31" s="964" t="s">
        <v>1237</v>
      </c>
      <c r="L31" s="963" t="s">
        <v>1238</v>
      </c>
      <c r="M31" s="963" t="s">
        <v>1239</v>
      </c>
      <c r="N31" s="963" t="s">
        <v>1240</v>
      </c>
      <c r="O31" s="963" t="s">
        <v>1241</v>
      </c>
      <c r="P31" s="963" t="s">
        <v>1242</v>
      </c>
      <c r="Q31" s="964" t="s">
        <v>1243</v>
      </c>
      <c r="R31" s="964" t="s">
        <v>1244</v>
      </c>
      <c r="S31" s="964" t="s">
        <v>1245</v>
      </c>
      <c r="T31" s="964" t="s">
        <v>1246</v>
      </c>
      <c r="U31" s="964" t="s">
        <v>1247</v>
      </c>
      <c r="V31" s="972" t="s">
        <v>1188</v>
      </c>
    </row>
    <row r="32" spans="1:22" ht="53.25" customHeight="1" x14ac:dyDescent="0.25">
      <c r="A32" s="5403">
        <f>A30+1</f>
        <v>10</v>
      </c>
      <c r="B32" s="5398" t="s">
        <v>1248</v>
      </c>
      <c r="C32" s="954" t="s">
        <v>1178</v>
      </c>
      <c r="D32" s="955" t="s">
        <v>1179</v>
      </c>
      <c r="E32" s="956"/>
      <c r="F32" s="956"/>
      <c r="G32" s="956"/>
      <c r="H32" s="956"/>
      <c r="I32" s="957">
        <v>1.8749999999999998E-4</v>
      </c>
      <c r="J32" s="957">
        <v>2.1064814814814815E-4</v>
      </c>
      <c r="K32" s="957">
        <v>2.0023148148148146E-4</v>
      </c>
      <c r="L32" s="957">
        <v>2.2453703703703701E-4</v>
      </c>
      <c r="M32" s="957">
        <v>2.175925925925926E-4</v>
      </c>
      <c r="N32" s="957">
        <v>2.4421296296296295E-4</v>
      </c>
      <c r="O32" s="957">
        <v>2.3611111111111109E-4</v>
      </c>
      <c r="P32" s="957">
        <v>2.6504629629629626E-4</v>
      </c>
      <c r="Q32" s="956"/>
      <c r="R32" s="956"/>
      <c r="S32" s="956"/>
      <c r="T32" s="956"/>
      <c r="U32" s="956"/>
      <c r="V32" s="959"/>
    </row>
    <row r="33" spans="1:22" ht="53.25" customHeight="1" x14ac:dyDescent="0.25">
      <c r="A33" s="5421"/>
      <c r="B33" s="5469"/>
      <c r="C33" s="960" t="s">
        <v>1180</v>
      </c>
      <c r="D33" s="961" t="s">
        <v>1179</v>
      </c>
      <c r="E33" s="963" t="s">
        <v>1249</v>
      </c>
      <c r="F33" s="963" t="s">
        <v>1250</v>
      </c>
      <c r="G33" s="963" t="s">
        <v>1251</v>
      </c>
      <c r="H33" s="963" t="s">
        <v>1252</v>
      </c>
      <c r="I33" s="963" t="s">
        <v>1253</v>
      </c>
      <c r="J33" s="963" t="s">
        <v>1254</v>
      </c>
      <c r="K33" s="964" t="s">
        <v>1252</v>
      </c>
      <c r="L33" s="963" t="s">
        <v>1255</v>
      </c>
      <c r="M33" s="963" t="s">
        <v>1233</v>
      </c>
      <c r="N33" s="963" t="s">
        <v>1256</v>
      </c>
      <c r="O33" s="963" t="s">
        <v>1257</v>
      </c>
      <c r="P33" s="963" t="s">
        <v>1258</v>
      </c>
      <c r="Q33" s="973"/>
      <c r="R33" s="973"/>
      <c r="S33" s="973"/>
      <c r="T33" s="973"/>
      <c r="U33" s="973"/>
      <c r="V33" s="974"/>
    </row>
    <row r="34" spans="1:22" ht="54.75" customHeight="1" x14ac:dyDescent="0.25">
      <c r="A34" s="5403">
        <v>11</v>
      </c>
      <c r="B34" s="5398" t="s">
        <v>1259</v>
      </c>
      <c r="C34" s="954" t="s">
        <v>1178</v>
      </c>
      <c r="D34" s="955" t="s">
        <v>1179</v>
      </c>
      <c r="E34" s="956"/>
      <c r="F34" s="956"/>
      <c r="G34" s="956"/>
      <c r="H34" s="956"/>
      <c r="I34" s="967">
        <v>2.465277777777778E-4</v>
      </c>
      <c r="J34" s="967">
        <v>2.8472222222222223E-4</v>
      </c>
      <c r="K34" s="967">
        <v>2.6620370370370372E-4</v>
      </c>
      <c r="L34" s="967">
        <v>3.0555555555555555E-4</v>
      </c>
      <c r="M34" s="967">
        <v>2.8703703703703703E-4</v>
      </c>
      <c r="N34" s="967">
        <v>3.2407407407407406E-4</v>
      </c>
      <c r="O34" s="967">
        <v>3.0671296296296295E-4</v>
      </c>
      <c r="P34" s="967">
        <v>3.5300925925925924E-4</v>
      </c>
      <c r="Q34" s="958">
        <v>3.4490740740740743E-4</v>
      </c>
      <c r="R34" s="957">
        <v>3.8773148148148152E-4</v>
      </c>
      <c r="S34" s="957">
        <v>3.7499999999999995E-4</v>
      </c>
      <c r="T34" s="957">
        <v>4.2476851851851855E-4</v>
      </c>
      <c r="U34" s="975" t="s">
        <v>1260</v>
      </c>
      <c r="V34" s="968">
        <v>4.6064814814814818E-4</v>
      </c>
    </row>
    <row r="35" spans="1:22" ht="56.25" customHeight="1" x14ac:dyDescent="0.25">
      <c r="A35" s="5405"/>
      <c r="B35" s="5493"/>
      <c r="C35" s="960" t="s">
        <v>1180</v>
      </c>
      <c r="D35" s="961" t="s">
        <v>1179</v>
      </c>
      <c r="E35" s="962" t="s">
        <v>1261</v>
      </c>
      <c r="F35" s="962" t="s">
        <v>1262</v>
      </c>
      <c r="G35" s="962" t="s">
        <v>1263</v>
      </c>
      <c r="H35" s="962" t="s">
        <v>1264</v>
      </c>
      <c r="I35" s="962" t="s">
        <v>1265</v>
      </c>
      <c r="J35" s="962" t="s">
        <v>1266</v>
      </c>
      <c r="K35" s="962" t="s">
        <v>1267</v>
      </c>
      <c r="L35" s="962" t="s">
        <v>1268</v>
      </c>
      <c r="M35" s="962" t="s">
        <v>1269</v>
      </c>
      <c r="N35" s="962" t="s">
        <v>1238</v>
      </c>
      <c r="O35" s="962" t="s">
        <v>1270</v>
      </c>
      <c r="P35" s="962" t="s">
        <v>1271</v>
      </c>
      <c r="Q35" s="964" t="s">
        <v>1272</v>
      </c>
      <c r="R35" s="964" t="s">
        <v>1273</v>
      </c>
      <c r="S35" s="964" t="s">
        <v>1274</v>
      </c>
      <c r="T35" s="964" t="s">
        <v>1275</v>
      </c>
      <c r="U35" s="964" t="s">
        <v>1276</v>
      </c>
      <c r="V35" s="972" t="s">
        <v>1277</v>
      </c>
    </row>
    <row r="36" spans="1:22" ht="55.5" customHeight="1" x14ac:dyDescent="0.25">
      <c r="A36" s="5403">
        <v>12</v>
      </c>
      <c r="B36" s="5398" t="s">
        <v>1278</v>
      </c>
      <c r="C36" s="954" t="s">
        <v>1178</v>
      </c>
      <c r="D36" s="955" t="s">
        <v>1179</v>
      </c>
      <c r="E36" s="956"/>
      <c r="F36" s="956"/>
      <c r="G36" s="956"/>
      <c r="H36" s="956"/>
      <c r="I36" s="967">
        <v>5.4745370370370375E-4</v>
      </c>
      <c r="J36" s="967">
        <v>6.168981481481481E-4</v>
      </c>
      <c r="K36" s="967">
        <v>5.8796296296296287E-4</v>
      </c>
      <c r="L36" s="967">
        <v>6.6319444444444444E-4</v>
      </c>
      <c r="M36" s="967">
        <v>6.4699074074074073E-4</v>
      </c>
      <c r="N36" s="967">
        <v>7.164351851851853E-4</v>
      </c>
      <c r="O36" s="967">
        <v>6.9907407407407407E-4</v>
      </c>
      <c r="P36" s="967">
        <v>7.8472222222222214E-4</v>
      </c>
      <c r="Q36" s="957">
        <v>7.6388888888888893E-4</v>
      </c>
      <c r="R36" s="957">
        <v>8.5069444444444461E-4</v>
      </c>
      <c r="S36" s="957">
        <v>8.3333333333333339E-4</v>
      </c>
      <c r="T36" s="957">
        <v>9.2129629629629636E-4</v>
      </c>
      <c r="U36" s="957">
        <v>9.0856481481481485E-4</v>
      </c>
      <c r="V36" s="968">
        <v>9.9537037037037042E-4</v>
      </c>
    </row>
    <row r="37" spans="1:22" ht="57" customHeight="1" x14ac:dyDescent="0.25">
      <c r="A37" s="5491"/>
      <c r="B37" s="5494"/>
      <c r="C37" s="960" t="s">
        <v>1180</v>
      </c>
      <c r="D37" s="961" t="s">
        <v>1179</v>
      </c>
      <c r="E37" s="962" t="s">
        <v>1279</v>
      </c>
      <c r="F37" s="962" t="s">
        <v>1280</v>
      </c>
      <c r="G37" s="962" t="s">
        <v>1281</v>
      </c>
      <c r="H37" s="962" t="s">
        <v>1282</v>
      </c>
      <c r="I37" s="962" t="s">
        <v>1283</v>
      </c>
      <c r="J37" s="962" t="s">
        <v>1284</v>
      </c>
      <c r="K37" s="962" t="s">
        <v>1282</v>
      </c>
      <c r="L37" s="962" t="s">
        <v>1285</v>
      </c>
      <c r="M37" s="962" t="s">
        <v>1286</v>
      </c>
      <c r="N37" s="962" t="s">
        <v>1287</v>
      </c>
      <c r="O37" s="962" t="s">
        <v>1288</v>
      </c>
      <c r="P37" s="962" t="s">
        <v>1289</v>
      </c>
      <c r="Q37" s="964" t="s">
        <v>1290</v>
      </c>
      <c r="R37" s="964" t="s">
        <v>1291</v>
      </c>
      <c r="S37" s="964" t="s">
        <v>1292</v>
      </c>
      <c r="T37" s="964" t="s">
        <v>1293</v>
      </c>
      <c r="U37" s="964" t="s">
        <v>1294</v>
      </c>
      <c r="V37" s="972" t="s">
        <v>1295</v>
      </c>
    </row>
    <row r="38" spans="1:22" ht="53.25" customHeight="1" x14ac:dyDescent="0.25">
      <c r="A38" s="5403">
        <v>13</v>
      </c>
      <c r="B38" s="5398" t="s">
        <v>1296</v>
      </c>
      <c r="C38" s="954" t="s">
        <v>1178</v>
      </c>
      <c r="D38" s="955" t="s">
        <v>1179</v>
      </c>
      <c r="E38" s="956"/>
      <c r="F38" s="956"/>
      <c r="G38" s="956"/>
      <c r="H38" s="956"/>
      <c r="I38" s="967">
        <v>1.224537037037037E-3</v>
      </c>
      <c r="J38" s="967">
        <v>1.3611111111111109E-3</v>
      </c>
      <c r="K38" s="967">
        <v>1.3263888888888891E-3</v>
      </c>
      <c r="L38" s="967">
        <v>1.4733796296296294E-3</v>
      </c>
      <c r="M38" s="967">
        <v>1.4328703703703706E-3</v>
      </c>
      <c r="N38" s="967">
        <v>1.5775462962962963E-3</v>
      </c>
      <c r="O38" s="967">
        <v>1.5578703703703703E-3</v>
      </c>
      <c r="P38" s="967">
        <v>1.712962962962963E-3</v>
      </c>
      <c r="Q38" s="957">
        <v>1.71875E-3</v>
      </c>
      <c r="R38" s="957">
        <v>1.8981481481481482E-3</v>
      </c>
      <c r="S38" s="957">
        <v>1.8750000000000001E-3</v>
      </c>
      <c r="T38" s="957">
        <v>2.0659722222222221E-3</v>
      </c>
      <c r="U38" s="957">
        <v>2.0254629629629629E-3</v>
      </c>
      <c r="V38" s="968">
        <v>2.2222222222222222E-3</v>
      </c>
    </row>
    <row r="39" spans="1:22" ht="53.25" customHeight="1" x14ac:dyDescent="0.25">
      <c r="A39" s="5411"/>
      <c r="B39" s="5470"/>
      <c r="C39" s="960" t="s">
        <v>1180</v>
      </c>
      <c r="D39" s="961" t="s">
        <v>1179</v>
      </c>
      <c r="E39" s="962" t="s">
        <v>1297</v>
      </c>
      <c r="F39" s="962" t="s">
        <v>1298</v>
      </c>
      <c r="G39" s="962" t="s">
        <v>1299</v>
      </c>
      <c r="H39" s="962" t="s">
        <v>1300</v>
      </c>
      <c r="I39" s="962" t="s">
        <v>1301</v>
      </c>
      <c r="J39" s="962" t="s">
        <v>1302</v>
      </c>
      <c r="K39" s="962" t="s">
        <v>1303</v>
      </c>
      <c r="L39" s="962" t="s">
        <v>1304</v>
      </c>
      <c r="M39" s="962" t="s">
        <v>1305</v>
      </c>
      <c r="N39" s="962" t="s">
        <v>1306</v>
      </c>
      <c r="O39" s="962" t="s">
        <v>1307</v>
      </c>
      <c r="P39" s="962" t="s">
        <v>1308</v>
      </c>
      <c r="Q39" s="964" t="s">
        <v>1309</v>
      </c>
      <c r="R39" s="964" t="s">
        <v>1310</v>
      </c>
      <c r="S39" s="964" t="s">
        <v>1311</v>
      </c>
      <c r="T39" s="964" t="s">
        <v>1312</v>
      </c>
      <c r="U39" s="964" t="s">
        <v>1209</v>
      </c>
      <c r="V39" s="972" t="s">
        <v>1313</v>
      </c>
    </row>
    <row r="40" spans="1:22" ht="54.75" customHeight="1" x14ac:dyDescent="0.25">
      <c r="A40" s="5403">
        <v>14</v>
      </c>
      <c r="B40" s="5398" t="s">
        <v>1314</v>
      </c>
      <c r="C40" s="954" t="s">
        <v>1178</v>
      </c>
      <c r="D40" s="955" t="s">
        <v>1179</v>
      </c>
      <c r="E40" s="976"/>
      <c r="F40" s="976"/>
      <c r="G40" s="976"/>
      <c r="H40" s="976"/>
      <c r="I40" s="977" t="s">
        <v>1315</v>
      </c>
      <c r="J40" s="977" t="s">
        <v>1316</v>
      </c>
      <c r="K40" s="975" t="s">
        <v>1317</v>
      </c>
      <c r="L40" s="975" t="s">
        <v>1318</v>
      </c>
      <c r="M40" s="975" t="s">
        <v>1319</v>
      </c>
      <c r="N40" s="975" t="s">
        <v>1320</v>
      </c>
      <c r="O40" s="975" t="s">
        <v>1320</v>
      </c>
      <c r="P40" s="975" t="s">
        <v>1321</v>
      </c>
      <c r="Q40" s="975" t="s">
        <v>1322</v>
      </c>
      <c r="R40" s="975" t="s">
        <v>1323</v>
      </c>
      <c r="S40" s="975" t="s">
        <v>1324</v>
      </c>
      <c r="T40" s="975" t="s">
        <v>1325</v>
      </c>
      <c r="U40" s="975" t="s">
        <v>1326</v>
      </c>
      <c r="V40" s="978" t="s">
        <v>1327</v>
      </c>
    </row>
    <row r="41" spans="1:22" ht="56.25" customHeight="1" x14ac:dyDescent="0.25">
      <c r="A41" s="5418"/>
      <c r="B41" s="5495"/>
      <c r="C41" s="960" t="s">
        <v>1180</v>
      </c>
      <c r="D41" s="961" t="s">
        <v>1179</v>
      </c>
      <c r="E41" s="962" t="s">
        <v>1328</v>
      </c>
      <c r="F41" s="962" t="s">
        <v>1329</v>
      </c>
      <c r="G41" s="962" t="s">
        <v>1330</v>
      </c>
      <c r="H41" s="962" t="s">
        <v>1331</v>
      </c>
      <c r="I41" s="962" t="s">
        <v>1332</v>
      </c>
      <c r="J41" s="962" t="s">
        <v>1333</v>
      </c>
      <c r="K41" s="964" t="s">
        <v>1334</v>
      </c>
      <c r="L41" s="963" t="s">
        <v>1335</v>
      </c>
      <c r="M41" s="963" t="s">
        <v>1336</v>
      </c>
      <c r="N41" s="963" t="s">
        <v>1337</v>
      </c>
      <c r="O41" s="963" t="s">
        <v>1337</v>
      </c>
      <c r="P41" s="963" t="s">
        <v>1338</v>
      </c>
      <c r="Q41" s="970" t="s">
        <v>1339</v>
      </c>
      <c r="R41" s="970" t="s">
        <v>1340</v>
      </c>
      <c r="S41" s="970" t="s">
        <v>1341</v>
      </c>
      <c r="T41" s="970" t="s">
        <v>1342</v>
      </c>
      <c r="U41" s="970" t="s">
        <v>1343</v>
      </c>
      <c r="V41" s="971" t="s">
        <v>1344</v>
      </c>
    </row>
    <row r="42" spans="1:22" ht="101.25" customHeight="1" x14ac:dyDescent="0.25">
      <c r="A42" s="5403">
        <f>A40+1</f>
        <v>15</v>
      </c>
      <c r="B42" s="5398" t="s">
        <v>1345</v>
      </c>
      <c r="C42" s="954" t="s">
        <v>1178</v>
      </c>
      <c r="D42" s="955" t="s">
        <v>1179</v>
      </c>
      <c r="E42" s="956"/>
      <c r="F42" s="956"/>
      <c r="G42" s="956"/>
      <c r="H42" s="956"/>
      <c r="I42" s="958">
        <v>5.5671296296296296E-4</v>
      </c>
      <c r="J42" s="957">
        <v>6.2268518518518521E-4</v>
      </c>
      <c r="K42" s="957">
        <v>5.9606481481481479E-4</v>
      </c>
      <c r="L42" s="957">
        <v>6.6666666666666664E-4</v>
      </c>
      <c r="M42" s="957">
        <v>6.4814814814814813E-4</v>
      </c>
      <c r="N42" s="957">
        <v>7.175925925925927E-4</v>
      </c>
      <c r="O42" s="957">
        <v>7.0023148148148147E-4</v>
      </c>
      <c r="P42" s="957">
        <v>7.8703703703703705E-4</v>
      </c>
      <c r="Q42" s="957">
        <v>7.6388888888888893E-4</v>
      </c>
      <c r="R42" s="957">
        <v>8.5069444444444461E-4</v>
      </c>
      <c r="S42" s="957">
        <v>8.3333333333333339E-4</v>
      </c>
      <c r="T42" s="957">
        <v>9.2129629629629636E-4</v>
      </c>
      <c r="U42" s="957">
        <v>9.0856481481481485E-4</v>
      </c>
      <c r="V42" s="968">
        <v>9.9537037037037042E-4</v>
      </c>
    </row>
    <row r="43" spans="1:22" ht="101.25" customHeight="1" x14ac:dyDescent="0.25">
      <c r="A43" s="5490"/>
      <c r="B43" s="5476"/>
      <c r="C43" s="960" t="s">
        <v>1180</v>
      </c>
      <c r="D43" s="961" t="s">
        <v>1179</v>
      </c>
      <c r="E43" s="963" t="s">
        <v>1346</v>
      </c>
      <c r="F43" s="963" t="s">
        <v>1190</v>
      </c>
      <c r="G43" s="963" t="s">
        <v>1347</v>
      </c>
      <c r="H43" s="963" t="s">
        <v>1348</v>
      </c>
      <c r="I43" s="963" t="s">
        <v>1349</v>
      </c>
      <c r="J43" s="963" t="s">
        <v>1350</v>
      </c>
      <c r="K43" s="964" t="s">
        <v>1351</v>
      </c>
      <c r="L43" s="963" t="s">
        <v>1352</v>
      </c>
      <c r="M43" s="963" t="s">
        <v>1353</v>
      </c>
      <c r="N43" s="963" t="s">
        <v>1354</v>
      </c>
      <c r="O43" s="963" t="s">
        <v>1355</v>
      </c>
      <c r="P43" s="963" t="s">
        <v>1356</v>
      </c>
      <c r="Q43" s="964" t="s">
        <v>1290</v>
      </c>
      <c r="R43" s="964" t="s">
        <v>1291</v>
      </c>
      <c r="S43" s="964" t="s">
        <v>1292</v>
      </c>
      <c r="T43" s="964" t="s">
        <v>1293</v>
      </c>
      <c r="U43" s="964" t="s">
        <v>1294</v>
      </c>
      <c r="V43" s="972" t="s">
        <v>1295</v>
      </c>
    </row>
    <row r="44" spans="1:22" ht="53.25" customHeight="1" x14ac:dyDescent="0.25">
      <c r="A44" s="5403">
        <f>A42+1</f>
        <v>16</v>
      </c>
      <c r="B44" s="5398" t="s">
        <v>1357</v>
      </c>
      <c r="C44" s="954" t="s">
        <v>1178</v>
      </c>
      <c r="D44" s="955" t="s">
        <v>1179</v>
      </c>
      <c r="E44" s="956"/>
      <c r="F44" s="956"/>
      <c r="G44" s="956"/>
      <c r="H44" s="956"/>
      <c r="I44" s="957">
        <v>2.0370370370370369E-4</v>
      </c>
      <c r="J44" s="957">
        <v>2.2800925925925926E-4</v>
      </c>
      <c r="K44" s="957">
        <v>2.1412037037037038E-4</v>
      </c>
      <c r="L44" s="957">
        <v>2.4421296296296295E-4</v>
      </c>
      <c r="M44" s="957">
        <v>2.3263888888888889E-4</v>
      </c>
      <c r="N44" s="957">
        <v>2.6504629629629626E-4</v>
      </c>
      <c r="O44" s="957">
        <v>2.5347222222222221E-4</v>
      </c>
      <c r="P44" s="957">
        <v>2.8703703703703703E-4</v>
      </c>
      <c r="Q44" s="975" t="s">
        <v>1358</v>
      </c>
      <c r="R44" s="975" t="s">
        <v>1359</v>
      </c>
      <c r="S44" s="975" t="s">
        <v>1360</v>
      </c>
      <c r="T44" s="975" t="s">
        <v>1361</v>
      </c>
      <c r="U44" s="975" t="s">
        <v>1362</v>
      </c>
      <c r="V44" s="978" t="s">
        <v>1363</v>
      </c>
    </row>
    <row r="45" spans="1:22" ht="53.25" customHeight="1" x14ac:dyDescent="0.25">
      <c r="A45" s="5409"/>
      <c r="B45" s="5471"/>
      <c r="C45" s="960" t="s">
        <v>1180</v>
      </c>
      <c r="D45" s="961" t="s">
        <v>1179</v>
      </c>
      <c r="E45" s="963" t="s">
        <v>1232</v>
      </c>
      <c r="F45" s="963" t="s">
        <v>1234</v>
      </c>
      <c r="G45" s="963" t="s">
        <v>1364</v>
      </c>
      <c r="H45" s="963" t="s">
        <v>1365</v>
      </c>
      <c r="I45" s="963" t="s">
        <v>1366</v>
      </c>
      <c r="J45" s="963" t="s">
        <v>1367</v>
      </c>
      <c r="K45" s="964" t="s">
        <v>1368</v>
      </c>
      <c r="L45" s="963" t="s">
        <v>1256</v>
      </c>
      <c r="M45" s="963" t="s">
        <v>1369</v>
      </c>
      <c r="N45" s="963" t="s">
        <v>1258</v>
      </c>
      <c r="O45" s="963" t="s">
        <v>1370</v>
      </c>
      <c r="P45" s="963" t="s">
        <v>1269</v>
      </c>
      <c r="Q45" s="964" t="s">
        <v>1371</v>
      </c>
      <c r="R45" s="964" t="s">
        <v>1372</v>
      </c>
      <c r="S45" s="964" t="s">
        <v>1373</v>
      </c>
      <c r="T45" s="964" t="s">
        <v>1374</v>
      </c>
      <c r="U45" s="964" t="s">
        <v>1375</v>
      </c>
      <c r="V45" s="972" t="s">
        <v>1274</v>
      </c>
    </row>
    <row r="46" spans="1:22" ht="55.5" customHeight="1" x14ac:dyDescent="0.25">
      <c r="A46" s="5403">
        <f>A44+1</f>
        <v>17</v>
      </c>
      <c r="B46" s="5398" t="s">
        <v>1376</v>
      </c>
      <c r="C46" s="954" t="s">
        <v>1178</v>
      </c>
      <c r="D46" s="955" t="s">
        <v>1179</v>
      </c>
      <c r="E46" s="956"/>
      <c r="F46" s="956"/>
      <c r="G46" s="956"/>
      <c r="H46" s="956"/>
      <c r="I46" s="957">
        <v>4.5601851851851852E-4</v>
      </c>
      <c r="J46" s="957">
        <v>5.0694444444444441E-4</v>
      </c>
      <c r="K46" s="957">
        <v>4.895833333333333E-4</v>
      </c>
      <c r="L46" s="957">
        <v>5.4398148148148144E-4</v>
      </c>
      <c r="M46" s="957">
        <v>5.3125000000000004E-4</v>
      </c>
      <c r="N46" s="957">
        <v>5.9027777777777778E-4</v>
      </c>
      <c r="O46" s="957">
        <v>5.7638888888888887E-4</v>
      </c>
      <c r="P46" s="957">
        <v>6.3888888888888893E-4</v>
      </c>
      <c r="Q46" s="975" t="s">
        <v>1377</v>
      </c>
      <c r="R46" s="975" t="s">
        <v>1378</v>
      </c>
      <c r="S46" s="975" t="s">
        <v>1379</v>
      </c>
      <c r="T46" s="975" t="s">
        <v>1380</v>
      </c>
      <c r="U46" s="975" t="s">
        <v>1381</v>
      </c>
      <c r="V46" s="968">
        <v>8.1481481481481476E-4</v>
      </c>
    </row>
    <row r="47" spans="1:22" ht="55.5" customHeight="1" x14ac:dyDescent="0.25">
      <c r="A47" s="5415"/>
      <c r="B47" s="5496"/>
      <c r="C47" s="960" t="s">
        <v>1180</v>
      </c>
      <c r="D47" s="961" t="s">
        <v>1179</v>
      </c>
      <c r="E47" s="963" t="s">
        <v>1382</v>
      </c>
      <c r="F47" s="963" t="s">
        <v>1277</v>
      </c>
      <c r="G47" s="963" t="s">
        <v>1383</v>
      </c>
      <c r="H47" s="963" t="s">
        <v>1384</v>
      </c>
      <c r="I47" s="963" t="s">
        <v>1385</v>
      </c>
      <c r="J47" s="963" t="s">
        <v>1346</v>
      </c>
      <c r="K47" s="964" t="s">
        <v>1386</v>
      </c>
      <c r="L47" s="963" t="s">
        <v>1387</v>
      </c>
      <c r="M47" s="963" t="s">
        <v>1388</v>
      </c>
      <c r="N47" s="963" t="s">
        <v>1389</v>
      </c>
      <c r="O47" s="963" t="s">
        <v>1390</v>
      </c>
      <c r="P47" s="963" t="s">
        <v>1391</v>
      </c>
      <c r="Q47" s="964" t="s">
        <v>1392</v>
      </c>
      <c r="R47" s="964" t="s">
        <v>1393</v>
      </c>
      <c r="S47" s="964" t="s">
        <v>1394</v>
      </c>
      <c r="T47" s="964" t="s">
        <v>1395</v>
      </c>
      <c r="U47" s="964" t="s">
        <v>1396</v>
      </c>
      <c r="V47" s="972" t="s">
        <v>1397</v>
      </c>
    </row>
    <row r="48" spans="1:22" ht="54.75" customHeight="1" x14ac:dyDescent="0.25">
      <c r="A48" s="5403">
        <f>A46+1</f>
        <v>18</v>
      </c>
      <c r="B48" s="5398" t="s">
        <v>1398</v>
      </c>
      <c r="C48" s="954" t="s">
        <v>1178</v>
      </c>
      <c r="D48" s="955" t="s">
        <v>1179</v>
      </c>
      <c r="E48" s="956"/>
      <c r="F48" s="956"/>
      <c r="G48" s="956"/>
      <c r="H48" s="956"/>
      <c r="I48" s="957">
        <v>1.0590277777777777E-3</v>
      </c>
      <c r="J48" s="957">
        <v>1.1689814814814816E-3</v>
      </c>
      <c r="K48" s="957">
        <v>1.1342592592592591E-3</v>
      </c>
      <c r="L48" s="957">
        <v>1.2442129629629628E-3</v>
      </c>
      <c r="M48" s="957">
        <v>1.2384259259259258E-3</v>
      </c>
      <c r="N48" s="957">
        <v>1.3599537037037037E-3</v>
      </c>
      <c r="O48" s="957">
        <v>1.3368055555555555E-3</v>
      </c>
      <c r="P48" s="957">
        <v>1.4606481481481482E-3</v>
      </c>
      <c r="Q48" s="975" t="s">
        <v>1399</v>
      </c>
      <c r="R48" s="975" t="s">
        <v>1400</v>
      </c>
      <c r="S48" s="975" t="s">
        <v>1401</v>
      </c>
      <c r="T48" s="975" t="s">
        <v>1402</v>
      </c>
      <c r="U48" s="975" t="s">
        <v>1403</v>
      </c>
      <c r="V48" s="978" t="s">
        <v>1404</v>
      </c>
    </row>
    <row r="49" spans="1:22" ht="54.75" customHeight="1" x14ac:dyDescent="0.25">
      <c r="A49" s="5487"/>
      <c r="B49" s="5468"/>
      <c r="C49" s="960" t="s">
        <v>1180</v>
      </c>
      <c r="D49" s="961" t="s">
        <v>1179</v>
      </c>
      <c r="E49" s="963" t="s">
        <v>1405</v>
      </c>
      <c r="F49" s="963" t="s">
        <v>1406</v>
      </c>
      <c r="G49" s="963" t="s">
        <v>1407</v>
      </c>
      <c r="H49" s="963" t="s">
        <v>1408</v>
      </c>
      <c r="I49" s="963" t="s">
        <v>1409</v>
      </c>
      <c r="J49" s="963" t="s">
        <v>1198</v>
      </c>
      <c r="K49" s="964" t="s">
        <v>1410</v>
      </c>
      <c r="L49" s="963" t="s">
        <v>1411</v>
      </c>
      <c r="M49" s="963" t="s">
        <v>1412</v>
      </c>
      <c r="N49" s="963" t="s">
        <v>1413</v>
      </c>
      <c r="O49" s="963" t="s">
        <v>1199</v>
      </c>
      <c r="P49" s="963" t="s">
        <v>1414</v>
      </c>
      <c r="Q49" s="964" t="s">
        <v>1201</v>
      </c>
      <c r="R49" s="964" t="s">
        <v>1415</v>
      </c>
      <c r="S49" s="964" t="s">
        <v>1416</v>
      </c>
      <c r="T49" s="964" t="s">
        <v>1417</v>
      </c>
      <c r="U49" s="964" t="s">
        <v>1418</v>
      </c>
      <c r="V49" s="972" t="s">
        <v>1419</v>
      </c>
    </row>
    <row r="50" spans="1:22" ht="54.75" customHeight="1" x14ac:dyDescent="0.25">
      <c r="A50" s="5403">
        <f>A48+1</f>
        <v>19</v>
      </c>
      <c r="B50" s="5398" t="s">
        <v>1420</v>
      </c>
      <c r="C50" s="954" t="s">
        <v>1178</v>
      </c>
      <c r="D50" s="955" t="s">
        <v>1179</v>
      </c>
      <c r="E50" s="956"/>
      <c r="F50" s="956"/>
      <c r="G50" s="956"/>
      <c r="H50" s="956"/>
      <c r="I50" s="957">
        <v>2.3379629629629631E-3</v>
      </c>
      <c r="J50" s="957">
        <v>2.5300925925925929E-3</v>
      </c>
      <c r="K50" s="957">
        <v>2.5092592592592593E-3</v>
      </c>
      <c r="L50" s="957">
        <v>2.7222222222222218E-3</v>
      </c>
      <c r="M50" s="957">
        <v>2.7175925925925926E-3</v>
      </c>
      <c r="N50" s="957">
        <v>2.9328703703703704E-3</v>
      </c>
      <c r="O50" s="957">
        <v>2.9259259259259256E-3</v>
      </c>
      <c r="P50" s="957">
        <v>3.1597222222222222E-3</v>
      </c>
      <c r="Q50" s="975" t="s">
        <v>1421</v>
      </c>
      <c r="R50" s="975" t="s">
        <v>1422</v>
      </c>
      <c r="S50" s="975" t="s">
        <v>1423</v>
      </c>
      <c r="T50" s="975" t="s">
        <v>1424</v>
      </c>
      <c r="U50" s="975" t="s">
        <v>1425</v>
      </c>
      <c r="V50" s="978" t="s">
        <v>1426</v>
      </c>
    </row>
    <row r="51" spans="1:22" ht="54.75" customHeight="1" x14ac:dyDescent="0.25">
      <c r="A51" s="5485"/>
      <c r="B51" s="5477"/>
      <c r="C51" s="960" t="s">
        <v>1180</v>
      </c>
      <c r="D51" s="961" t="s">
        <v>1179</v>
      </c>
      <c r="E51" s="963" t="s">
        <v>1427</v>
      </c>
      <c r="F51" s="963" t="s">
        <v>1428</v>
      </c>
      <c r="G51" s="963" t="s">
        <v>1429</v>
      </c>
      <c r="H51" s="963" t="s">
        <v>1430</v>
      </c>
      <c r="I51" s="963" t="s">
        <v>1431</v>
      </c>
      <c r="J51" s="963" t="s">
        <v>1432</v>
      </c>
      <c r="K51" s="964" t="s">
        <v>1433</v>
      </c>
      <c r="L51" s="963" t="s">
        <v>1434</v>
      </c>
      <c r="M51" s="963" t="s">
        <v>1435</v>
      </c>
      <c r="N51" s="963" t="s">
        <v>1436</v>
      </c>
      <c r="O51" s="963" t="s">
        <v>1437</v>
      </c>
      <c r="P51" s="963" t="s">
        <v>1438</v>
      </c>
      <c r="Q51" s="964" t="s">
        <v>1439</v>
      </c>
      <c r="R51" s="964" t="s">
        <v>1223</v>
      </c>
      <c r="S51" s="964" t="s">
        <v>1440</v>
      </c>
      <c r="T51" s="964" t="s">
        <v>1441</v>
      </c>
      <c r="U51" s="964" t="s">
        <v>1442</v>
      </c>
      <c r="V51" s="972" t="s">
        <v>1226</v>
      </c>
    </row>
    <row r="52" spans="1:22" ht="76.5" customHeight="1" x14ac:dyDescent="0.25">
      <c r="A52" s="5403">
        <f>A50+1</f>
        <v>20</v>
      </c>
      <c r="B52" s="5398" t="s">
        <v>1443</v>
      </c>
      <c r="C52" s="954" t="s">
        <v>1178</v>
      </c>
      <c r="D52" s="955" t="s">
        <v>1179</v>
      </c>
      <c r="E52" s="956"/>
      <c r="F52" s="956"/>
      <c r="G52" s="956"/>
      <c r="H52" s="956"/>
      <c r="I52" s="957">
        <v>5.0289351851851849E-3</v>
      </c>
      <c r="J52" s="957">
        <v>5.4166666666666669E-3</v>
      </c>
      <c r="K52" s="957">
        <v>5.2777777777777771E-3</v>
      </c>
      <c r="L52" s="957">
        <v>5.7928240740740744E-3</v>
      </c>
      <c r="M52" s="957">
        <v>5.8449074074074072E-3</v>
      </c>
      <c r="N52" s="957">
        <v>6.2789351851851851E-3</v>
      </c>
      <c r="O52" s="957">
        <v>6.3101851851851852E-3</v>
      </c>
      <c r="P52" s="957">
        <v>6.7650462962962968E-3</v>
      </c>
      <c r="Q52" s="957">
        <v>6.8865740740740736E-3</v>
      </c>
      <c r="R52" s="957">
        <v>7.3900462962962973E-3</v>
      </c>
      <c r="S52" s="957">
        <v>7.5694444444444446E-3</v>
      </c>
      <c r="T52" s="957">
        <v>8.1249999999999985E-3</v>
      </c>
      <c r="U52" s="957">
        <v>8.2233796296296308E-3</v>
      </c>
      <c r="V52" s="968">
        <v>8.7557870370370359E-3</v>
      </c>
    </row>
    <row r="53" spans="1:22" ht="70.5" customHeight="1" x14ac:dyDescent="0.25">
      <c r="A53" s="5420"/>
      <c r="B53" s="5472"/>
      <c r="C53" s="960" t="s">
        <v>1180</v>
      </c>
      <c r="D53" s="961" t="s">
        <v>1179</v>
      </c>
      <c r="E53" s="963" t="s">
        <v>1444</v>
      </c>
      <c r="F53" s="963" t="s">
        <v>1445</v>
      </c>
      <c r="G53" s="963" t="s">
        <v>1446</v>
      </c>
      <c r="H53" s="963" t="s">
        <v>1447</v>
      </c>
      <c r="I53" s="963" t="s">
        <v>1448</v>
      </c>
      <c r="J53" s="963" t="s">
        <v>1449</v>
      </c>
      <c r="K53" s="964" t="s">
        <v>1450</v>
      </c>
      <c r="L53" s="963" t="s">
        <v>1451</v>
      </c>
      <c r="M53" s="963" t="s">
        <v>1452</v>
      </c>
      <c r="N53" s="963" t="s">
        <v>1453</v>
      </c>
      <c r="O53" s="963" t="s">
        <v>1454</v>
      </c>
      <c r="P53" s="963" t="s">
        <v>1455</v>
      </c>
      <c r="Q53" s="964" t="s">
        <v>1456</v>
      </c>
      <c r="R53" s="964" t="s">
        <v>1457</v>
      </c>
      <c r="S53" s="964" t="s">
        <v>1458</v>
      </c>
      <c r="T53" s="964" t="s">
        <v>1459</v>
      </c>
      <c r="U53" s="964" t="s">
        <v>1460</v>
      </c>
      <c r="V53" s="972" t="s">
        <v>1461</v>
      </c>
    </row>
    <row r="54" spans="1:22" ht="76.5" customHeight="1" x14ac:dyDescent="0.25">
      <c r="A54" s="5403">
        <f>A52+1</f>
        <v>21</v>
      </c>
      <c r="B54" s="5398" t="s">
        <v>1462</v>
      </c>
      <c r="C54" s="954" t="s">
        <v>1178</v>
      </c>
      <c r="D54" s="955" t="s">
        <v>1179</v>
      </c>
      <c r="E54" s="956"/>
      <c r="F54" s="956"/>
      <c r="G54" s="956"/>
      <c r="H54" s="956"/>
      <c r="I54" s="957">
        <v>9.6990740740740735E-3</v>
      </c>
      <c r="J54" s="957">
        <v>1.0399305555555556E-2</v>
      </c>
      <c r="K54" s="958">
        <v>1.0329861111111111E-2</v>
      </c>
      <c r="L54" s="957">
        <v>1.1111111111111112E-2</v>
      </c>
      <c r="M54" s="957">
        <v>1.1284722222222222E-2</v>
      </c>
      <c r="N54" s="957">
        <v>1.208912037037037E-2</v>
      </c>
      <c r="O54" s="957">
        <v>1.2187500000000002E-2</v>
      </c>
      <c r="P54" s="957">
        <v>1.3078703703703703E-2</v>
      </c>
      <c r="Q54" s="976"/>
      <c r="R54" s="976"/>
      <c r="S54" s="976"/>
      <c r="T54" s="976"/>
      <c r="U54" s="976"/>
      <c r="V54" s="979"/>
    </row>
    <row r="55" spans="1:22" ht="72.95" customHeight="1" x14ac:dyDescent="0.25">
      <c r="A55" s="5416"/>
      <c r="B55" s="5497"/>
      <c r="C55" s="960" t="s">
        <v>1180</v>
      </c>
      <c r="D55" s="961" t="s">
        <v>1179</v>
      </c>
      <c r="E55" s="963" t="s">
        <v>1463</v>
      </c>
      <c r="F55" s="963" t="s">
        <v>1464</v>
      </c>
      <c r="G55" s="963" t="s">
        <v>1465</v>
      </c>
      <c r="H55" s="963" t="s">
        <v>1466</v>
      </c>
      <c r="I55" s="963" t="s">
        <v>1467</v>
      </c>
      <c r="J55" s="963" t="s">
        <v>1468</v>
      </c>
      <c r="K55" s="964" t="s">
        <v>1469</v>
      </c>
      <c r="L55" s="963" t="s">
        <v>1470</v>
      </c>
      <c r="M55" s="963" t="s">
        <v>1471</v>
      </c>
      <c r="N55" s="963" t="s">
        <v>1472</v>
      </c>
      <c r="O55" s="963" t="s">
        <v>1473</v>
      </c>
      <c r="P55" s="963" t="s">
        <v>1474</v>
      </c>
      <c r="Q55" s="973"/>
      <c r="R55" s="973"/>
      <c r="S55" s="973"/>
      <c r="T55" s="973"/>
      <c r="U55" s="973"/>
      <c r="V55" s="974"/>
    </row>
    <row r="56" spans="1:22" ht="90.75" customHeight="1" x14ac:dyDescent="0.25">
      <c r="A56" s="5403">
        <f>A54+1</f>
        <v>22</v>
      </c>
      <c r="B56" s="5398" t="s">
        <v>1475</v>
      </c>
      <c r="C56" s="954" t="s">
        <v>1178</v>
      </c>
      <c r="D56" s="955" t="s">
        <v>1179</v>
      </c>
      <c r="E56" s="956"/>
      <c r="F56" s="956"/>
      <c r="G56" s="956"/>
      <c r="H56" s="956"/>
      <c r="I56" s="957">
        <v>2.0370370370370369E-4</v>
      </c>
      <c r="J56" s="957">
        <v>2.2800925925925926E-4</v>
      </c>
      <c r="K56" s="957">
        <v>2.1412037037037038E-4</v>
      </c>
      <c r="L56" s="957">
        <v>2.4421296296296295E-4</v>
      </c>
      <c r="M56" s="957">
        <v>2.3263888888888889E-4</v>
      </c>
      <c r="N56" s="957">
        <v>2.6504629629629626E-4</v>
      </c>
      <c r="O56" s="957">
        <v>2.5347222222222221E-4</v>
      </c>
      <c r="P56" s="957">
        <v>2.8703703703703703E-4</v>
      </c>
      <c r="Q56" s="975" t="s">
        <v>1358</v>
      </c>
      <c r="R56" s="975" t="s">
        <v>1359</v>
      </c>
      <c r="S56" s="975" t="s">
        <v>1360</v>
      </c>
      <c r="T56" s="975" t="s">
        <v>1361</v>
      </c>
      <c r="U56" s="975" t="s">
        <v>1362</v>
      </c>
      <c r="V56" s="978" t="s">
        <v>1363</v>
      </c>
    </row>
    <row r="57" spans="1:22" ht="90.75" customHeight="1" x14ac:dyDescent="0.25">
      <c r="A57" s="5407"/>
      <c r="B57" s="5478"/>
      <c r="C57" s="960" t="s">
        <v>1180</v>
      </c>
      <c r="D57" s="961" t="s">
        <v>1179</v>
      </c>
      <c r="E57" s="963" t="s">
        <v>1232</v>
      </c>
      <c r="F57" s="963" t="s">
        <v>1234</v>
      </c>
      <c r="G57" s="963" t="s">
        <v>1364</v>
      </c>
      <c r="H57" s="963" t="s">
        <v>1365</v>
      </c>
      <c r="I57" s="963" t="s">
        <v>1366</v>
      </c>
      <c r="J57" s="963" t="s">
        <v>1367</v>
      </c>
      <c r="K57" s="964" t="s">
        <v>1368</v>
      </c>
      <c r="L57" s="963" t="s">
        <v>1256</v>
      </c>
      <c r="M57" s="963" t="s">
        <v>1369</v>
      </c>
      <c r="N57" s="963" t="s">
        <v>1258</v>
      </c>
      <c r="O57" s="963" t="s">
        <v>1370</v>
      </c>
      <c r="P57" s="963" t="s">
        <v>1269</v>
      </c>
      <c r="Q57" s="964" t="s">
        <v>1371</v>
      </c>
      <c r="R57" s="964" t="s">
        <v>1372</v>
      </c>
      <c r="S57" s="964" t="s">
        <v>1373</v>
      </c>
      <c r="T57" s="964" t="s">
        <v>1374</v>
      </c>
      <c r="U57" s="964" t="s">
        <v>1375</v>
      </c>
      <c r="V57" s="972" t="s">
        <v>1274</v>
      </c>
    </row>
    <row r="58" spans="1:22" ht="90.75" customHeight="1" x14ac:dyDescent="0.25">
      <c r="A58" s="5403">
        <f>A56+1</f>
        <v>23</v>
      </c>
      <c r="B58" s="5398" t="s">
        <v>1476</v>
      </c>
      <c r="C58" s="954" t="s">
        <v>1178</v>
      </c>
      <c r="D58" s="955" t="s">
        <v>1179</v>
      </c>
      <c r="E58" s="956"/>
      <c r="F58" s="956"/>
      <c r="G58" s="956"/>
      <c r="H58" s="956"/>
      <c r="I58" s="957">
        <v>4.5601851851851852E-4</v>
      </c>
      <c r="J58" s="957">
        <v>5.0694444444444441E-4</v>
      </c>
      <c r="K58" s="957">
        <v>4.895833333333333E-4</v>
      </c>
      <c r="L58" s="957">
        <v>5.4398148148148144E-4</v>
      </c>
      <c r="M58" s="957">
        <v>5.3125000000000004E-4</v>
      </c>
      <c r="N58" s="957">
        <v>5.9027777777777778E-4</v>
      </c>
      <c r="O58" s="957">
        <v>5.7638888888888887E-4</v>
      </c>
      <c r="P58" s="957">
        <v>6.3888888888888893E-4</v>
      </c>
      <c r="Q58" s="975" t="s">
        <v>1377</v>
      </c>
      <c r="R58" s="975" t="s">
        <v>1378</v>
      </c>
      <c r="S58" s="975" t="s">
        <v>1379</v>
      </c>
      <c r="T58" s="975" t="s">
        <v>1380</v>
      </c>
      <c r="U58" s="975" t="s">
        <v>1381</v>
      </c>
      <c r="V58" s="968">
        <v>8.1481481481481476E-4</v>
      </c>
    </row>
    <row r="59" spans="1:22" ht="90.75" customHeight="1" x14ac:dyDescent="0.25">
      <c r="A59" s="5488"/>
      <c r="B59" s="5473"/>
      <c r="C59" s="960" t="s">
        <v>1180</v>
      </c>
      <c r="D59" s="961" t="s">
        <v>1179</v>
      </c>
      <c r="E59" s="963" t="s">
        <v>1382</v>
      </c>
      <c r="F59" s="963" t="s">
        <v>1277</v>
      </c>
      <c r="G59" s="963" t="s">
        <v>1383</v>
      </c>
      <c r="H59" s="963" t="s">
        <v>1384</v>
      </c>
      <c r="I59" s="963" t="s">
        <v>1385</v>
      </c>
      <c r="J59" s="963" t="s">
        <v>1346</v>
      </c>
      <c r="K59" s="964" t="s">
        <v>1386</v>
      </c>
      <c r="L59" s="963" t="s">
        <v>1387</v>
      </c>
      <c r="M59" s="963" t="s">
        <v>1388</v>
      </c>
      <c r="N59" s="963" t="s">
        <v>1389</v>
      </c>
      <c r="O59" s="963" t="s">
        <v>1390</v>
      </c>
      <c r="P59" s="963" t="s">
        <v>1391</v>
      </c>
      <c r="Q59" s="964" t="s">
        <v>1392</v>
      </c>
      <c r="R59" s="964" t="s">
        <v>1393</v>
      </c>
      <c r="S59" s="964" t="s">
        <v>1394</v>
      </c>
      <c r="T59" s="964" t="s">
        <v>1395</v>
      </c>
      <c r="U59" s="964" t="s">
        <v>1396</v>
      </c>
      <c r="V59" s="972" t="s">
        <v>1397</v>
      </c>
    </row>
    <row r="60" spans="1:22" ht="90.75" customHeight="1" x14ac:dyDescent="0.25">
      <c r="A60" s="5403">
        <f>A58+1</f>
        <v>24</v>
      </c>
      <c r="B60" s="5398" t="s">
        <v>1477</v>
      </c>
      <c r="C60" s="954" t="s">
        <v>1178</v>
      </c>
      <c r="D60" s="955" t="s">
        <v>1179</v>
      </c>
      <c r="E60" s="956"/>
      <c r="F60" s="956"/>
      <c r="G60" s="956"/>
      <c r="H60" s="956"/>
      <c r="I60" s="957">
        <v>1.0590277777777777E-3</v>
      </c>
      <c r="J60" s="957">
        <v>1.1689814814814816E-3</v>
      </c>
      <c r="K60" s="957">
        <v>1.1342592592592591E-3</v>
      </c>
      <c r="L60" s="957">
        <v>1.2442129629629628E-3</v>
      </c>
      <c r="M60" s="957">
        <v>1.2384259259259258E-3</v>
      </c>
      <c r="N60" s="957">
        <v>1.3599537037037037E-3</v>
      </c>
      <c r="O60" s="957">
        <v>1.3368055555555555E-3</v>
      </c>
      <c r="P60" s="957">
        <v>1.4606481481481482E-3</v>
      </c>
      <c r="Q60" s="975" t="s">
        <v>1399</v>
      </c>
      <c r="R60" s="975" t="s">
        <v>1400</v>
      </c>
      <c r="S60" s="975" t="s">
        <v>1401</v>
      </c>
      <c r="T60" s="975" t="s">
        <v>1402</v>
      </c>
      <c r="U60" s="975" t="s">
        <v>1403</v>
      </c>
      <c r="V60" s="978" t="s">
        <v>1404</v>
      </c>
    </row>
    <row r="61" spans="1:22" ht="90.75" customHeight="1" x14ac:dyDescent="0.25">
      <c r="A61" s="5414"/>
      <c r="B61" s="5498"/>
      <c r="C61" s="960" t="s">
        <v>1180</v>
      </c>
      <c r="D61" s="961" t="s">
        <v>1179</v>
      </c>
      <c r="E61" s="963" t="s">
        <v>1405</v>
      </c>
      <c r="F61" s="963" t="s">
        <v>1406</v>
      </c>
      <c r="G61" s="963" t="s">
        <v>1407</v>
      </c>
      <c r="H61" s="963" t="s">
        <v>1408</v>
      </c>
      <c r="I61" s="963" t="s">
        <v>1409</v>
      </c>
      <c r="J61" s="963" t="s">
        <v>1198</v>
      </c>
      <c r="K61" s="964" t="s">
        <v>1410</v>
      </c>
      <c r="L61" s="963" t="s">
        <v>1411</v>
      </c>
      <c r="M61" s="963" t="s">
        <v>1412</v>
      </c>
      <c r="N61" s="963" t="s">
        <v>1413</v>
      </c>
      <c r="O61" s="963" t="s">
        <v>1199</v>
      </c>
      <c r="P61" s="963" t="s">
        <v>1414</v>
      </c>
      <c r="Q61" s="964" t="s">
        <v>1201</v>
      </c>
      <c r="R61" s="964" t="s">
        <v>1415</v>
      </c>
      <c r="S61" s="964" t="s">
        <v>1416</v>
      </c>
      <c r="T61" s="964" t="s">
        <v>1417</v>
      </c>
      <c r="U61" s="964" t="s">
        <v>1418</v>
      </c>
      <c r="V61" s="972" t="s">
        <v>1419</v>
      </c>
    </row>
    <row r="62" spans="1:22" ht="56.25" customHeight="1" x14ac:dyDescent="0.25">
      <c r="A62" s="5403">
        <f>A60+1</f>
        <v>25</v>
      </c>
      <c r="B62" s="5398" t="s">
        <v>1478</v>
      </c>
      <c r="C62" s="980" t="s">
        <v>1178</v>
      </c>
      <c r="D62" s="948" t="s">
        <v>1179</v>
      </c>
      <c r="E62" s="950"/>
      <c r="F62" s="950"/>
      <c r="G62" s="950"/>
      <c r="H62" s="950"/>
      <c r="I62" s="981">
        <v>4.1898148148148155E-4</v>
      </c>
      <c r="J62" s="981">
        <v>4.5949074074074078E-4</v>
      </c>
      <c r="K62" s="981">
        <v>4.4907407407407401E-4</v>
      </c>
      <c r="L62" s="981">
        <v>4.9305555555555561E-4</v>
      </c>
      <c r="M62" s="981">
        <v>4.8726851851851855E-4</v>
      </c>
      <c r="N62" s="981">
        <v>5.3472222222222224E-4</v>
      </c>
      <c r="O62" s="981">
        <v>5.3009259259259253E-4</v>
      </c>
      <c r="P62" s="981">
        <v>5.8101851851851858E-4</v>
      </c>
      <c r="Q62" s="982" t="s">
        <v>1479</v>
      </c>
      <c r="R62" s="982" t="s">
        <v>1480</v>
      </c>
      <c r="S62" s="982" t="s">
        <v>1481</v>
      </c>
      <c r="T62" s="982" t="s">
        <v>1482</v>
      </c>
      <c r="U62" s="982" t="s">
        <v>1483</v>
      </c>
      <c r="V62" s="983" t="s">
        <v>1484</v>
      </c>
    </row>
    <row r="63" spans="1:22" ht="56.25" customHeight="1" x14ac:dyDescent="0.25">
      <c r="A63" s="5410"/>
      <c r="B63" s="5474"/>
      <c r="C63" s="980" t="s">
        <v>1180</v>
      </c>
      <c r="D63" s="948" t="s">
        <v>1179</v>
      </c>
      <c r="E63" s="982" t="s">
        <v>1485</v>
      </c>
      <c r="F63" s="982" t="s">
        <v>1486</v>
      </c>
      <c r="G63" s="982" t="s">
        <v>1487</v>
      </c>
      <c r="H63" s="982" t="s">
        <v>1488</v>
      </c>
      <c r="I63" s="982" t="s">
        <v>1245</v>
      </c>
      <c r="J63" s="982" t="s">
        <v>1489</v>
      </c>
      <c r="K63" s="984" t="s">
        <v>1277</v>
      </c>
      <c r="L63" s="982" t="s">
        <v>1490</v>
      </c>
      <c r="M63" s="982" t="s">
        <v>1491</v>
      </c>
      <c r="N63" s="982" t="s">
        <v>1492</v>
      </c>
      <c r="O63" s="982" t="s">
        <v>1347</v>
      </c>
      <c r="P63" s="982" t="s">
        <v>1493</v>
      </c>
      <c r="Q63" s="984" t="s">
        <v>1493</v>
      </c>
      <c r="R63" s="984" t="s">
        <v>1494</v>
      </c>
      <c r="S63" s="984" t="s">
        <v>1495</v>
      </c>
      <c r="T63" s="984" t="s">
        <v>1496</v>
      </c>
      <c r="U63" s="984" t="s">
        <v>1497</v>
      </c>
      <c r="V63" s="985" t="s">
        <v>1498</v>
      </c>
    </row>
    <row r="64" spans="1:22" ht="54.75" customHeight="1" x14ac:dyDescent="0.25">
      <c r="A64" s="5403">
        <f>A62+1</f>
        <v>26</v>
      </c>
      <c r="B64" s="5398" t="s">
        <v>1499</v>
      </c>
      <c r="C64" s="954" t="s">
        <v>1178</v>
      </c>
      <c r="D64" s="955" t="s">
        <v>1179</v>
      </c>
      <c r="E64" s="956"/>
      <c r="F64" s="956"/>
      <c r="G64" s="956"/>
      <c r="H64" s="956"/>
      <c r="I64" s="986">
        <v>2.1724537037037038E-3</v>
      </c>
      <c r="J64" s="986">
        <v>2.3495370370370371E-3</v>
      </c>
      <c r="K64" s="986">
        <v>2.3263888888888887E-3</v>
      </c>
      <c r="L64" s="986">
        <v>2.5231481481481481E-3</v>
      </c>
      <c r="M64" s="986">
        <v>2.5231481481481481E-3</v>
      </c>
      <c r="N64" s="986">
        <v>2.7314814814814819E-3</v>
      </c>
      <c r="O64" s="986">
        <v>2.7372685185185187E-3</v>
      </c>
      <c r="P64" s="986">
        <v>2.9513888888888888E-3</v>
      </c>
      <c r="Q64" s="987"/>
      <c r="R64" s="987"/>
      <c r="S64" s="987"/>
      <c r="T64" s="987"/>
      <c r="U64" s="987"/>
      <c r="V64" s="988"/>
    </row>
    <row r="65" spans="1:22" ht="54.75" customHeight="1" x14ac:dyDescent="0.25">
      <c r="A65" s="5413"/>
      <c r="B65" s="5479"/>
      <c r="C65" s="960" t="s">
        <v>1180</v>
      </c>
      <c r="D65" s="961" t="s">
        <v>1179</v>
      </c>
      <c r="E65" s="963" t="s">
        <v>1500</v>
      </c>
      <c r="F65" s="963" t="s">
        <v>1501</v>
      </c>
      <c r="G65" s="963" t="s">
        <v>1502</v>
      </c>
      <c r="H65" s="963" t="s">
        <v>1503</v>
      </c>
      <c r="I65" s="963" t="s">
        <v>1504</v>
      </c>
      <c r="J65" s="963" t="s">
        <v>1505</v>
      </c>
      <c r="K65" s="964" t="s">
        <v>1506</v>
      </c>
      <c r="L65" s="963" t="s">
        <v>1507</v>
      </c>
      <c r="M65" s="963" t="s">
        <v>1507</v>
      </c>
      <c r="N65" s="963" t="s">
        <v>1508</v>
      </c>
      <c r="O65" s="963" t="s">
        <v>1509</v>
      </c>
      <c r="P65" s="963" t="s">
        <v>1510</v>
      </c>
      <c r="Q65" s="973"/>
      <c r="R65" s="973"/>
      <c r="S65" s="973"/>
      <c r="T65" s="973"/>
      <c r="U65" s="973"/>
      <c r="V65" s="974"/>
    </row>
    <row r="66" spans="1:22" s="989" customFormat="1" ht="57.75" customHeight="1" x14ac:dyDescent="0.3">
      <c r="A66" s="5403">
        <f>A64+1</f>
        <v>27</v>
      </c>
      <c r="B66" s="5480" t="s">
        <v>1511</v>
      </c>
      <c r="C66" s="954" t="s">
        <v>1178</v>
      </c>
      <c r="D66" s="955" t="s">
        <v>1179</v>
      </c>
      <c r="E66" s="956"/>
      <c r="F66" s="956"/>
      <c r="G66" s="956"/>
      <c r="H66" s="956"/>
      <c r="I66" s="957">
        <v>4.409722222222222E-3</v>
      </c>
      <c r="J66" s="957">
        <v>4.8032407407407407E-3</v>
      </c>
      <c r="K66" s="957">
        <v>4.7916666666666672E-3</v>
      </c>
      <c r="L66" s="957">
        <v>5.2662037037037035E-3</v>
      </c>
      <c r="M66" s="957">
        <v>5.5439814814814822E-3</v>
      </c>
      <c r="N66" s="957">
        <v>6.1342592592592594E-3</v>
      </c>
      <c r="O66" s="957">
        <v>6.5972222222222222E-3</v>
      </c>
      <c r="P66" s="957">
        <v>7.2453703703703708E-3</v>
      </c>
      <c r="Q66" s="956"/>
      <c r="R66" s="956"/>
      <c r="S66" s="956"/>
      <c r="T66" s="956"/>
      <c r="U66" s="956"/>
      <c r="V66" s="959"/>
    </row>
    <row r="67" spans="1:22" s="989" customFormat="1" ht="57.75" customHeight="1" x14ac:dyDescent="0.3">
      <c r="A67" s="5406"/>
      <c r="B67" s="5481"/>
      <c r="C67" s="960" t="s">
        <v>1180</v>
      </c>
      <c r="D67" s="961" t="s">
        <v>1179</v>
      </c>
      <c r="E67" s="990"/>
      <c r="F67" s="990"/>
      <c r="G67" s="963" t="s">
        <v>1512</v>
      </c>
      <c r="H67" s="963" t="s">
        <v>1513</v>
      </c>
      <c r="I67" s="963" t="s">
        <v>1514</v>
      </c>
      <c r="J67" s="963" t="s">
        <v>1515</v>
      </c>
      <c r="K67" s="964" t="s">
        <v>1516</v>
      </c>
      <c r="L67" s="963" t="s">
        <v>1517</v>
      </c>
      <c r="M67" s="963" t="s">
        <v>1518</v>
      </c>
      <c r="N67" s="963" t="s">
        <v>1519</v>
      </c>
      <c r="O67" s="963" t="s">
        <v>1520</v>
      </c>
      <c r="P67" s="963" t="s">
        <v>1521</v>
      </c>
      <c r="Q67" s="990"/>
      <c r="R67" s="990"/>
      <c r="S67" s="990"/>
      <c r="T67" s="990"/>
      <c r="U67" s="990"/>
      <c r="V67" s="991"/>
    </row>
    <row r="68" spans="1:22" s="989" customFormat="1" ht="57.75" customHeight="1" x14ac:dyDescent="0.3">
      <c r="A68" s="5403">
        <f>A66+1</f>
        <v>28</v>
      </c>
      <c r="B68" s="5480" t="s">
        <v>1522</v>
      </c>
      <c r="C68" s="954" t="s">
        <v>1178</v>
      </c>
      <c r="D68" s="955" t="s">
        <v>1179</v>
      </c>
      <c r="E68" s="956"/>
      <c r="F68" s="956"/>
      <c r="G68" s="956"/>
      <c r="H68" s="956"/>
      <c r="I68" s="957">
        <v>4.8611111111111112E-3</v>
      </c>
      <c r="J68" s="957">
        <v>5.347222222222222E-3</v>
      </c>
      <c r="K68" s="957">
        <v>5.347222222222222E-3</v>
      </c>
      <c r="L68" s="957">
        <v>5.8449074074074072E-3</v>
      </c>
      <c r="M68" s="957">
        <v>6.1574074074074074E-3</v>
      </c>
      <c r="N68" s="957">
        <v>6.7708333333333336E-3</v>
      </c>
      <c r="O68" s="957">
        <v>7.1759259259259259E-3</v>
      </c>
      <c r="P68" s="957">
        <v>7.9629629629629634E-3</v>
      </c>
      <c r="Q68" s="956"/>
      <c r="R68" s="956"/>
      <c r="S68" s="956"/>
      <c r="T68" s="956"/>
      <c r="U68" s="956"/>
      <c r="V68" s="959"/>
    </row>
    <row r="69" spans="1:22" s="989" customFormat="1" ht="57.75" customHeight="1" x14ac:dyDescent="0.3">
      <c r="A69" s="5404"/>
      <c r="B69" s="5499"/>
      <c r="C69" s="960" t="s">
        <v>1180</v>
      </c>
      <c r="D69" s="961" t="s">
        <v>1179</v>
      </c>
      <c r="E69" s="990"/>
      <c r="F69" s="990"/>
      <c r="G69" s="963" t="s">
        <v>1523</v>
      </c>
      <c r="H69" s="963" t="s">
        <v>1524</v>
      </c>
      <c r="I69" s="963" t="s">
        <v>1230</v>
      </c>
      <c r="J69" s="963" t="s">
        <v>1525</v>
      </c>
      <c r="K69" s="964" t="s">
        <v>1525</v>
      </c>
      <c r="L69" s="963" t="s">
        <v>1452</v>
      </c>
      <c r="M69" s="963" t="s">
        <v>1526</v>
      </c>
      <c r="N69" s="963" t="s">
        <v>1527</v>
      </c>
      <c r="O69" s="963" t="s">
        <v>1528</v>
      </c>
      <c r="P69" s="963" t="s">
        <v>1529</v>
      </c>
      <c r="Q69" s="990"/>
      <c r="R69" s="990"/>
      <c r="S69" s="990"/>
      <c r="T69" s="990"/>
      <c r="U69" s="990"/>
      <c r="V69" s="991"/>
    </row>
    <row r="70" spans="1:22" s="989" customFormat="1" ht="57.75" customHeight="1" x14ac:dyDescent="0.3">
      <c r="A70" s="5403">
        <f>A68+1</f>
        <v>29</v>
      </c>
      <c r="B70" s="5480" t="s">
        <v>1530</v>
      </c>
      <c r="C70" s="954" t="s">
        <v>1178</v>
      </c>
      <c r="D70" s="955" t="s">
        <v>1179</v>
      </c>
      <c r="E70" s="992"/>
      <c r="F70" s="992"/>
      <c r="G70" s="956"/>
      <c r="H70" s="956"/>
      <c r="I70" s="957">
        <v>4.7453703703703703E-3</v>
      </c>
      <c r="J70" s="957">
        <v>5.208333333333333E-3</v>
      </c>
      <c r="K70" s="957">
        <v>5.2314814814814819E-3</v>
      </c>
      <c r="L70" s="957">
        <v>5.7638888888888887E-3</v>
      </c>
      <c r="M70" s="957">
        <v>6.053240740740741E-3</v>
      </c>
      <c r="N70" s="957">
        <v>6.6782407407407415E-3</v>
      </c>
      <c r="O70" s="957">
        <v>7.0486111111111105E-3</v>
      </c>
      <c r="P70" s="957">
        <v>7.8472222222222224E-3</v>
      </c>
      <c r="Q70" s="956"/>
      <c r="R70" s="956"/>
      <c r="S70" s="956"/>
      <c r="T70" s="956"/>
      <c r="U70" s="956"/>
      <c r="V70" s="959"/>
    </row>
    <row r="71" spans="1:22" s="989" customFormat="1" ht="57.75" customHeight="1" x14ac:dyDescent="0.3">
      <c r="A71" s="5486"/>
      <c r="B71" s="5482"/>
      <c r="C71" s="960" t="s">
        <v>1180</v>
      </c>
      <c r="D71" s="961" t="s">
        <v>1179</v>
      </c>
      <c r="E71" s="993"/>
      <c r="F71" s="993"/>
      <c r="G71" s="963" t="s">
        <v>1513</v>
      </c>
      <c r="H71" s="963" t="s">
        <v>1531</v>
      </c>
      <c r="I71" s="963" t="s">
        <v>1532</v>
      </c>
      <c r="J71" s="963" t="s">
        <v>1533</v>
      </c>
      <c r="K71" s="964" t="s">
        <v>1534</v>
      </c>
      <c r="L71" s="963" t="s">
        <v>1535</v>
      </c>
      <c r="M71" s="963" t="s">
        <v>1536</v>
      </c>
      <c r="N71" s="963" t="s">
        <v>1537</v>
      </c>
      <c r="O71" s="963" t="s">
        <v>1538</v>
      </c>
      <c r="P71" s="963" t="s">
        <v>1539</v>
      </c>
      <c r="Q71" s="990"/>
      <c r="R71" s="990"/>
      <c r="S71" s="990"/>
      <c r="T71" s="990"/>
      <c r="U71" s="990"/>
      <c r="V71" s="991"/>
    </row>
    <row r="72" spans="1:22" s="989" customFormat="1" ht="57.75" customHeight="1" x14ac:dyDescent="0.3">
      <c r="A72" s="5403">
        <v>30</v>
      </c>
      <c r="B72" s="5398" t="s">
        <v>1540</v>
      </c>
      <c r="C72" s="954" t="s">
        <v>1178</v>
      </c>
      <c r="D72" s="955" t="s">
        <v>1179</v>
      </c>
      <c r="E72" s="956"/>
      <c r="F72" s="956"/>
      <c r="G72" s="956"/>
      <c r="H72" s="956"/>
      <c r="I72" s="957">
        <v>7.9837962962962961E-3</v>
      </c>
      <c r="J72" s="957">
        <v>1.1108796296296295E-2</v>
      </c>
      <c r="K72" s="957">
        <v>1.0414351851851852E-2</v>
      </c>
      <c r="L72" s="957">
        <v>1.2266203703703705E-2</v>
      </c>
      <c r="M72" s="957">
        <v>1.1282407407407408E-2</v>
      </c>
      <c r="N72" s="957">
        <v>1.3018518518518518E-2</v>
      </c>
      <c r="O72" s="957">
        <v>1.2034722222222223E-2</v>
      </c>
      <c r="P72" s="957">
        <v>1.3712962962962962E-2</v>
      </c>
      <c r="Q72" s="950"/>
      <c r="R72" s="950"/>
      <c r="S72" s="950"/>
      <c r="T72" s="950"/>
      <c r="U72" s="950"/>
      <c r="V72" s="951"/>
    </row>
    <row r="73" spans="1:22" s="989" customFormat="1" ht="57.75" customHeight="1" x14ac:dyDescent="0.3">
      <c r="A73" s="5417"/>
      <c r="B73" s="5467"/>
      <c r="C73" s="960" t="s">
        <v>1180</v>
      </c>
      <c r="D73" s="961" t="s">
        <v>1179</v>
      </c>
      <c r="E73" s="963" t="s">
        <v>1541</v>
      </c>
      <c r="F73" s="963" t="s">
        <v>1542</v>
      </c>
      <c r="G73" s="963" t="s">
        <v>1543</v>
      </c>
      <c r="H73" s="963" t="s">
        <v>1544</v>
      </c>
      <c r="I73" s="963" t="s">
        <v>1545</v>
      </c>
      <c r="J73" s="963" t="s">
        <v>1546</v>
      </c>
      <c r="K73" s="963" t="s">
        <v>1547</v>
      </c>
      <c r="L73" s="963" t="s">
        <v>1548</v>
      </c>
      <c r="M73" s="963" t="s">
        <v>1549</v>
      </c>
      <c r="N73" s="963" t="s">
        <v>1550</v>
      </c>
      <c r="O73" s="963" t="s">
        <v>1551</v>
      </c>
      <c r="P73" s="963" t="s">
        <v>1552</v>
      </c>
      <c r="Q73" s="950"/>
      <c r="R73" s="950"/>
      <c r="S73" s="950"/>
      <c r="T73" s="950"/>
      <c r="U73" s="950"/>
      <c r="V73" s="951"/>
    </row>
    <row r="74" spans="1:22" s="989" customFormat="1" ht="103.5" customHeight="1" x14ac:dyDescent="0.3">
      <c r="A74" s="940">
        <v>31</v>
      </c>
      <c r="B74" s="946" t="s">
        <v>1553</v>
      </c>
      <c r="C74" s="947"/>
      <c r="D74" s="948" t="s">
        <v>408</v>
      </c>
      <c r="E74" s="952">
        <v>225</v>
      </c>
      <c r="F74" s="952">
        <v>205</v>
      </c>
      <c r="G74" s="952">
        <v>195</v>
      </c>
      <c r="H74" s="952">
        <v>151</v>
      </c>
      <c r="I74" s="952">
        <v>152</v>
      </c>
      <c r="J74" s="952">
        <v>118</v>
      </c>
      <c r="K74" s="952">
        <v>125</v>
      </c>
      <c r="L74" s="952">
        <v>98</v>
      </c>
      <c r="M74" s="952">
        <v>98</v>
      </c>
      <c r="N74" s="952">
        <v>75</v>
      </c>
      <c r="O74" s="952">
        <v>78</v>
      </c>
      <c r="P74" s="952">
        <v>58</v>
      </c>
      <c r="Q74" s="950"/>
      <c r="R74" s="950"/>
      <c r="S74" s="950"/>
      <c r="T74" s="950"/>
      <c r="U74" s="950"/>
      <c r="V74" s="951"/>
    </row>
    <row r="75" spans="1:22" s="989" customFormat="1" ht="103.5" customHeight="1" x14ac:dyDescent="0.3">
      <c r="A75" s="940">
        <v>32</v>
      </c>
      <c r="B75" s="946" t="s">
        <v>1554</v>
      </c>
      <c r="C75" s="947"/>
      <c r="D75" s="948" t="s">
        <v>408</v>
      </c>
      <c r="E75" s="952">
        <v>91</v>
      </c>
      <c r="F75" s="952">
        <v>85</v>
      </c>
      <c r="G75" s="952">
        <v>80</v>
      </c>
      <c r="H75" s="952">
        <v>71</v>
      </c>
      <c r="I75" s="952">
        <v>73</v>
      </c>
      <c r="J75" s="952">
        <v>64</v>
      </c>
      <c r="K75" s="953">
        <v>65</v>
      </c>
      <c r="L75" s="952">
        <v>58</v>
      </c>
      <c r="M75" s="952">
        <v>60</v>
      </c>
      <c r="N75" s="952">
        <v>52</v>
      </c>
      <c r="O75" s="952">
        <v>50</v>
      </c>
      <c r="P75" s="952">
        <v>45</v>
      </c>
      <c r="Q75" s="950"/>
      <c r="R75" s="950"/>
      <c r="S75" s="950"/>
      <c r="T75" s="950"/>
      <c r="U75" s="950"/>
      <c r="V75" s="951"/>
    </row>
    <row r="76" spans="1:22" s="989" customFormat="1" ht="32.25" customHeight="1" x14ac:dyDescent="0.3">
      <c r="A76" s="5422" t="s">
        <v>1555</v>
      </c>
      <c r="B76" s="5423"/>
      <c r="C76" s="5500" t="s">
        <v>1556</v>
      </c>
      <c r="D76" s="5501"/>
      <c r="E76" s="5502"/>
      <c r="F76" s="5503"/>
      <c r="G76" s="5504"/>
      <c r="H76" s="5505"/>
      <c r="I76" s="5506"/>
      <c r="J76" s="5507"/>
      <c r="K76" s="5508"/>
      <c r="L76" s="5509"/>
      <c r="M76" s="5510"/>
      <c r="N76" s="5511"/>
      <c r="O76" s="5512"/>
      <c r="P76" s="5513"/>
      <c r="Q76" s="5514"/>
      <c r="R76" s="5515"/>
      <c r="S76" s="5516"/>
      <c r="T76" s="5517"/>
      <c r="U76" s="5518"/>
      <c r="V76" s="5519"/>
    </row>
    <row r="77" spans="1:22" s="989" customFormat="1" ht="73.5" customHeight="1" x14ac:dyDescent="0.3">
      <c r="A77" s="5424"/>
      <c r="B77" s="5425"/>
      <c r="C77" s="5520" t="s">
        <v>1557</v>
      </c>
      <c r="D77" s="5521"/>
      <c r="E77" s="5521"/>
      <c r="F77" s="5521"/>
      <c r="G77" s="5521"/>
      <c r="H77" s="5521"/>
      <c r="I77" s="5521"/>
      <c r="J77" s="5521"/>
      <c r="K77" s="5521"/>
      <c r="L77" s="5521"/>
      <c r="M77" s="5521"/>
      <c r="N77" s="5521"/>
      <c r="O77" s="5521"/>
      <c r="P77" s="5521"/>
      <c r="Q77" s="5521"/>
      <c r="R77" s="5521"/>
      <c r="S77" s="5521"/>
      <c r="T77" s="5521"/>
      <c r="U77" s="5521"/>
      <c r="V77" s="5522"/>
    </row>
    <row r="78" spans="1:22" s="989" customFormat="1" ht="60.75" customHeight="1" x14ac:dyDescent="0.3">
      <c r="A78" s="5426"/>
      <c r="B78" s="5427"/>
      <c r="C78" s="5523" t="s">
        <v>1558</v>
      </c>
      <c r="D78" s="5524"/>
      <c r="E78" s="5524"/>
      <c r="F78" s="5524"/>
      <c r="G78" s="5524"/>
      <c r="H78" s="5524"/>
      <c r="I78" s="5524"/>
      <c r="J78" s="5524"/>
      <c r="K78" s="5524"/>
      <c r="L78" s="5524"/>
      <c r="M78" s="5524"/>
      <c r="N78" s="5524"/>
      <c r="O78" s="5524"/>
      <c r="P78" s="5524"/>
      <c r="Q78" s="5524"/>
      <c r="R78" s="5524"/>
      <c r="S78" s="5524"/>
      <c r="T78" s="5524"/>
      <c r="U78" s="5524"/>
      <c r="V78" s="5525"/>
    </row>
    <row r="79" spans="1:22" s="989" customFormat="1" ht="78.75" customHeight="1" x14ac:dyDescent="0.3">
      <c r="A79" s="5428"/>
      <c r="B79" s="5429"/>
      <c r="C79" s="5526" t="s">
        <v>1559</v>
      </c>
      <c r="D79" s="5527"/>
      <c r="E79" s="5527"/>
      <c r="F79" s="5527"/>
      <c r="G79" s="5527"/>
      <c r="H79" s="5527"/>
      <c r="I79" s="5527"/>
      <c r="J79" s="5527"/>
      <c r="K79" s="5527"/>
      <c r="L79" s="5527"/>
      <c r="M79" s="5527"/>
      <c r="N79" s="5527"/>
      <c r="O79" s="5527"/>
      <c r="P79" s="5527"/>
      <c r="Q79" s="5527"/>
      <c r="R79" s="5527"/>
      <c r="S79" s="5527"/>
      <c r="T79" s="5527"/>
      <c r="U79" s="5527"/>
      <c r="V79" s="5528"/>
    </row>
    <row r="80" spans="1:22" s="989" customFormat="1" ht="48" customHeight="1" x14ac:dyDescent="0.3">
      <c r="A80" s="5430"/>
      <c r="B80" s="5431"/>
      <c r="C80" s="5523" t="s">
        <v>1560</v>
      </c>
      <c r="D80" s="5524"/>
      <c r="E80" s="5524"/>
      <c r="F80" s="5524"/>
      <c r="G80" s="5524"/>
      <c r="H80" s="5524"/>
      <c r="I80" s="5524"/>
      <c r="J80" s="5524"/>
      <c r="K80" s="5524"/>
      <c r="L80" s="5524"/>
      <c r="M80" s="5524"/>
      <c r="N80" s="5524"/>
      <c r="O80" s="5524"/>
      <c r="P80" s="5524"/>
      <c r="Q80" s="5524"/>
      <c r="R80" s="5524"/>
      <c r="S80" s="5524"/>
      <c r="T80" s="5524"/>
      <c r="U80" s="5524"/>
      <c r="V80" s="5529"/>
    </row>
    <row r="81" spans="1:22" s="989" customFormat="1" ht="27" customHeight="1" x14ac:dyDescent="0.3">
      <c r="A81" s="5432"/>
      <c r="B81" s="5433"/>
      <c r="C81" s="5523" t="s">
        <v>1561</v>
      </c>
      <c r="D81" s="5524"/>
      <c r="E81" s="5524"/>
      <c r="F81" s="5524"/>
      <c r="G81" s="5524"/>
      <c r="H81" s="5524"/>
      <c r="I81" s="5524"/>
      <c r="J81" s="5524"/>
      <c r="K81" s="5524"/>
      <c r="L81" s="5524"/>
      <c r="M81" s="5524"/>
      <c r="N81" s="5524"/>
      <c r="O81" s="5524"/>
      <c r="P81" s="5524"/>
      <c r="Q81" s="5524"/>
      <c r="R81" s="5524"/>
      <c r="S81" s="5524"/>
      <c r="T81" s="5524"/>
      <c r="U81" s="5524"/>
      <c r="V81" s="5530"/>
    </row>
    <row r="82" spans="1:22" s="989" customFormat="1" ht="29.25" customHeight="1" x14ac:dyDescent="0.3">
      <c r="A82" s="5434"/>
      <c r="B82" s="5435"/>
      <c r="C82" s="5531" t="s">
        <v>1562</v>
      </c>
      <c r="D82" s="5532"/>
      <c r="E82" s="5532"/>
      <c r="F82" s="5532"/>
      <c r="G82" s="5532"/>
      <c r="H82" s="5532"/>
      <c r="I82" s="5532"/>
      <c r="J82" s="5532"/>
      <c r="K82" s="5532"/>
      <c r="L82" s="5532"/>
      <c r="M82" s="5532"/>
      <c r="N82" s="5532"/>
      <c r="O82" s="5532"/>
      <c r="P82" s="5532"/>
      <c r="Q82" s="5532"/>
      <c r="R82" s="5532"/>
      <c r="S82" s="5532"/>
      <c r="T82" s="5532"/>
      <c r="U82" s="5532"/>
      <c r="V82" s="5533"/>
    </row>
    <row r="83" spans="1:22" s="989" customFormat="1" ht="27.75" customHeight="1" x14ac:dyDescent="0.3">
      <c r="A83" s="5436"/>
      <c r="B83" s="5437"/>
      <c r="C83" s="5523" t="s">
        <v>1563</v>
      </c>
      <c r="D83" s="5524"/>
      <c r="E83" s="5524"/>
      <c r="F83" s="5524"/>
      <c r="G83" s="5524"/>
      <c r="H83" s="5524"/>
      <c r="I83" s="5524"/>
      <c r="J83" s="5524"/>
      <c r="K83" s="5524"/>
      <c r="L83" s="5524"/>
      <c r="M83" s="5524"/>
      <c r="N83" s="5524"/>
      <c r="O83" s="5524"/>
      <c r="P83" s="5524"/>
      <c r="Q83" s="5524"/>
      <c r="R83" s="5524"/>
      <c r="S83" s="5524"/>
      <c r="T83" s="5524"/>
      <c r="U83" s="5524"/>
      <c r="V83" s="5534"/>
    </row>
    <row r="84" spans="1:22" s="989" customFormat="1" ht="45" customHeight="1" x14ac:dyDescent="0.3">
      <c r="A84" s="5438"/>
      <c r="B84" s="5439"/>
      <c r="C84" s="5523" t="s">
        <v>1564</v>
      </c>
      <c r="D84" s="5524"/>
      <c r="E84" s="5524"/>
      <c r="F84" s="5524"/>
      <c r="G84" s="5524"/>
      <c r="H84" s="5524"/>
      <c r="I84" s="5524"/>
      <c r="J84" s="5524"/>
      <c r="K84" s="5524"/>
      <c r="L84" s="5524"/>
      <c r="M84" s="5524"/>
      <c r="N84" s="5524"/>
      <c r="O84" s="5524"/>
      <c r="P84" s="5524"/>
      <c r="Q84" s="5524"/>
      <c r="R84" s="5524"/>
      <c r="S84" s="5524"/>
      <c r="T84" s="5524"/>
      <c r="U84" s="5524"/>
      <c r="V84" s="5535"/>
    </row>
    <row r="85" spans="1:22" s="989" customFormat="1" ht="48.75" customHeight="1" x14ac:dyDescent="0.3">
      <c r="A85" s="5440"/>
      <c r="B85" s="5441"/>
      <c r="C85" s="5536" t="s">
        <v>1565</v>
      </c>
      <c r="D85" s="5537"/>
      <c r="E85" s="5538"/>
      <c r="F85" s="5539"/>
      <c r="G85" s="5540"/>
      <c r="H85" s="5541"/>
      <c r="I85" s="5542"/>
      <c r="J85" s="5543"/>
      <c r="K85" s="5544"/>
      <c r="L85" s="5545"/>
      <c r="M85" s="5546"/>
      <c r="N85" s="5547"/>
      <c r="O85" s="5548"/>
      <c r="P85" s="5549"/>
      <c r="Q85" s="5550"/>
      <c r="R85" s="5551"/>
      <c r="S85" s="5552"/>
      <c r="T85" s="5553"/>
      <c r="U85" s="5554"/>
      <c r="V85" s="5555"/>
    </row>
    <row r="86" spans="1:22" s="989" customFormat="1" ht="44.25" customHeight="1" x14ac:dyDescent="0.3">
      <c r="A86" s="5448"/>
      <c r="B86" s="5449"/>
      <c r="C86" s="5556" t="s">
        <v>1566</v>
      </c>
      <c r="D86" s="5557"/>
      <c r="E86" s="5558"/>
      <c r="F86" s="5559"/>
      <c r="G86" s="5560"/>
      <c r="H86" s="5561"/>
      <c r="I86" s="5562"/>
      <c r="J86" s="5563"/>
      <c r="K86" s="5564"/>
      <c r="L86" s="5565"/>
      <c r="M86" s="5566"/>
      <c r="N86" s="5567"/>
      <c r="O86" s="5568"/>
      <c r="P86" s="5569"/>
      <c r="Q86" s="5570"/>
      <c r="R86" s="5571"/>
      <c r="S86" s="5572"/>
      <c r="T86" s="5573"/>
      <c r="U86" s="5574"/>
      <c r="V86" s="5575"/>
    </row>
    <row r="87" spans="1:22" s="989" customFormat="1" ht="43.5" customHeight="1" x14ac:dyDescent="0.3">
      <c r="A87" s="5450"/>
      <c r="B87" s="5451"/>
      <c r="C87" s="5526" t="s">
        <v>1567</v>
      </c>
      <c r="D87" s="5527"/>
      <c r="E87" s="5527"/>
      <c r="F87" s="5527"/>
      <c r="G87" s="5527"/>
      <c r="H87" s="5527"/>
      <c r="I87" s="5527"/>
      <c r="J87" s="5527"/>
      <c r="K87" s="5527"/>
      <c r="L87" s="5527"/>
      <c r="M87" s="5527"/>
      <c r="N87" s="5527"/>
      <c r="O87" s="5527"/>
      <c r="P87" s="5527"/>
      <c r="Q87" s="5527"/>
      <c r="R87" s="5527"/>
      <c r="S87" s="5527"/>
      <c r="T87" s="5527"/>
      <c r="U87" s="5527"/>
      <c r="V87" s="5576"/>
    </row>
    <row r="88" spans="1:22" s="989" customFormat="1" ht="30" customHeight="1" x14ac:dyDescent="0.3">
      <c r="A88" s="5452"/>
      <c r="B88" s="5453"/>
      <c r="C88" s="5520" t="s">
        <v>1568</v>
      </c>
      <c r="D88" s="5521"/>
      <c r="E88" s="5521"/>
      <c r="F88" s="5521"/>
      <c r="G88" s="5521"/>
      <c r="H88" s="5521"/>
      <c r="I88" s="5521"/>
      <c r="J88" s="5521"/>
      <c r="K88" s="5521"/>
      <c r="L88" s="5521"/>
      <c r="M88" s="5521"/>
      <c r="N88" s="5521"/>
      <c r="O88" s="5521"/>
      <c r="P88" s="5521"/>
      <c r="Q88" s="5521"/>
      <c r="R88" s="5521"/>
      <c r="S88" s="5521"/>
      <c r="T88" s="5521"/>
      <c r="U88" s="5521"/>
      <c r="V88" s="5577"/>
    </row>
    <row r="89" spans="1:22" s="989" customFormat="1" ht="95.25" customHeight="1" x14ac:dyDescent="0.3">
      <c r="A89" s="5454"/>
      <c r="B89" s="5455"/>
      <c r="C89" s="5578" t="s">
        <v>1569</v>
      </c>
      <c r="D89" s="5579"/>
      <c r="E89" s="5579"/>
      <c r="F89" s="5579"/>
      <c r="G89" s="5579"/>
      <c r="H89" s="5579"/>
      <c r="I89" s="5579"/>
      <c r="J89" s="5579"/>
      <c r="K89" s="5579"/>
      <c r="L89" s="5579"/>
      <c r="M89" s="5579"/>
      <c r="N89" s="5579"/>
      <c r="O89" s="5579"/>
      <c r="P89" s="5579"/>
      <c r="Q89" s="5579"/>
      <c r="R89" s="5579"/>
      <c r="S89" s="5579"/>
      <c r="T89" s="5579"/>
      <c r="U89" s="5579"/>
      <c r="V89" s="5580"/>
    </row>
    <row r="90" spans="1:22" s="989" customFormat="1" ht="93.75" customHeight="1" x14ac:dyDescent="0.3">
      <c r="A90" s="5456"/>
      <c r="B90" s="5457"/>
      <c r="C90" s="5578" t="s">
        <v>1570</v>
      </c>
      <c r="D90" s="5579"/>
      <c r="E90" s="5579"/>
      <c r="F90" s="5579"/>
      <c r="G90" s="5579"/>
      <c r="H90" s="5579"/>
      <c r="I90" s="5579"/>
      <c r="J90" s="5579"/>
      <c r="K90" s="5579"/>
      <c r="L90" s="5579"/>
      <c r="M90" s="5579"/>
      <c r="N90" s="5579"/>
      <c r="O90" s="5579"/>
      <c r="P90" s="5579"/>
      <c r="Q90" s="5579"/>
      <c r="R90" s="5579"/>
      <c r="S90" s="5579"/>
      <c r="T90" s="5579"/>
      <c r="U90" s="5579"/>
      <c r="V90" s="5581"/>
    </row>
    <row r="91" spans="1:22" s="937" customFormat="1" ht="54" customHeight="1" x14ac:dyDescent="0.25">
      <c r="A91" s="5458"/>
      <c r="B91" s="5459"/>
      <c r="C91" s="5526" t="s">
        <v>1571</v>
      </c>
      <c r="D91" s="5527"/>
      <c r="E91" s="5527"/>
      <c r="F91" s="5527"/>
      <c r="G91" s="5527"/>
      <c r="H91" s="5527"/>
      <c r="I91" s="5527"/>
      <c r="J91" s="5527"/>
      <c r="K91" s="5527"/>
      <c r="L91" s="5527"/>
      <c r="M91" s="5527"/>
      <c r="N91" s="5527"/>
      <c r="O91" s="5527"/>
      <c r="P91" s="5527"/>
      <c r="Q91" s="5527"/>
      <c r="R91" s="5527"/>
      <c r="S91" s="5527"/>
      <c r="T91" s="5527"/>
      <c r="U91" s="5527"/>
      <c r="V91" s="5582"/>
    </row>
    <row r="92" spans="1:22" s="937" customFormat="1" ht="39.75" customHeight="1" x14ac:dyDescent="0.25">
      <c r="A92" s="5460"/>
      <c r="B92" s="5461"/>
      <c r="C92" s="5578" t="s">
        <v>1572</v>
      </c>
      <c r="D92" s="5579"/>
      <c r="E92" s="5579"/>
      <c r="F92" s="5579"/>
      <c r="G92" s="5579"/>
      <c r="H92" s="5579"/>
      <c r="I92" s="5579"/>
      <c r="J92" s="5579"/>
      <c r="K92" s="5579"/>
      <c r="L92" s="5579"/>
      <c r="M92" s="5579"/>
      <c r="N92" s="5579"/>
      <c r="O92" s="5579"/>
      <c r="P92" s="5579"/>
      <c r="Q92" s="5579"/>
      <c r="R92" s="5579"/>
      <c r="S92" s="5579"/>
      <c r="T92" s="5579"/>
      <c r="U92" s="5579"/>
      <c r="V92" s="5583"/>
    </row>
    <row r="93" spans="1:22" s="937" customFormat="1" ht="130.5" customHeight="1" x14ac:dyDescent="0.25">
      <c r="A93" s="5462"/>
      <c r="B93" s="5463"/>
      <c r="C93" s="5526" t="s">
        <v>1573</v>
      </c>
      <c r="D93" s="5527"/>
      <c r="E93" s="5527"/>
      <c r="F93" s="5527"/>
      <c r="G93" s="5527"/>
      <c r="H93" s="5527"/>
      <c r="I93" s="5527"/>
      <c r="J93" s="5527"/>
      <c r="K93" s="5527"/>
      <c r="L93" s="5527"/>
      <c r="M93" s="5527"/>
      <c r="N93" s="5527"/>
      <c r="O93" s="5527"/>
      <c r="P93" s="5527"/>
      <c r="Q93" s="5527"/>
      <c r="R93" s="5527"/>
      <c r="S93" s="5527"/>
      <c r="T93" s="5527"/>
      <c r="U93" s="5527"/>
      <c r="V93" s="5584"/>
    </row>
    <row r="94" spans="1:22" s="994" customFormat="1" ht="203.25" customHeight="1" x14ac:dyDescent="0.25">
      <c r="A94" s="5464"/>
      <c r="B94" s="5465"/>
      <c r="C94" s="5585" t="s">
        <v>1574</v>
      </c>
      <c r="D94" s="5586"/>
      <c r="E94" s="5587"/>
      <c r="F94" s="5588"/>
      <c r="G94" s="5589"/>
      <c r="H94" s="5590"/>
      <c r="I94" s="5591"/>
      <c r="J94" s="5592"/>
      <c r="K94" s="5593"/>
      <c r="L94" s="5594"/>
      <c r="M94" s="5595"/>
      <c r="N94" s="5596"/>
      <c r="O94" s="5597"/>
      <c r="P94" s="5598"/>
      <c r="Q94" s="5599"/>
      <c r="R94" s="5600"/>
      <c r="S94" s="5601"/>
      <c r="T94" s="5602"/>
      <c r="U94" s="5603"/>
      <c r="V94" s="5604"/>
    </row>
    <row r="95" spans="1:22" s="994" customFormat="1" ht="62.25" customHeight="1" x14ac:dyDescent="0.25">
      <c r="A95" s="5442"/>
      <c r="B95" s="5443"/>
      <c r="C95" s="5605" t="s">
        <v>1575</v>
      </c>
      <c r="D95" s="5606"/>
      <c r="E95" s="5607"/>
      <c r="F95" s="5608"/>
      <c r="G95" s="5609"/>
      <c r="H95" s="5610"/>
      <c r="I95" s="5611"/>
      <c r="J95" s="5612"/>
      <c r="K95" s="5613"/>
      <c r="L95" s="5614"/>
      <c r="M95" s="5615"/>
      <c r="N95" s="5616"/>
      <c r="O95" s="5617"/>
      <c r="P95" s="5618"/>
      <c r="Q95" s="5619"/>
      <c r="R95" s="5620"/>
      <c r="S95" s="5621"/>
      <c r="T95" s="5622"/>
      <c r="U95" s="5623"/>
      <c r="V95" s="5624"/>
    </row>
    <row r="96" spans="1:22" s="994" customFormat="1" ht="50.25" customHeight="1" x14ac:dyDescent="0.25">
      <c r="A96" s="5444"/>
      <c r="B96" s="5445"/>
      <c r="C96" s="5526" t="s">
        <v>1576</v>
      </c>
      <c r="D96" s="5527"/>
      <c r="E96" s="5527"/>
      <c r="F96" s="5527"/>
      <c r="G96" s="5527"/>
      <c r="H96" s="5527"/>
      <c r="I96" s="5527"/>
      <c r="J96" s="5527"/>
      <c r="K96" s="5527"/>
      <c r="L96" s="5527"/>
      <c r="M96" s="5527"/>
      <c r="N96" s="5527"/>
      <c r="O96" s="5527"/>
      <c r="P96" s="5527"/>
      <c r="Q96" s="5527"/>
      <c r="R96" s="5527"/>
      <c r="S96" s="5527"/>
      <c r="T96" s="5527"/>
      <c r="U96" s="5527"/>
      <c r="V96" s="5625"/>
    </row>
    <row r="97" spans="1:22" s="937" customFormat="1" ht="50.25" customHeight="1" x14ac:dyDescent="0.25">
      <c r="A97" s="5446"/>
      <c r="B97" s="5447"/>
      <c r="C97" s="5626" t="s">
        <v>1577</v>
      </c>
      <c r="D97" s="5627"/>
      <c r="E97" s="5628"/>
      <c r="F97" s="5629"/>
      <c r="G97" s="5630"/>
      <c r="H97" s="5631"/>
      <c r="I97" s="5632"/>
      <c r="J97" s="5633"/>
      <c r="K97" s="5634"/>
      <c r="L97" s="5635"/>
      <c r="M97" s="5636"/>
      <c r="N97" s="5637"/>
      <c r="O97" s="5638"/>
      <c r="P97" s="5639"/>
      <c r="Q97" s="5640"/>
      <c r="R97" s="5641"/>
      <c r="S97" s="5642"/>
      <c r="T97" s="5643"/>
      <c r="U97" s="5644"/>
      <c r="V97" s="5645"/>
    </row>
    <row r="98" spans="1:22" s="937" customFormat="1" ht="36" customHeight="1" x14ac:dyDescent="0.3">
      <c r="A98" s="5466"/>
      <c r="B98" s="5466"/>
      <c r="C98" s="995"/>
      <c r="D98" s="5466"/>
      <c r="E98" s="5466"/>
      <c r="F98" s="5466"/>
      <c r="G98" s="5466"/>
      <c r="H98" s="5466"/>
      <c r="I98" s="5466"/>
      <c r="J98" s="5466"/>
      <c r="K98" s="5466"/>
      <c r="L98" s="5466"/>
      <c r="M98" s="5466"/>
      <c r="N98" s="5466"/>
      <c r="O98" s="5466"/>
      <c r="P98" s="5466"/>
      <c r="Q98" s="5466"/>
      <c r="R98" s="5466"/>
      <c r="S98" s="5466"/>
      <c r="T98" s="5466"/>
      <c r="U98" s="5466"/>
      <c r="V98" s="939"/>
    </row>
    <row r="99" spans="1:22" s="996" customFormat="1" ht="38.1" customHeight="1" x14ac:dyDescent="0.25">
      <c r="A99" s="5646" t="s">
        <v>1578</v>
      </c>
      <c r="B99" s="5646"/>
      <c r="C99" s="5646"/>
      <c r="D99" s="5646"/>
      <c r="E99" s="5646"/>
      <c r="F99" s="5646"/>
      <c r="G99" s="5646"/>
      <c r="H99" s="5646"/>
      <c r="I99" s="5646"/>
      <c r="J99" s="5646"/>
      <c r="K99" s="5646"/>
      <c r="L99" s="5646"/>
      <c r="M99" s="5646"/>
      <c r="N99" s="5646"/>
      <c r="O99" s="5646"/>
      <c r="P99" s="5646"/>
      <c r="Q99" s="5646"/>
      <c r="R99" s="5646"/>
      <c r="S99" s="5646"/>
      <c r="T99" s="5646"/>
      <c r="U99" s="5646"/>
      <c r="V99" s="5646"/>
    </row>
    <row r="100" spans="1:22" s="996" customFormat="1" ht="33" customHeight="1" x14ac:dyDescent="0.25">
      <c r="A100" s="5646" t="s">
        <v>1579</v>
      </c>
      <c r="B100" s="5646"/>
      <c r="C100" s="5646"/>
      <c r="D100" s="5646"/>
      <c r="E100" s="5646"/>
      <c r="F100" s="5646"/>
      <c r="G100" s="5646"/>
      <c r="H100" s="5646"/>
      <c r="I100" s="5646"/>
      <c r="J100" s="5646"/>
      <c r="K100" s="5646"/>
      <c r="L100" s="5646"/>
      <c r="M100" s="5646"/>
      <c r="N100" s="5646"/>
      <c r="O100" s="5646"/>
      <c r="P100" s="5646"/>
      <c r="Q100" s="5646"/>
      <c r="R100" s="5646"/>
      <c r="S100" s="5646"/>
      <c r="T100" s="5646"/>
      <c r="U100" s="5646"/>
      <c r="V100" s="5646"/>
    </row>
    <row r="101" spans="1:22" s="996" customFormat="1" ht="30" customHeight="1" x14ac:dyDescent="0.25">
      <c r="A101" s="5646" t="s">
        <v>1580</v>
      </c>
      <c r="B101" s="5646"/>
      <c r="C101" s="5646"/>
      <c r="D101" s="5646"/>
      <c r="E101" s="5646"/>
      <c r="F101" s="5646"/>
      <c r="G101" s="5646"/>
      <c r="H101" s="5646"/>
      <c r="I101" s="5646"/>
      <c r="J101" s="5646"/>
      <c r="K101" s="5646"/>
      <c r="L101" s="5646"/>
      <c r="M101" s="5646"/>
      <c r="N101" s="5646"/>
      <c r="O101" s="5646"/>
      <c r="P101" s="5646"/>
      <c r="Q101" s="5646"/>
      <c r="R101" s="5646"/>
      <c r="S101" s="5646"/>
      <c r="T101" s="5646"/>
      <c r="U101" s="5646"/>
      <c r="V101" s="5646"/>
    </row>
    <row r="102" spans="1:22" s="996" customFormat="1" ht="32.25" customHeight="1" x14ac:dyDescent="0.25">
      <c r="A102" s="5646" t="s">
        <v>1581</v>
      </c>
      <c r="B102" s="5646"/>
      <c r="C102" s="5646"/>
      <c r="D102" s="5646"/>
      <c r="E102" s="5646"/>
      <c r="F102" s="5646"/>
      <c r="G102" s="5646"/>
      <c r="H102" s="5646"/>
      <c r="I102" s="5646"/>
      <c r="J102" s="5646"/>
      <c r="K102" s="5646"/>
      <c r="L102" s="5646"/>
      <c r="M102" s="5646"/>
      <c r="N102" s="5646"/>
      <c r="O102" s="5646"/>
      <c r="P102" s="5646"/>
      <c r="Q102" s="5646"/>
      <c r="R102" s="5646"/>
      <c r="S102" s="5646"/>
      <c r="T102" s="5646"/>
      <c r="U102" s="5646"/>
      <c r="V102" s="5646"/>
    </row>
    <row r="103" spans="1:22" s="996" customFormat="1" ht="30.75" customHeight="1" x14ac:dyDescent="0.25">
      <c r="A103" s="5646" t="s">
        <v>1582</v>
      </c>
      <c r="B103" s="5646"/>
      <c r="C103" s="5646"/>
      <c r="D103" s="5646"/>
      <c r="E103" s="5646"/>
      <c r="F103" s="5646"/>
      <c r="G103" s="5646"/>
      <c r="H103" s="5646"/>
      <c r="I103" s="5646"/>
      <c r="J103" s="5646"/>
      <c r="K103" s="5646"/>
      <c r="L103" s="5646"/>
      <c r="M103" s="5646"/>
      <c r="N103" s="5646"/>
      <c r="O103" s="5646"/>
      <c r="P103" s="5646"/>
      <c r="Q103" s="5646"/>
      <c r="R103" s="5646"/>
      <c r="S103" s="5646"/>
      <c r="T103" s="5646"/>
      <c r="U103" s="5646"/>
      <c r="V103" s="5646"/>
    </row>
    <row r="104" spans="1:22" s="996" customFormat="1" ht="30.75" customHeight="1" x14ac:dyDescent="0.25">
      <c r="A104" s="5646" t="s">
        <v>1583</v>
      </c>
      <c r="B104" s="5646"/>
      <c r="C104" s="5646"/>
      <c r="D104" s="5646"/>
      <c r="E104" s="5646"/>
      <c r="F104" s="5646"/>
      <c r="G104" s="5646"/>
      <c r="H104" s="5646"/>
      <c r="I104" s="5646"/>
      <c r="J104" s="5646"/>
      <c r="K104" s="5646"/>
      <c r="L104" s="5646"/>
      <c r="M104" s="5646"/>
      <c r="N104" s="5646"/>
      <c r="O104" s="5646"/>
      <c r="P104" s="5646"/>
      <c r="Q104" s="5646"/>
      <c r="R104" s="5646"/>
      <c r="S104" s="5646"/>
      <c r="T104" s="5646"/>
      <c r="U104" s="5646"/>
      <c r="V104" s="5646"/>
    </row>
    <row r="105" spans="1:22" s="996" customFormat="1" ht="29.25" customHeight="1" x14ac:dyDescent="0.25">
      <c r="A105" s="5646" t="s">
        <v>1584</v>
      </c>
      <c r="B105" s="5646"/>
      <c r="C105" s="5646"/>
      <c r="D105" s="5646"/>
      <c r="E105" s="5646"/>
      <c r="F105" s="5646"/>
      <c r="G105" s="5646"/>
      <c r="H105" s="5646"/>
      <c r="I105" s="5646"/>
      <c r="J105" s="5646"/>
      <c r="K105" s="5646"/>
      <c r="L105" s="5646"/>
      <c r="M105" s="5646"/>
      <c r="N105" s="5646"/>
      <c r="O105" s="5646"/>
      <c r="P105" s="5646"/>
      <c r="Q105" s="5646"/>
      <c r="R105" s="5646"/>
      <c r="S105" s="5646"/>
      <c r="T105" s="5646"/>
      <c r="U105" s="5646"/>
      <c r="V105" s="5646"/>
    </row>
    <row r="106" spans="1:22" s="996" customFormat="1" ht="48" customHeight="1" x14ac:dyDescent="0.25">
      <c r="A106" s="5646" t="s">
        <v>1585</v>
      </c>
      <c r="B106" s="5646"/>
      <c r="C106" s="5646"/>
      <c r="D106" s="5646"/>
      <c r="E106" s="5646"/>
      <c r="F106" s="5646"/>
      <c r="G106" s="5646"/>
      <c r="H106" s="5646"/>
      <c r="I106" s="5646"/>
      <c r="J106" s="5646"/>
      <c r="K106" s="5646"/>
      <c r="L106" s="5646"/>
      <c r="M106" s="5646"/>
      <c r="N106" s="5646"/>
      <c r="O106" s="5646"/>
      <c r="P106" s="5646"/>
      <c r="Q106" s="5646"/>
      <c r="R106" s="5646"/>
      <c r="S106" s="5646"/>
      <c r="T106" s="5646"/>
      <c r="U106" s="5646"/>
      <c r="V106" s="5646"/>
    </row>
    <row r="107" spans="1:22" ht="28.5" customHeight="1" x14ac:dyDescent="0.25">
      <c r="A107" s="5647" t="s">
        <v>1586</v>
      </c>
      <c r="B107" s="5647"/>
      <c r="C107" s="5647"/>
      <c r="D107" s="5647"/>
      <c r="E107" s="5647"/>
      <c r="F107" s="5647"/>
      <c r="G107" s="5647"/>
      <c r="H107" s="5647"/>
      <c r="I107" s="5647"/>
      <c r="J107" s="5647"/>
      <c r="K107" s="5647"/>
      <c r="L107" s="5647"/>
      <c r="M107" s="5647"/>
      <c r="N107" s="5647"/>
      <c r="O107" s="5647"/>
      <c r="P107" s="5647"/>
      <c r="Q107" s="5647"/>
      <c r="R107" s="5647"/>
      <c r="S107" s="5647"/>
      <c r="T107" s="5647"/>
      <c r="U107" s="5647"/>
      <c r="V107" s="5647"/>
    </row>
    <row r="108" spans="1:22" ht="28.5" customHeight="1" x14ac:dyDescent="0.25">
      <c r="A108" s="5647" t="s">
        <v>1587</v>
      </c>
      <c r="B108" s="5647"/>
      <c r="C108" s="5647"/>
      <c r="D108" s="5647"/>
      <c r="E108" s="5647"/>
      <c r="F108" s="5647"/>
      <c r="G108" s="5647"/>
      <c r="H108" s="5647"/>
      <c r="I108" s="5647"/>
      <c r="J108" s="5647"/>
      <c r="K108" s="5647"/>
      <c r="L108" s="5647"/>
      <c r="M108" s="5647"/>
      <c r="N108" s="5647"/>
      <c r="O108" s="5647"/>
      <c r="P108" s="5647"/>
      <c r="Q108" s="5647"/>
      <c r="R108" s="5647"/>
      <c r="S108" s="5647"/>
      <c r="T108" s="5647"/>
      <c r="U108" s="5647"/>
      <c r="V108" s="5647"/>
    </row>
    <row r="109" spans="1:22" ht="28.5" customHeight="1" x14ac:dyDescent="0.25">
      <c r="A109" s="5647" t="s">
        <v>1588</v>
      </c>
      <c r="B109" s="5647"/>
      <c r="C109" s="5647"/>
      <c r="D109" s="5647"/>
      <c r="E109" s="5647"/>
      <c r="F109" s="5647"/>
      <c r="G109" s="5647"/>
      <c r="H109" s="5647"/>
      <c r="I109" s="5647"/>
      <c r="J109" s="5647"/>
      <c r="K109" s="5647"/>
      <c r="L109" s="5647"/>
      <c r="M109" s="5647"/>
      <c r="N109" s="5647"/>
      <c r="O109" s="5647"/>
      <c r="P109" s="5647"/>
      <c r="Q109" s="5647"/>
      <c r="R109" s="5647"/>
      <c r="S109" s="5647"/>
      <c r="T109" s="5647"/>
      <c r="U109" s="5647"/>
      <c r="V109" s="5647"/>
    </row>
  </sheetData>
  <mergeCells count="116">
    <mergeCell ref="C94:V94"/>
    <mergeCell ref="C95:V95"/>
    <mergeCell ref="C96:V96"/>
    <mergeCell ref="C97:V97"/>
    <mergeCell ref="A101:V101"/>
    <mergeCell ref="A100:V100"/>
    <mergeCell ref="A99:V99"/>
    <mergeCell ref="D98:U98"/>
    <mergeCell ref="A109:V109"/>
    <mergeCell ref="A108:V108"/>
    <mergeCell ref="A107:V107"/>
    <mergeCell ref="A106:V106"/>
    <mergeCell ref="A105:V105"/>
    <mergeCell ref="A104:V104"/>
    <mergeCell ref="A103:V103"/>
    <mergeCell ref="A102:V102"/>
    <mergeCell ref="C85:V85"/>
    <mergeCell ref="C86:V86"/>
    <mergeCell ref="C87:V87"/>
    <mergeCell ref="C88:V88"/>
    <mergeCell ref="C89:V89"/>
    <mergeCell ref="C90:V90"/>
    <mergeCell ref="C91:V91"/>
    <mergeCell ref="C92:V92"/>
    <mergeCell ref="C93:V93"/>
    <mergeCell ref="C76:V76"/>
    <mergeCell ref="C77:V77"/>
    <mergeCell ref="C78:V78"/>
    <mergeCell ref="C79:V79"/>
    <mergeCell ref="C80:V80"/>
    <mergeCell ref="C81:V81"/>
    <mergeCell ref="C82:V82"/>
    <mergeCell ref="C83:V83"/>
    <mergeCell ref="C84:V84"/>
    <mergeCell ref="A70:A71"/>
    <mergeCell ref="A48:A49"/>
    <mergeCell ref="A58:A59"/>
    <mergeCell ref="A24:A25"/>
    <mergeCell ref="A42:A43"/>
    <mergeCell ref="A36:A37"/>
    <mergeCell ref="B28:B29"/>
    <mergeCell ref="B34:B35"/>
    <mergeCell ref="B36:B37"/>
    <mergeCell ref="B40:B41"/>
    <mergeCell ref="B46:B47"/>
    <mergeCell ref="B54:B55"/>
    <mergeCell ref="B60:B61"/>
    <mergeCell ref="B68:B69"/>
    <mergeCell ref="A72:A73"/>
    <mergeCell ref="A40:A41"/>
    <mergeCell ref="A30:A31"/>
    <mergeCell ref="A52:A53"/>
    <mergeCell ref="A32:A33"/>
    <mergeCell ref="A76:B85"/>
    <mergeCell ref="A95:B97"/>
    <mergeCell ref="A86:B94"/>
    <mergeCell ref="A98:B98"/>
    <mergeCell ref="B72:B73"/>
    <mergeCell ref="B48:B49"/>
    <mergeCell ref="B32:B33"/>
    <mergeCell ref="B38:B39"/>
    <mergeCell ref="B44:B45"/>
    <mergeCell ref="B52:B53"/>
    <mergeCell ref="B58:B59"/>
    <mergeCell ref="B62:B63"/>
    <mergeCell ref="B42:B43"/>
    <mergeCell ref="B50:B51"/>
    <mergeCell ref="B56:B57"/>
    <mergeCell ref="B64:B65"/>
    <mergeCell ref="B66:B67"/>
    <mergeCell ref="B70:B71"/>
    <mergeCell ref="A50:A51"/>
    <mergeCell ref="D13:V13"/>
    <mergeCell ref="C14:C16"/>
    <mergeCell ref="B24:B25"/>
    <mergeCell ref="B14:B16"/>
    <mergeCell ref="B30:B31"/>
    <mergeCell ref="A68:A69"/>
    <mergeCell ref="A34:A35"/>
    <mergeCell ref="A66:A67"/>
    <mergeCell ref="A56:A57"/>
    <mergeCell ref="A28:A29"/>
    <mergeCell ref="A44:A45"/>
    <mergeCell ref="A62:A63"/>
    <mergeCell ref="A38:A39"/>
    <mergeCell ref="A26:A27"/>
    <mergeCell ref="A64:A65"/>
    <mergeCell ref="A60:A61"/>
    <mergeCell ref="A46:A47"/>
    <mergeCell ref="A54:A55"/>
    <mergeCell ref="B26:B27"/>
    <mergeCell ref="A14:A16"/>
    <mergeCell ref="A1:V1"/>
    <mergeCell ref="C4:V4"/>
    <mergeCell ref="C3:V3"/>
    <mergeCell ref="C5:V5"/>
    <mergeCell ref="Q14:V14"/>
    <mergeCell ref="U15:V15"/>
    <mergeCell ref="S15:T15"/>
    <mergeCell ref="D18:V18"/>
    <mergeCell ref="Q15:R15"/>
    <mergeCell ref="K14:P14"/>
    <mergeCell ref="O15:P15"/>
    <mergeCell ref="M15:N15"/>
    <mergeCell ref="K15:L15"/>
    <mergeCell ref="I14:J15"/>
    <mergeCell ref="G14:H15"/>
    <mergeCell ref="E14:F15"/>
    <mergeCell ref="D14:D16"/>
    <mergeCell ref="C6:V6"/>
    <mergeCell ref="C7:V7"/>
    <mergeCell ref="C8:V8"/>
    <mergeCell ref="C9:V9"/>
    <mergeCell ref="C10:V10"/>
    <mergeCell ref="C11:V11"/>
    <mergeCell ref="C12:V12"/>
  </mergeCells>
  <pageMargins left="0.39370077848434448" right="0.39370077848434448" top="0.78740155696868896" bottom="0.19685038924217224" header="0.59055113792419434" footer="0"/>
  <pageSetup paperSize="9" fitToHeight="0" orientation="landscape"/>
  <headerFooter>
    <oddHeader>&amp;C&amp;11&amp;"Calibri,Regular"&amp;P&amp;12&amp;"-,Regular"</oddHeader>
  </headerFooter>
  <rowBreaks count="5" manualBreakCount="5">
    <brk id="33" max="16383" man="1"/>
    <brk id="45" max="16383" man="1"/>
    <brk id="57" max="16383" man="1"/>
    <brk id="85" max="16383" man="1"/>
    <brk id="9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5"/>
  <sheetViews>
    <sheetView workbookViewId="0"/>
  </sheetViews>
  <sheetFormatPr defaultColWidth="5.42578125" defaultRowHeight="15" x14ac:dyDescent="0.25"/>
  <cols>
    <col min="1" max="1" width="5" style="997" customWidth="1"/>
    <col min="2" max="2" width="17.28515625" style="997" customWidth="1"/>
    <col min="3" max="3" width="10.140625" style="997" customWidth="1"/>
    <col min="4" max="4" width="9.7109375" style="997" customWidth="1"/>
    <col min="5" max="22" width="9.28515625" style="997" customWidth="1"/>
    <col min="23" max="256" width="5.42578125" style="997" bestFit="1" customWidth="1"/>
    <col min="257" max="257" width="5" style="997" customWidth="1"/>
    <col min="258" max="258" width="17.28515625" style="997" customWidth="1"/>
    <col min="259" max="259" width="10.140625" style="997" customWidth="1"/>
    <col min="260" max="260" width="9.7109375" style="997" customWidth="1"/>
    <col min="261" max="278" width="9.28515625" style="997" customWidth="1"/>
    <col min="279" max="512" width="5.42578125" style="997" bestFit="1" customWidth="1"/>
    <col min="513" max="513" width="5" style="997" customWidth="1"/>
    <col min="514" max="514" width="17.28515625" style="997" customWidth="1"/>
    <col min="515" max="515" width="10.140625" style="997" customWidth="1"/>
    <col min="516" max="516" width="9.7109375" style="997" customWidth="1"/>
    <col min="517" max="534" width="9.28515625" style="997" customWidth="1"/>
    <col min="535" max="768" width="5.42578125" style="997" bestFit="1" customWidth="1"/>
    <col min="769" max="769" width="5" style="997" customWidth="1"/>
    <col min="770" max="770" width="17.28515625" style="997" customWidth="1"/>
    <col min="771" max="771" width="10.140625" style="997" customWidth="1"/>
    <col min="772" max="772" width="9.7109375" style="997" customWidth="1"/>
    <col min="773" max="790" width="9.28515625" style="997" customWidth="1"/>
    <col min="791" max="1024" width="5.42578125" style="997" bestFit="1" customWidth="1"/>
    <col min="1025" max="1025" width="5" style="997" customWidth="1"/>
    <col min="1026" max="1026" width="17.28515625" style="997" customWidth="1"/>
    <col min="1027" max="1027" width="10.140625" style="997" customWidth="1"/>
    <col min="1028" max="1028" width="9.7109375" style="997" customWidth="1"/>
    <col min="1029" max="1046" width="9.28515625" style="997" customWidth="1"/>
    <col min="1047" max="1280" width="5.42578125" style="997" bestFit="1" customWidth="1"/>
    <col min="1281" max="1281" width="5" style="997" customWidth="1"/>
    <col min="1282" max="1282" width="17.28515625" style="997" customWidth="1"/>
    <col min="1283" max="1283" width="10.140625" style="997" customWidth="1"/>
    <col min="1284" max="1284" width="9.7109375" style="997" customWidth="1"/>
    <col min="1285" max="1302" width="9.28515625" style="997" customWidth="1"/>
    <col min="1303" max="1536" width="5.42578125" style="997" bestFit="1" customWidth="1"/>
    <col min="1537" max="1537" width="5" style="997" customWidth="1"/>
    <col min="1538" max="1538" width="17.28515625" style="997" customWidth="1"/>
    <col min="1539" max="1539" width="10.140625" style="997" customWidth="1"/>
    <col min="1540" max="1540" width="9.7109375" style="997" customWidth="1"/>
    <col min="1541" max="1558" width="9.28515625" style="997" customWidth="1"/>
    <col min="1559" max="1792" width="5.42578125" style="997" bestFit="1" customWidth="1"/>
    <col min="1793" max="1793" width="5" style="997" customWidth="1"/>
    <col min="1794" max="1794" width="17.28515625" style="997" customWidth="1"/>
    <col min="1795" max="1795" width="10.140625" style="997" customWidth="1"/>
    <col min="1796" max="1796" width="9.7109375" style="997" customWidth="1"/>
    <col min="1797" max="1814" width="9.28515625" style="997" customWidth="1"/>
    <col min="1815" max="2048" width="5.42578125" style="997" bestFit="1" customWidth="1"/>
    <col min="2049" max="2049" width="5" style="997" customWidth="1"/>
    <col min="2050" max="2050" width="17.28515625" style="997" customWidth="1"/>
    <col min="2051" max="2051" width="10.140625" style="997" customWidth="1"/>
    <col min="2052" max="2052" width="9.7109375" style="997" customWidth="1"/>
    <col min="2053" max="2070" width="9.28515625" style="997" customWidth="1"/>
    <col min="2071" max="2304" width="5.42578125" style="997" bestFit="1" customWidth="1"/>
    <col min="2305" max="2305" width="5" style="997" customWidth="1"/>
    <col min="2306" max="2306" width="17.28515625" style="997" customWidth="1"/>
    <col min="2307" max="2307" width="10.140625" style="997" customWidth="1"/>
    <col min="2308" max="2308" width="9.7109375" style="997" customWidth="1"/>
    <col min="2309" max="2326" width="9.28515625" style="997" customWidth="1"/>
    <col min="2327" max="2560" width="5.42578125" style="997" bestFit="1" customWidth="1"/>
    <col min="2561" max="2561" width="5" style="997" customWidth="1"/>
    <col min="2562" max="2562" width="17.28515625" style="997" customWidth="1"/>
    <col min="2563" max="2563" width="10.140625" style="997" customWidth="1"/>
    <col min="2564" max="2564" width="9.7109375" style="997" customWidth="1"/>
    <col min="2565" max="2582" width="9.28515625" style="997" customWidth="1"/>
    <col min="2583" max="2816" width="5.42578125" style="997" bestFit="1" customWidth="1"/>
    <col min="2817" max="2817" width="5" style="997" customWidth="1"/>
    <col min="2818" max="2818" width="17.28515625" style="997" customWidth="1"/>
    <col min="2819" max="2819" width="10.140625" style="997" customWidth="1"/>
    <col min="2820" max="2820" width="9.7109375" style="997" customWidth="1"/>
    <col min="2821" max="2838" width="9.28515625" style="997" customWidth="1"/>
    <col min="2839" max="3072" width="5.42578125" style="997" bestFit="1" customWidth="1"/>
    <col min="3073" max="3073" width="5" style="997" customWidth="1"/>
    <col min="3074" max="3074" width="17.28515625" style="997" customWidth="1"/>
    <col min="3075" max="3075" width="10.140625" style="997" customWidth="1"/>
    <col min="3076" max="3076" width="9.7109375" style="997" customWidth="1"/>
    <col min="3077" max="3094" width="9.28515625" style="997" customWidth="1"/>
    <col min="3095" max="3328" width="5.42578125" style="997" bestFit="1" customWidth="1"/>
    <col min="3329" max="3329" width="5" style="997" customWidth="1"/>
    <col min="3330" max="3330" width="17.28515625" style="997" customWidth="1"/>
    <col min="3331" max="3331" width="10.140625" style="997" customWidth="1"/>
    <col min="3332" max="3332" width="9.7109375" style="997" customWidth="1"/>
    <col min="3333" max="3350" width="9.28515625" style="997" customWidth="1"/>
    <col min="3351" max="3584" width="5.42578125" style="997" bestFit="1" customWidth="1"/>
    <col min="3585" max="3585" width="5" style="997" customWidth="1"/>
    <col min="3586" max="3586" width="17.28515625" style="997" customWidth="1"/>
    <col min="3587" max="3587" width="10.140625" style="997" customWidth="1"/>
    <col min="3588" max="3588" width="9.7109375" style="997" customWidth="1"/>
    <col min="3589" max="3606" width="9.28515625" style="997" customWidth="1"/>
    <col min="3607" max="3840" width="5.42578125" style="997" bestFit="1" customWidth="1"/>
    <col min="3841" max="3841" width="5" style="997" customWidth="1"/>
    <col min="3842" max="3842" width="17.28515625" style="997" customWidth="1"/>
    <col min="3843" max="3843" width="10.140625" style="997" customWidth="1"/>
    <col min="3844" max="3844" width="9.7109375" style="997" customWidth="1"/>
    <col min="3845" max="3862" width="9.28515625" style="997" customWidth="1"/>
    <col min="3863" max="4096" width="5.42578125" style="997" bestFit="1" customWidth="1"/>
    <col min="4097" max="4097" width="5" style="997" customWidth="1"/>
    <col min="4098" max="4098" width="17.28515625" style="997" customWidth="1"/>
    <col min="4099" max="4099" width="10.140625" style="997" customWidth="1"/>
    <col min="4100" max="4100" width="9.7109375" style="997" customWidth="1"/>
    <col min="4101" max="4118" width="9.28515625" style="997" customWidth="1"/>
    <col min="4119" max="4352" width="5.42578125" style="997" bestFit="1" customWidth="1"/>
    <col min="4353" max="4353" width="5" style="997" customWidth="1"/>
    <col min="4354" max="4354" width="17.28515625" style="997" customWidth="1"/>
    <col min="4355" max="4355" width="10.140625" style="997" customWidth="1"/>
    <col min="4356" max="4356" width="9.7109375" style="997" customWidth="1"/>
    <col min="4357" max="4374" width="9.28515625" style="997" customWidth="1"/>
    <col min="4375" max="4608" width="5.42578125" style="997" bestFit="1" customWidth="1"/>
    <col min="4609" max="4609" width="5" style="997" customWidth="1"/>
    <col min="4610" max="4610" width="17.28515625" style="997" customWidth="1"/>
    <col min="4611" max="4611" width="10.140625" style="997" customWidth="1"/>
    <col min="4612" max="4612" width="9.7109375" style="997" customWidth="1"/>
    <col min="4613" max="4630" width="9.28515625" style="997" customWidth="1"/>
    <col min="4631" max="4864" width="5.42578125" style="997" bestFit="1" customWidth="1"/>
    <col min="4865" max="4865" width="5" style="997" customWidth="1"/>
    <col min="4866" max="4866" width="17.28515625" style="997" customWidth="1"/>
    <col min="4867" max="4867" width="10.140625" style="997" customWidth="1"/>
    <col min="4868" max="4868" width="9.7109375" style="997" customWidth="1"/>
    <col min="4869" max="4886" width="9.28515625" style="997" customWidth="1"/>
    <col min="4887" max="5120" width="5.42578125" style="997" bestFit="1" customWidth="1"/>
    <col min="5121" max="5121" width="5" style="997" customWidth="1"/>
    <col min="5122" max="5122" width="17.28515625" style="997" customWidth="1"/>
    <col min="5123" max="5123" width="10.140625" style="997" customWidth="1"/>
    <col min="5124" max="5124" width="9.7109375" style="997" customWidth="1"/>
    <col min="5125" max="5142" width="9.28515625" style="997" customWidth="1"/>
    <col min="5143" max="5376" width="5.42578125" style="997" bestFit="1" customWidth="1"/>
    <col min="5377" max="5377" width="5" style="997" customWidth="1"/>
    <col min="5378" max="5378" width="17.28515625" style="997" customWidth="1"/>
    <col min="5379" max="5379" width="10.140625" style="997" customWidth="1"/>
    <col min="5380" max="5380" width="9.7109375" style="997" customWidth="1"/>
    <col min="5381" max="5398" width="9.28515625" style="997" customWidth="1"/>
    <col min="5399" max="5632" width="5.42578125" style="997" bestFit="1" customWidth="1"/>
    <col min="5633" max="5633" width="5" style="997" customWidth="1"/>
    <col min="5634" max="5634" width="17.28515625" style="997" customWidth="1"/>
    <col min="5635" max="5635" width="10.140625" style="997" customWidth="1"/>
    <col min="5636" max="5636" width="9.7109375" style="997" customWidth="1"/>
    <col min="5637" max="5654" width="9.28515625" style="997" customWidth="1"/>
    <col min="5655" max="5888" width="5.42578125" style="997" bestFit="1" customWidth="1"/>
    <col min="5889" max="5889" width="5" style="997" customWidth="1"/>
    <col min="5890" max="5890" width="17.28515625" style="997" customWidth="1"/>
    <col min="5891" max="5891" width="10.140625" style="997" customWidth="1"/>
    <col min="5892" max="5892" width="9.7109375" style="997" customWidth="1"/>
    <col min="5893" max="5910" width="9.28515625" style="997" customWidth="1"/>
    <col min="5911" max="6144" width="5.42578125" style="997" bestFit="1" customWidth="1"/>
    <col min="6145" max="6145" width="5" style="997" customWidth="1"/>
    <col min="6146" max="6146" width="17.28515625" style="997" customWidth="1"/>
    <col min="6147" max="6147" width="10.140625" style="997" customWidth="1"/>
    <col min="6148" max="6148" width="9.7109375" style="997" customWidth="1"/>
    <col min="6149" max="6166" width="9.28515625" style="997" customWidth="1"/>
    <col min="6167" max="6400" width="5.42578125" style="997" bestFit="1" customWidth="1"/>
    <col min="6401" max="6401" width="5" style="997" customWidth="1"/>
    <col min="6402" max="6402" width="17.28515625" style="997" customWidth="1"/>
    <col min="6403" max="6403" width="10.140625" style="997" customWidth="1"/>
    <col min="6404" max="6404" width="9.7109375" style="997" customWidth="1"/>
    <col min="6405" max="6422" width="9.28515625" style="997" customWidth="1"/>
    <col min="6423" max="6656" width="5.42578125" style="997" bestFit="1" customWidth="1"/>
    <col min="6657" max="6657" width="5" style="997" customWidth="1"/>
    <col min="6658" max="6658" width="17.28515625" style="997" customWidth="1"/>
    <col min="6659" max="6659" width="10.140625" style="997" customWidth="1"/>
    <col min="6660" max="6660" width="9.7109375" style="997" customWidth="1"/>
    <col min="6661" max="6678" width="9.28515625" style="997" customWidth="1"/>
    <col min="6679" max="6912" width="5.42578125" style="997" bestFit="1" customWidth="1"/>
    <col min="6913" max="6913" width="5" style="997" customWidth="1"/>
    <col min="6914" max="6914" width="17.28515625" style="997" customWidth="1"/>
    <col min="6915" max="6915" width="10.140625" style="997" customWidth="1"/>
    <col min="6916" max="6916" width="9.7109375" style="997" customWidth="1"/>
    <col min="6917" max="6934" width="9.28515625" style="997" customWidth="1"/>
    <col min="6935" max="7168" width="5.42578125" style="997" bestFit="1" customWidth="1"/>
    <col min="7169" max="7169" width="5" style="997" customWidth="1"/>
    <col min="7170" max="7170" width="17.28515625" style="997" customWidth="1"/>
    <col min="7171" max="7171" width="10.140625" style="997" customWidth="1"/>
    <col min="7172" max="7172" width="9.7109375" style="997" customWidth="1"/>
    <col min="7173" max="7190" width="9.28515625" style="997" customWidth="1"/>
    <col min="7191" max="7424" width="5.42578125" style="997" bestFit="1" customWidth="1"/>
    <col min="7425" max="7425" width="5" style="997" customWidth="1"/>
    <col min="7426" max="7426" width="17.28515625" style="997" customWidth="1"/>
    <col min="7427" max="7427" width="10.140625" style="997" customWidth="1"/>
    <col min="7428" max="7428" width="9.7109375" style="997" customWidth="1"/>
    <col min="7429" max="7446" width="9.28515625" style="997" customWidth="1"/>
    <col min="7447" max="7680" width="5.42578125" style="997" bestFit="1" customWidth="1"/>
    <col min="7681" max="7681" width="5" style="997" customWidth="1"/>
    <col min="7682" max="7682" width="17.28515625" style="997" customWidth="1"/>
    <col min="7683" max="7683" width="10.140625" style="997" customWidth="1"/>
    <col min="7684" max="7684" width="9.7109375" style="997" customWidth="1"/>
    <col min="7685" max="7702" width="9.28515625" style="997" customWidth="1"/>
    <col min="7703" max="7936" width="5.42578125" style="997" bestFit="1" customWidth="1"/>
    <col min="7937" max="7937" width="5" style="997" customWidth="1"/>
    <col min="7938" max="7938" width="17.28515625" style="997" customWidth="1"/>
    <col min="7939" max="7939" width="10.140625" style="997" customWidth="1"/>
    <col min="7940" max="7940" width="9.7109375" style="997" customWidth="1"/>
    <col min="7941" max="7958" width="9.28515625" style="997" customWidth="1"/>
    <col min="7959" max="8192" width="5.42578125" style="997" bestFit="1" customWidth="1"/>
    <col min="8193" max="8193" width="5" style="997" customWidth="1"/>
    <col min="8194" max="8194" width="17.28515625" style="997" customWidth="1"/>
    <col min="8195" max="8195" width="10.140625" style="997" customWidth="1"/>
    <col min="8196" max="8196" width="9.7109375" style="997" customWidth="1"/>
    <col min="8197" max="8214" width="9.28515625" style="997" customWidth="1"/>
    <col min="8215" max="8448" width="5.42578125" style="997" bestFit="1" customWidth="1"/>
    <col min="8449" max="8449" width="5" style="997" customWidth="1"/>
    <col min="8450" max="8450" width="17.28515625" style="997" customWidth="1"/>
    <col min="8451" max="8451" width="10.140625" style="997" customWidth="1"/>
    <col min="8452" max="8452" width="9.7109375" style="997" customWidth="1"/>
    <col min="8453" max="8470" width="9.28515625" style="997" customWidth="1"/>
    <col min="8471" max="8704" width="5.42578125" style="997" bestFit="1" customWidth="1"/>
    <col min="8705" max="8705" width="5" style="997" customWidth="1"/>
    <col min="8706" max="8706" width="17.28515625" style="997" customWidth="1"/>
    <col min="8707" max="8707" width="10.140625" style="997" customWidth="1"/>
    <col min="8708" max="8708" width="9.7109375" style="997" customWidth="1"/>
    <col min="8709" max="8726" width="9.28515625" style="997" customWidth="1"/>
    <col min="8727" max="8960" width="5.42578125" style="997" bestFit="1" customWidth="1"/>
    <col min="8961" max="8961" width="5" style="997" customWidth="1"/>
    <col min="8962" max="8962" width="17.28515625" style="997" customWidth="1"/>
    <col min="8963" max="8963" width="10.140625" style="997" customWidth="1"/>
    <col min="8964" max="8964" width="9.7109375" style="997" customWidth="1"/>
    <col min="8965" max="8982" width="9.28515625" style="997" customWidth="1"/>
    <col min="8983" max="9216" width="5.42578125" style="997" bestFit="1" customWidth="1"/>
    <col min="9217" max="9217" width="5" style="997" customWidth="1"/>
    <col min="9218" max="9218" width="17.28515625" style="997" customWidth="1"/>
    <col min="9219" max="9219" width="10.140625" style="997" customWidth="1"/>
    <col min="9220" max="9220" width="9.7109375" style="997" customWidth="1"/>
    <col min="9221" max="9238" width="9.28515625" style="997" customWidth="1"/>
    <col min="9239" max="9472" width="5.42578125" style="997" bestFit="1" customWidth="1"/>
    <col min="9473" max="9473" width="5" style="997" customWidth="1"/>
    <col min="9474" max="9474" width="17.28515625" style="997" customWidth="1"/>
    <col min="9475" max="9475" width="10.140625" style="997" customWidth="1"/>
    <col min="9476" max="9476" width="9.7109375" style="997" customWidth="1"/>
    <col min="9477" max="9494" width="9.28515625" style="997" customWidth="1"/>
    <col min="9495" max="9728" width="5.42578125" style="997" bestFit="1" customWidth="1"/>
    <col min="9729" max="9729" width="5" style="997" customWidth="1"/>
    <col min="9730" max="9730" width="17.28515625" style="997" customWidth="1"/>
    <col min="9731" max="9731" width="10.140625" style="997" customWidth="1"/>
    <col min="9732" max="9732" width="9.7109375" style="997" customWidth="1"/>
    <col min="9733" max="9750" width="9.28515625" style="997" customWidth="1"/>
    <col min="9751" max="9984" width="5.42578125" style="997" bestFit="1" customWidth="1"/>
    <col min="9985" max="9985" width="5" style="997" customWidth="1"/>
    <col min="9986" max="9986" width="17.28515625" style="997" customWidth="1"/>
    <col min="9987" max="9987" width="10.140625" style="997" customWidth="1"/>
    <col min="9988" max="9988" width="9.7109375" style="997" customWidth="1"/>
    <col min="9989" max="10006" width="9.28515625" style="997" customWidth="1"/>
    <col min="10007" max="10240" width="5.42578125" style="997" bestFit="1" customWidth="1"/>
    <col min="10241" max="10241" width="5" style="997" customWidth="1"/>
    <col min="10242" max="10242" width="17.28515625" style="997" customWidth="1"/>
    <col min="10243" max="10243" width="10.140625" style="997" customWidth="1"/>
    <col min="10244" max="10244" width="9.7109375" style="997" customWidth="1"/>
    <col min="10245" max="10262" width="9.28515625" style="997" customWidth="1"/>
    <col min="10263" max="10496" width="5.42578125" style="997" bestFit="1" customWidth="1"/>
    <col min="10497" max="10497" width="5" style="997" customWidth="1"/>
    <col min="10498" max="10498" width="17.28515625" style="997" customWidth="1"/>
    <col min="10499" max="10499" width="10.140625" style="997" customWidth="1"/>
    <col min="10500" max="10500" width="9.7109375" style="997" customWidth="1"/>
    <col min="10501" max="10518" width="9.28515625" style="997" customWidth="1"/>
    <col min="10519" max="10752" width="5.42578125" style="997" bestFit="1" customWidth="1"/>
    <col min="10753" max="10753" width="5" style="997" customWidth="1"/>
    <col min="10754" max="10754" width="17.28515625" style="997" customWidth="1"/>
    <col min="10755" max="10755" width="10.140625" style="997" customWidth="1"/>
    <col min="10756" max="10756" width="9.7109375" style="997" customWidth="1"/>
    <col min="10757" max="10774" width="9.28515625" style="997" customWidth="1"/>
    <col min="10775" max="11008" width="5.42578125" style="997" bestFit="1" customWidth="1"/>
    <col min="11009" max="11009" width="5" style="997" customWidth="1"/>
    <col min="11010" max="11010" width="17.28515625" style="997" customWidth="1"/>
    <col min="11011" max="11011" width="10.140625" style="997" customWidth="1"/>
    <col min="11012" max="11012" width="9.7109375" style="997" customWidth="1"/>
    <col min="11013" max="11030" width="9.28515625" style="997" customWidth="1"/>
    <col min="11031" max="11264" width="5.42578125" style="997" bestFit="1" customWidth="1"/>
    <col min="11265" max="11265" width="5" style="997" customWidth="1"/>
    <col min="11266" max="11266" width="17.28515625" style="997" customWidth="1"/>
    <col min="11267" max="11267" width="10.140625" style="997" customWidth="1"/>
    <col min="11268" max="11268" width="9.7109375" style="997" customWidth="1"/>
    <col min="11269" max="11286" width="9.28515625" style="997" customWidth="1"/>
    <col min="11287" max="11520" width="5.42578125" style="997" bestFit="1" customWidth="1"/>
    <col min="11521" max="11521" width="5" style="997" customWidth="1"/>
    <col min="11522" max="11522" width="17.28515625" style="997" customWidth="1"/>
    <col min="11523" max="11523" width="10.140625" style="997" customWidth="1"/>
    <col min="11524" max="11524" width="9.7109375" style="997" customWidth="1"/>
    <col min="11525" max="11542" width="9.28515625" style="997" customWidth="1"/>
    <col min="11543" max="11776" width="5.42578125" style="997" bestFit="1" customWidth="1"/>
    <col min="11777" max="11777" width="5" style="997" customWidth="1"/>
    <col min="11778" max="11778" width="17.28515625" style="997" customWidth="1"/>
    <col min="11779" max="11779" width="10.140625" style="997" customWidth="1"/>
    <col min="11780" max="11780" width="9.7109375" style="997" customWidth="1"/>
    <col min="11781" max="11798" width="9.28515625" style="997" customWidth="1"/>
    <col min="11799" max="12032" width="5.42578125" style="997" bestFit="1" customWidth="1"/>
    <col min="12033" max="12033" width="5" style="997" customWidth="1"/>
    <col min="12034" max="12034" width="17.28515625" style="997" customWidth="1"/>
    <col min="12035" max="12035" width="10.140625" style="997" customWidth="1"/>
    <col min="12036" max="12036" width="9.7109375" style="997" customWidth="1"/>
    <col min="12037" max="12054" width="9.28515625" style="997" customWidth="1"/>
    <col min="12055" max="12288" width="5.42578125" style="997" bestFit="1" customWidth="1"/>
    <col min="12289" max="12289" width="5" style="997" customWidth="1"/>
    <col min="12290" max="12290" width="17.28515625" style="997" customWidth="1"/>
    <col min="12291" max="12291" width="10.140625" style="997" customWidth="1"/>
    <col min="12292" max="12292" width="9.7109375" style="997" customWidth="1"/>
    <col min="12293" max="12310" width="9.28515625" style="997" customWidth="1"/>
    <col min="12311" max="12544" width="5.42578125" style="997" bestFit="1" customWidth="1"/>
    <col min="12545" max="12545" width="5" style="997" customWidth="1"/>
    <col min="12546" max="12546" width="17.28515625" style="997" customWidth="1"/>
    <col min="12547" max="12547" width="10.140625" style="997" customWidth="1"/>
    <col min="12548" max="12548" width="9.7109375" style="997" customWidth="1"/>
    <col min="12549" max="12566" width="9.28515625" style="997" customWidth="1"/>
    <col min="12567" max="12800" width="5.42578125" style="997" bestFit="1" customWidth="1"/>
    <col min="12801" max="12801" width="5" style="997" customWidth="1"/>
    <col min="12802" max="12802" width="17.28515625" style="997" customWidth="1"/>
    <col min="12803" max="12803" width="10.140625" style="997" customWidth="1"/>
    <col min="12804" max="12804" width="9.7109375" style="997" customWidth="1"/>
    <col min="12805" max="12822" width="9.28515625" style="997" customWidth="1"/>
    <col min="12823" max="13056" width="5.42578125" style="997" bestFit="1" customWidth="1"/>
    <col min="13057" max="13057" width="5" style="997" customWidth="1"/>
    <col min="13058" max="13058" width="17.28515625" style="997" customWidth="1"/>
    <col min="13059" max="13059" width="10.140625" style="997" customWidth="1"/>
    <col min="13060" max="13060" width="9.7109375" style="997" customWidth="1"/>
    <col min="13061" max="13078" width="9.28515625" style="997" customWidth="1"/>
    <col min="13079" max="13312" width="5.42578125" style="997" bestFit="1" customWidth="1"/>
    <col min="13313" max="13313" width="5" style="997" customWidth="1"/>
    <col min="13314" max="13314" width="17.28515625" style="997" customWidth="1"/>
    <col min="13315" max="13315" width="10.140625" style="997" customWidth="1"/>
    <col min="13316" max="13316" width="9.7109375" style="997" customWidth="1"/>
    <col min="13317" max="13334" width="9.28515625" style="997" customWidth="1"/>
    <col min="13335" max="13568" width="5.42578125" style="997" bestFit="1" customWidth="1"/>
    <col min="13569" max="13569" width="5" style="997" customWidth="1"/>
    <col min="13570" max="13570" width="17.28515625" style="997" customWidth="1"/>
    <col min="13571" max="13571" width="10.140625" style="997" customWidth="1"/>
    <col min="13572" max="13572" width="9.7109375" style="997" customWidth="1"/>
    <col min="13573" max="13590" width="9.28515625" style="997" customWidth="1"/>
    <col min="13591" max="13824" width="5.42578125" style="997" bestFit="1" customWidth="1"/>
    <col min="13825" max="13825" width="5" style="997" customWidth="1"/>
    <col min="13826" max="13826" width="17.28515625" style="997" customWidth="1"/>
    <col min="13827" max="13827" width="10.140625" style="997" customWidth="1"/>
    <col min="13828" max="13828" width="9.7109375" style="997" customWidth="1"/>
    <col min="13829" max="13846" width="9.28515625" style="997" customWidth="1"/>
    <col min="13847" max="14080" width="5.42578125" style="997" bestFit="1" customWidth="1"/>
    <col min="14081" max="14081" width="5" style="997" customWidth="1"/>
    <col min="14082" max="14082" width="17.28515625" style="997" customWidth="1"/>
    <col min="14083" max="14083" width="10.140625" style="997" customWidth="1"/>
    <col min="14084" max="14084" width="9.7109375" style="997" customWidth="1"/>
    <col min="14085" max="14102" width="9.28515625" style="997" customWidth="1"/>
    <col min="14103" max="14336" width="5.42578125" style="997" bestFit="1" customWidth="1"/>
    <col min="14337" max="14337" width="5" style="997" customWidth="1"/>
    <col min="14338" max="14338" width="17.28515625" style="997" customWidth="1"/>
    <col min="14339" max="14339" width="10.140625" style="997" customWidth="1"/>
    <col min="14340" max="14340" width="9.7109375" style="997" customWidth="1"/>
    <col min="14341" max="14358" width="9.28515625" style="997" customWidth="1"/>
    <col min="14359" max="14592" width="5.42578125" style="997" bestFit="1" customWidth="1"/>
    <col min="14593" max="14593" width="5" style="997" customWidth="1"/>
    <col min="14594" max="14594" width="17.28515625" style="997" customWidth="1"/>
    <col min="14595" max="14595" width="10.140625" style="997" customWidth="1"/>
    <col min="14596" max="14596" width="9.7109375" style="997" customWidth="1"/>
    <col min="14597" max="14614" width="9.28515625" style="997" customWidth="1"/>
    <col min="14615" max="14848" width="5.42578125" style="997" bestFit="1" customWidth="1"/>
    <col min="14849" max="14849" width="5" style="997" customWidth="1"/>
    <col min="14850" max="14850" width="17.28515625" style="997" customWidth="1"/>
    <col min="14851" max="14851" width="10.140625" style="997" customWidth="1"/>
    <col min="14852" max="14852" width="9.7109375" style="997" customWidth="1"/>
    <col min="14853" max="14870" width="9.28515625" style="997" customWidth="1"/>
    <col min="14871" max="15104" width="5.42578125" style="997" bestFit="1" customWidth="1"/>
    <col min="15105" max="15105" width="5" style="997" customWidth="1"/>
    <col min="15106" max="15106" width="17.28515625" style="997" customWidth="1"/>
    <col min="15107" max="15107" width="10.140625" style="997" customWidth="1"/>
    <col min="15108" max="15108" width="9.7109375" style="997" customWidth="1"/>
    <col min="15109" max="15126" width="9.28515625" style="997" customWidth="1"/>
    <col min="15127" max="15360" width="5.42578125" style="997" bestFit="1" customWidth="1"/>
    <col min="15361" max="15361" width="5" style="997" customWidth="1"/>
    <col min="15362" max="15362" width="17.28515625" style="997" customWidth="1"/>
    <col min="15363" max="15363" width="10.140625" style="997" customWidth="1"/>
    <col min="15364" max="15364" width="9.7109375" style="997" customWidth="1"/>
    <col min="15365" max="15382" width="9.28515625" style="997" customWidth="1"/>
    <col min="15383" max="15616" width="5.42578125" style="997" bestFit="1" customWidth="1"/>
    <col min="15617" max="15617" width="5" style="997" customWidth="1"/>
    <col min="15618" max="15618" width="17.28515625" style="997" customWidth="1"/>
    <col min="15619" max="15619" width="10.140625" style="997" customWidth="1"/>
    <col min="15620" max="15620" width="9.7109375" style="997" customWidth="1"/>
    <col min="15621" max="15638" width="9.28515625" style="997" customWidth="1"/>
    <col min="15639" max="15872" width="5.42578125" style="997" bestFit="1" customWidth="1"/>
    <col min="15873" max="15873" width="5" style="997" customWidth="1"/>
    <col min="15874" max="15874" width="17.28515625" style="997" customWidth="1"/>
    <col min="15875" max="15875" width="10.140625" style="997" customWidth="1"/>
    <col min="15876" max="15876" width="9.7109375" style="997" customWidth="1"/>
    <col min="15877" max="15894" width="9.28515625" style="997" customWidth="1"/>
    <col min="15895" max="16128" width="5.42578125" style="997" bestFit="1" customWidth="1"/>
    <col min="16129" max="16129" width="5" style="997" customWidth="1"/>
    <col min="16130" max="16130" width="17.28515625" style="997" customWidth="1"/>
    <col min="16131" max="16131" width="10.140625" style="997" customWidth="1"/>
    <col min="16132" max="16132" width="9.7109375" style="997" customWidth="1"/>
    <col min="16133" max="16150" width="9.28515625" style="997" customWidth="1"/>
    <col min="16151" max="16384" width="5.42578125" style="997" bestFit="1" customWidth="1"/>
  </cols>
  <sheetData>
    <row r="1" spans="1:22" s="937" customFormat="1" ht="25.5" customHeight="1" x14ac:dyDescent="0.35">
      <c r="A1" s="5358" t="s">
        <v>1156</v>
      </c>
      <c r="B1" s="5358"/>
      <c r="C1" s="5358"/>
      <c r="D1" s="5358"/>
      <c r="E1" s="5358"/>
      <c r="F1" s="5358"/>
      <c r="G1" s="5358"/>
      <c r="H1" s="5358"/>
      <c r="I1" s="5358"/>
      <c r="J1" s="5358"/>
      <c r="K1" s="5358"/>
      <c r="L1" s="5358"/>
      <c r="M1" s="5358"/>
      <c r="N1" s="5358"/>
      <c r="O1" s="5358"/>
      <c r="P1" s="5358"/>
      <c r="Q1" s="5358"/>
      <c r="R1" s="5358"/>
      <c r="S1" s="5358"/>
      <c r="T1" s="5358"/>
      <c r="U1" s="5358"/>
      <c r="V1" s="5358"/>
    </row>
    <row r="2" spans="1:22" s="937" customFormat="1" ht="24" customHeight="1" x14ac:dyDescent="0.35">
      <c r="A2" s="938"/>
      <c r="B2" s="938"/>
      <c r="C2" s="938"/>
      <c r="D2" s="938"/>
      <c r="E2" s="938"/>
      <c r="F2" s="938"/>
      <c r="G2" s="938"/>
      <c r="H2" s="938"/>
      <c r="I2" s="938"/>
      <c r="J2" s="938"/>
      <c r="K2" s="938"/>
      <c r="L2" s="938"/>
      <c r="M2" s="938"/>
      <c r="N2" s="938"/>
      <c r="O2" s="938"/>
      <c r="P2" s="938"/>
      <c r="Q2" s="938"/>
      <c r="R2" s="938"/>
      <c r="S2" s="938"/>
      <c r="T2" s="938"/>
      <c r="U2" s="938"/>
      <c r="V2" s="938"/>
    </row>
    <row r="3" spans="1:22" s="937" customFormat="1" ht="31.5" customHeight="1" x14ac:dyDescent="0.35">
      <c r="A3" s="938"/>
      <c r="B3" s="938"/>
      <c r="C3" s="5360" t="s">
        <v>1157</v>
      </c>
      <c r="D3" s="5360"/>
      <c r="E3" s="5360"/>
      <c r="F3" s="5360"/>
      <c r="G3" s="5360"/>
      <c r="H3" s="5360"/>
      <c r="I3" s="5360"/>
      <c r="J3" s="5360"/>
      <c r="K3" s="5360"/>
      <c r="L3" s="5360"/>
      <c r="M3" s="5360"/>
      <c r="N3" s="5360"/>
      <c r="O3" s="5360"/>
      <c r="P3" s="5360"/>
      <c r="Q3" s="5360"/>
      <c r="R3" s="5360"/>
      <c r="S3" s="5360"/>
      <c r="T3" s="5360"/>
      <c r="U3" s="5360"/>
      <c r="V3" s="5360"/>
    </row>
    <row r="4" spans="1:22" s="937" customFormat="1" ht="22.5" customHeight="1" x14ac:dyDescent="0.35">
      <c r="A4" s="938"/>
      <c r="B4" s="938"/>
      <c r="C4" s="5359" t="s">
        <v>1158</v>
      </c>
      <c r="D4" s="5359"/>
      <c r="E4" s="5359"/>
      <c r="F4" s="5359"/>
      <c r="G4" s="5359"/>
      <c r="H4" s="5359"/>
      <c r="I4" s="5359"/>
      <c r="J4" s="5359"/>
      <c r="K4" s="5359"/>
      <c r="L4" s="5359"/>
      <c r="M4" s="5359"/>
      <c r="N4" s="5359"/>
      <c r="O4" s="5359"/>
      <c r="P4" s="5359"/>
      <c r="Q4" s="5359"/>
      <c r="R4" s="5359"/>
      <c r="S4" s="5359"/>
      <c r="T4" s="5359"/>
      <c r="U4" s="5359"/>
      <c r="V4" s="5359"/>
    </row>
    <row r="5" spans="1:22" s="937" customFormat="1" ht="32.25" customHeight="1" x14ac:dyDescent="0.35">
      <c r="A5" s="938"/>
      <c r="B5" s="938"/>
      <c r="C5" s="5359" t="s">
        <v>1159</v>
      </c>
      <c r="D5" s="5359"/>
      <c r="E5" s="5359"/>
      <c r="F5" s="5359"/>
      <c r="G5" s="5359"/>
      <c r="H5" s="5359"/>
      <c r="I5" s="5359"/>
      <c r="J5" s="5359"/>
      <c r="K5" s="5359"/>
      <c r="L5" s="5359"/>
      <c r="M5" s="5359"/>
      <c r="N5" s="5359"/>
      <c r="O5" s="5359"/>
      <c r="P5" s="5359"/>
      <c r="Q5" s="5359"/>
      <c r="R5" s="5359"/>
      <c r="S5" s="5359"/>
      <c r="T5" s="5359"/>
      <c r="U5" s="5359"/>
      <c r="V5" s="5359"/>
    </row>
    <row r="6" spans="1:22" s="937" customFormat="1" ht="22.5" customHeight="1" x14ac:dyDescent="0.35">
      <c r="A6" s="938"/>
      <c r="B6" s="938"/>
      <c r="C6" s="5359" t="s">
        <v>1160</v>
      </c>
      <c r="D6" s="5359"/>
      <c r="E6" s="5359"/>
      <c r="F6" s="5359"/>
      <c r="G6" s="5359"/>
      <c r="H6" s="5359"/>
      <c r="I6" s="5359"/>
      <c r="J6" s="5359"/>
      <c r="K6" s="5359"/>
      <c r="L6" s="5359"/>
      <c r="M6" s="5359"/>
      <c r="N6" s="5359"/>
      <c r="O6" s="5359"/>
      <c r="P6" s="5359"/>
      <c r="Q6" s="5359"/>
      <c r="R6" s="5359"/>
      <c r="S6" s="5359"/>
      <c r="T6" s="5359"/>
      <c r="U6" s="5359"/>
      <c r="V6" s="5359"/>
    </row>
    <row r="7" spans="1:22" s="937" customFormat="1" ht="36.75" customHeight="1" x14ac:dyDescent="0.35">
      <c r="A7" s="938"/>
      <c r="B7" s="938"/>
      <c r="C7" s="5359" t="s">
        <v>1161</v>
      </c>
      <c r="D7" s="5359"/>
      <c r="E7" s="5359"/>
      <c r="F7" s="5359"/>
      <c r="G7" s="5359"/>
      <c r="H7" s="5359"/>
      <c r="I7" s="5359"/>
      <c r="J7" s="5359"/>
      <c r="K7" s="5359"/>
      <c r="L7" s="5359"/>
      <c r="M7" s="5359"/>
      <c r="N7" s="5359"/>
      <c r="O7" s="5359"/>
      <c r="P7" s="5359"/>
      <c r="Q7" s="5359"/>
      <c r="R7" s="5359"/>
      <c r="S7" s="5359"/>
      <c r="T7" s="5359"/>
      <c r="U7" s="5359"/>
      <c r="V7" s="5359"/>
    </row>
    <row r="8" spans="1:22" s="937" customFormat="1" ht="72.95" customHeight="1" x14ac:dyDescent="0.35">
      <c r="A8" s="938"/>
      <c r="B8" s="938"/>
      <c r="C8" s="5394" t="s">
        <v>1162</v>
      </c>
      <c r="D8" s="5394"/>
      <c r="E8" s="5394"/>
      <c r="F8" s="5394"/>
      <c r="G8" s="5394"/>
      <c r="H8" s="5394"/>
      <c r="I8" s="5394"/>
      <c r="J8" s="5394"/>
      <c r="K8" s="5394"/>
      <c r="L8" s="5394"/>
      <c r="M8" s="5394"/>
      <c r="N8" s="5394"/>
      <c r="O8" s="5394"/>
      <c r="P8" s="5394"/>
      <c r="Q8" s="5394"/>
      <c r="R8" s="5394"/>
      <c r="S8" s="5394"/>
      <c r="T8" s="5394"/>
      <c r="U8" s="5394"/>
      <c r="V8" s="5394"/>
    </row>
    <row r="9" spans="1:22" s="937" customFormat="1" ht="48.75" customHeight="1" x14ac:dyDescent="0.35">
      <c r="A9" s="938"/>
      <c r="B9" s="938"/>
      <c r="C9" s="5359" t="s">
        <v>1163</v>
      </c>
      <c r="D9" s="5359"/>
      <c r="E9" s="5359"/>
      <c r="F9" s="5359"/>
      <c r="G9" s="5359"/>
      <c r="H9" s="5359"/>
      <c r="I9" s="5359"/>
      <c r="J9" s="5359"/>
      <c r="K9" s="5359"/>
      <c r="L9" s="5359"/>
      <c r="M9" s="5359"/>
      <c r="N9" s="5359"/>
      <c r="O9" s="5359"/>
      <c r="P9" s="5359"/>
      <c r="Q9" s="5359"/>
      <c r="R9" s="5359"/>
      <c r="S9" s="5359"/>
      <c r="T9" s="5359"/>
      <c r="U9" s="5359"/>
      <c r="V9" s="5359"/>
    </row>
    <row r="10" spans="1:22" s="937" customFormat="1" ht="72" customHeight="1" x14ac:dyDescent="0.35">
      <c r="A10" s="938"/>
      <c r="B10" s="938"/>
      <c r="C10" s="5394" t="s">
        <v>1164</v>
      </c>
      <c r="D10" s="5394"/>
      <c r="E10" s="5394"/>
      <c r="F10" s="5394"/>
      <c r="G10" s="5394"/>
      <c r="H10" s="5394"/>
      <c r="I10" s="5394"/>
      <c r="J10" s="5394"/>
      <c r="K10" s="5394"/>
      <c r="L10" s="5394"/>
      <c r="M10" s="5394"/>
      <c r="N10" s="5394"/>
      <c r="O10" s="5394"/>
      <c r="P10" s="5394"/>
      <c r="Q10" s="5394"/>
      <c r="R10" s="5394"/>
      <c r="S10" s="5394"/>
      <c r="T10" s="5394"/>
      <c r="U10" s="5394"/>
      <c r="V10" s="5394"/>
    </row>
    <row r="11" spans="1:22" s="937" customFormat="1" ht="51.75" customHeight="1" x14ac:dyDescent="0.35">
      <c r="A11" s="938"/>
      <c r="B11" s="938"/>
      <c r="C11" s="5359" t="s">
        <v>1165</v>
      </c>
      <c r="D11" s="5359"/>
      <c r="E11" s="5359"/>
      <c r="F11" s="5359"/>
      <c r="G11" s="5359"/>
      <c r="H11" s="5359"/>
      <c r="I11" s="5359"/>
      <c r="J11" s="5359"/>
      <c r="K11" s="5359"/>
      <c r="L11" s="5359"/>
      <c r="M11" s="5359"/>
      <c r="N11" s="5359"/>
      <c r="O11" s="5359"/>
      <c r="P11" s="5359"/>
      <c r="Q11" s="5359"/>
      <c r="R11" s="5359"/>
      <c r="S11" s="5359"/>
      <c r="T11" s="5359"/>
      <c r="U11" s="5359"/>
      <c r="V11" s="5359"/>
    </row>
    <row r="12" spans="1:22" s="937" customFormat="1" ht="43.5" customHeight="1" x14ac:dyDescent="0.35">
      <c r="A12" s="938"/>
      <c r="B12" s="938"/>
      <c r="C12" s="5359" t="s">
        <v>1589</v>
      </c>
      <c r="D12" s="5359"/>
      <c r="E12" s="5359"/>
      <c r="F12" s="5359"/>
      <c r="G12" s="5359"/>
      <c r="H12" s="5359"/>
      <c r="I12" s="5359"/>
      <c r="J12" s="5359"/>
      <c r="K12" s="5359"/>
      <c r="L12" s="5359"/>
      <c r="M12" s="5359"/>
      <c r="N12" s="5359"/>
      <c r="O12" s="5359"/>
      <c r="P12" s="5359"/>
      <c r="Q12" s="5359"/>
      <c r="R12" s="5359"/>
      <c r="S12" s="5359"/>
      <c r="T12" s="5359"/>
      <c r="U12" s="5359"/>
      <c r="V12" s="5359"/>
    </row>
    <row r="13" spans="1:22" s="937" customFormat="1" ht="27" customHeight="1" x14ac:dyDescent="0.35">
      <c r="A13" s="939"/>
      <c r="B13" s="939"/>
      <c r="C13" s="939"/>
      <c r="D13" s="5395"/>
      <c r="E13" s="5395"/>
      <c r="F13" s="5395"/>
      <c r="G13" s="5395"/>
      <c r="H13" s="5395"/>
      <c r="I13" s="5395"/>
      <c r="J13" s="5395"/>
      <c r="K13" s="5395"/>
      <c r="L13" s="5395"/>
      <c r="M13" s="5395"/>
      <c r="N13" s="5395"/>
      <c r="O13" s="5395"/>
      <c r="P13" s="5395"/>
      <c r="Q13" s="5395"/>
      <c r="R13" s="5395"/>
      <c r="S13" s="5395"/>
      <c r="T13" s="5395"/>
      <c r="U13" s="5395"/>
      <c r="V13" s="5395"/>
    </row>
    <row r="14" spans="1:22" s="937" customFormat="1" ht="24" customHeight="1" x14ac:dyDescent="0.25">
      <c r="A14" s="5403" t="s">
        <v>6</v>
      </c>
      <c r="B14" s="5369" t="s">
        <v>1167</v>
      </c>
      <c r="C14" s="5369" t="s">
        <v>1168</v>
      </c>
      <c r="D14" s="5369" t="s">
        <v>1169</v>
      </c>
      <c r="E14" s="5369" t="s">
        <v>261</v>
      </c>
      <c r="F14" s="5660"/>
      <c r="G14" s="5369" t="s">
        <v>262</v>
      </c>
      <c r="H14" s="5657"/>
      <c r="I14" s="5369" t="s">
        <v>79</v>
      </c>
      <c r="J14" s="5654"/>
      <c r="K14" s="5369" t="s">
        <v>1170</v>
      </c>
      <c r="L14" s="5669"/>
      <c r="M14" s="5670"/>
      <c r="N14" s="5671"/>
      <c r="O14" s="5672"/>
      <c r="P14" s="5673"/>
      <c r="Q14" s="5361" t="s">
        <v>1171</v>
      </c>
      <c r="R14" s="5674"/>
      <c r="S14" s="5675"/>
      <c r="T14" s="5676"/>
      <c r="U14" s="5677"/>
      <c r="V14" s="5678"/>
    </row>
    <row r="15" spans="1:22" s="937" customFormat="1" ht="27" customHeight="1" x14ac:dyDescent="0.25">
      <c r="A15" s="5679"/>
      <c r="B15" s="5667"/>
      <c r="C15" s="5665"/>
      <c r="D15" s="5663"/>
      <c r="E15" s="5661"/>
      <c r="F15" s="5662"/>
      <c r="G15" s="5658"/>
      <c r="H15" s="5659"/>
      <c r="I15" s="5655"/>
      <c r="J15" s="5656"/>
      <c r="K15" s="5369" t="s">
        <v>1172</v>
      </c>
      <c r="L15" s="5653"/>
      <c r="M15" s="5369" t="s">
        <v>1173</v>
      </c>
      <c r="N15" s="5652"/>
      <c r="O15" s="5369" t="s">
        <v>1174</v>
      </c>
      <c r="P15" s="5651"/>
      <c r="Q15" s="5369" t="s">
        <v>1172</v>
      </c>
      <c r="R15" s="5650"/>
      <c r="S15" s="5369" t="s">
        <v>1173</v>
      </c>
      <c r="T15" s="5649"/>
      <c r="U15" s="5367" t="s">
        <v>1174</v>
      </c>
      <c r="V15" s="5648"/>
    </row>
    <row r="16" spans="1:22" s="937" customFormat="1" ht="39" customHeight="1" x14ac:dyDescent="0.25">
      <c r="A16" s="5680"/>
      <c r="B16" s="5668"/>
      <c r="C16" s="5666"/>
      <c r="D16" s="5664"/>
      <c r="E16" s="941" t="s">
        <v>625</v>
      </c>
      <c r="F16" s="998" t="s">
        <v>624</v>
      </c>
      <c r="G16" s="941" t="s">
        <v>625</v>
      </c>
      <c r="H16" s="998" t="s">
        <v>624</v>
      </c>
      <c r="I16" s="941" t="s">
        <v>625</v>
      </c>
      <c r="J16" s="998" t="s">
        <v>624</v>
      </c>
      <c r="K16" s="941" t="s">
        <v>625</v>
      </c>
      <c r="L16" s="998" t="s">
        <v>624</v>
      </c>
      <c r="M16" s="941" t="s">
        <v>625</v>
      </c>
      <c r="N16" s="998" t="s">
        <v>624</v>
      </c>
      <c r="O16" s="941" t="s">
        <v>625</v>
      </c>
      <c r="P16" s="998" t="s">
        <v>624</v>
      </c>
      <c r="Q16" s="941" t="s">
        <v>625</v>
      </c>
      <c r="R16" s="998" t="s">
        <v>624</v>
      </c>
      <c r="S16" s="941" t="s">
        <v>625</v>
      </c>
      <c r="T16" s="998" t="s">
        <v>624</v>
      </c>
      <c r="U16" s="941" t="s">
        <v>625</v>
      </c>
      <c r="V16" s="999" t="s">
        <v>624</v>
      </c>
    </row>
    <row r="17" spans="1:26" s="937" customFormat="1" ht="19.5" x14ac:dyDescent="0.25">
      <c r="A17" s="943">
        <v>1</v>
      </c>
      <c r="B17" s="941">
        <f t="shared" ref="B17:V17" si="0">A17+1</f>
        <v>2</v>
      </c>
      <c r="C17" s="941">
        <f t="shared" si="0"/>
        <v>3</v>
      </c>
      <c r="D17" s="941">
        <f t="shared" si="0"/>
        <v>4</v>
      </c>
      <c r="E17" s="941">
        <f t="shared" si="0"/>
        <v>5</v>
      </c>
      <c r="F17" s="998">
        <f t="shared" si="0"/>
        <v>6</v>
      </c>
      <c r="G17" s="941">
        <f t="shared" si="0"/>
        <v>7</v>
      </c>
      <c r="H17" s="998">
        <f t="shared" si="0"/>
        <v>8</v>
      </c>
      <c r="I17" s="941">
        <f t="shared" si="0"/>
        <v>9</v>
      </c>
      <c r="J17" s="998">
        <f t="shared" si="0"/>
        <v>10</v>
      </c>
      <c r="K17" s="941">
        <f t="shared" si="0"/>
        <v>11</v>
      </c>
      <c r="L17" s="998">
        <f t="shared" si="0"/>
        <v>12</v>
      </c>
      <c r="M17" s="941">
        <f t="shared" si="0"/>
        <v>13</v>
      </c>
      <c r="N17" s="998">
        <f t="shared" si="0"/>
        <v>14</v>
      </c>
      <c r="O17" s="941">
        <f t="shared" si="0"/>
        <v>15</v>
      </c>
      <c r="P17" s="998">
        <f t="shared" si="0"/>
        <v>16</v>
      </c>
      <c r="Q17" s="941">
        <f t="shared" si="0"/>
        <v>17</v>
      </c>
      <c r="R17" s="998">
        <f t="shared" si="0"/>
        <v>18</v>
      </c>
      <c r="S17" s="941">
        <f t="shared" si="0"/>
        <v>19</v>
      </c>
      <c r="T17" s="998">
        <f t="shared" si="0"/>
        <v>20</v>
      </c>
      <c r="U17" s="941">
        <f t="shared" si="0"/>
        <v>21</v>
      </c>
      <c r="V17" s="999">
        <f t="shared" si="0"/>
        <v>22</v>
      </c>
    </row>
    <row r="18" spans="1:26" ht="18.75" hidden="1" x14ac:dyDescent="0.25">
      <c r="A18" s="944"/>
      <c r="B18" s="945"/>
      <c r="C18" s="945"/>
      <c r="D18" s="1000"/>
      <c r="E18" s="1000"/>
      <c r="F18" s="1001"/>
      <c r="G18" s="1000"/>
      <c r="H18" s="1001"/>
      <c r="I18" s="1000"/>
      <c r="J18" s="1001"/>
      <c r="K18" s="1000"/>
      <c r="L18" s="1001"/>
      <c r="M18" s="1000"/>
      <c r="N18" s="1001"/>
      <c r="O18" s="1000"/>
      <c r="P18" s="1001"/>
      <c r="Q18" s="1000"/>
      <c r="R18" s="1001"/>
      <c r="S18" s="1000"/>
      <c r="T18" s="1001"/>
      <c r="U18" s="1000"/>
      <c r="V18" s="1002"/>
    </row>
    <row r="19" spans="1:26" ht="67.5" customHeight="1" x14ac:dyDescent="0.25">
      <c r="A19" s="940">
        <f t="shared" ref="A19:A24" si="1">A18+1</f>
        <v>1</v>
      </c>
      <c r="B19" s="946" t="s">
        <v>1175</v>
      </c>
      <c r="C19" s="947"/>
      <c r="D19" s="948" t="s">
        <v>408</v>
      </c>
      <c r="E19" s="952">
        <v>155</v>
      </c>
      <c r="F19" s="1003">
        <v>128</v>
      </c>
      <c r="G19" s="952">
        <v>140</v>
      </c>
      <c r="H19" s="1003">
        <v>112</v>
      </c>
      <c r="I19" s="952">
        <v>127</v>
      </c>
      <c r="J19" s="1003">
        <v>100</v>
      </c>
      <c r="K19" s="952">
        <v>112</v>
      </c>
      <c r="L19" s="1003">
        <v>87</v>
      </c>
      <c r="M19" s="952">
        <v>95</v>
      </c>
      <c r="N19" s="1003">
        <v>70</v>
      </c>
      <c r="O19" s="952">
        <v>75</v>
      </c>
      <c r="P19" s="1003">
        <v>52</v>
      </c>
      <c r="Q19" s="950"/>
      <c r="R19" s="1004"/>
      <c r="S19" s="950"/>
      <c r="T19" s="1004"/>
      <c r="U19" s="950"/>
      <c r="V19" s="1005"/>
      <c r="Z19" s="1006"/>
    </row>
    <row r="20" spans="1:26" ht="66.75" customHeight="1" x14ac:dyDescent="0.25">
      <c r="A20" s="940">
        <f t="shared" si="1"/>
        <v>2</v>
      </c>
      <c r="B20" s="946" t="s">
        <v>1590</v>
      </c>
      <c r="C20" s="947"/>
      <c r="D20" s="948" t="s">
        <v>408</v>
      </c>
      <c r="E20" s="952">
        <v>230</v>
      </c>
      <c r="F20" s="1003">
        <v>200</v>
      </c>
      <c r="G20" s="952">
        <v>202</v>
      </c>
      <c r="H20" s="1003">
        <v>174</v>
      </c>
      <c r="I20" s="952">
        <v>172</v>
      </c>
      <c r="J20" s="1003">
        <v>145</v>
      </c>
      <c r="K20" s="952">
        <v>142</v>
      </c>
      <c r="L20" s="1003">
        <v>114</v>
      </c>
      <c r="M20" s="952">
        <v>100</v>
      </c>
      <c r="N20" s="1003">
        <v>81</v>
      </c>
      <c r="O20" s="952">
        <v>80</v>
      </c>
      <c r="P20" s="1003">
        <v>62</v>
      </c>
      <c r="Q20" s="950"/>
      <c r="R20" s="1004"/>
      <c r="S20" s="950"/>
      <c r="T20" s="1004"/>
      <c r="U20" s="950"/>
      <c r="V20" s="1005"/>
    </row>
    <row r="21" spans="1:26" ht="60" customHeight="1" x14ac:dyDescent="0.25">
      <c r="A21" s="940">
        <f t="shared" si="1"/>
        <v>3</v>
      </c>
      <c r="B21" s="946" t="s">
        <v>420</v>
      </c>
      <c r="C21" s="947"/>
      <c r="D21" s="948" t="s">
        <v>408</v>
      </c>
      <c r="E21" s="952">
        <v>72</v>
      </c>
      <c r="F21" s="1003">
        <v>55</v>
      </c>
      <c r="G21" s="952">
        <v>66</v>
      </c>
      <c r="H21" s="1003">
        <v>50</v>
      </c>
      <c r="I21" s="952">
        <v>60</v>
      </c>
      <c r="J21" s="1003">
        <v>45</v>
      </c>
      <c r="K21" s="953">
        <v>54</v>
      </c>
      <c r="L21" s="1003">
        <v>40</v>
      </c>
      <c r="M21" s="952">
        <v>48</v>
      </c>
      <c r="N21" s="1003">
        <v>35</v>
      </c>
      <c r="O21" s="952">
        <v>42</v>
      </c>
      <c r="P21" s="1003">
        <v>30</v>
      </c>
      <c r="Q21" s="950"/>
      <c r="R21" s="1004"/>
      <c r="S21" s="950"/>
      <c r="T21" s="1004"/>
      <c r="U21" s="950"/>
      <c r="V21" s="1005"/>
    </row>
    <row r="22" spans="1:26" ht="93.75" x14ac:dyDescent="0.25">
      <c r="A22" s="940">
        <f t="shared" si="1"/>
        <v>4</v>
      </c>
      <c r="B22" s="946" t="s">
        <v>421</v>
      </c>
      <c r="C22" s="947"/>
      <c r="D22" s="948" t="s">
        <v>408</v>
      </c>
      <c r="E22" s="952">
        <v>85</v>
      </c>
      <c r="F22" s="1003">
        <v>76</v>
      </c>
      <c r="G22" s="952">
        <v>79</v>
      </c>
      <c r="H22" s="1003">
        <v>70</v>
      </c>
      <c r="I22" s="952">
        <v>73</v>
      </c>
      <c r="J22" s="1003">
        <v>64</v>
      </c>
      <c r="K22" s="953">
        <v>67</v>
      </c>
      <c r="L22" s="1003">
        <v>58</v>
      </c>
      <c r="M22" s="952">
        <v>61</v>
      </c>
      <c r="N22" s="1003">
        <v>52</v>
      </c>
      <c r="O22" s="952">
        <v>55</v>
      </c>
      <c r="P22" s="1003">
        <v>46</v>
      </c>
      <c r="Q22" s="950"/>
      <c r="R22" s="1004"/>
      <c r="S22" s="950"/>
      <c r="T22" s="1004"/>
      <c r="U22" s="950"/>
      <c r="V22" s="1005"/>
    </row>
    <row r="23" spans="1:26" ht="75" x14ac:dyDescent="0.25">
      <c r="A23" s="940">
        <f t="shared" si="1"/>
        <v>5</v>
      </c>
      <c r="B23" s="946" t="s">
        <v>422</v>
      </c>
      <c r="C23" s="947"/>
      <c r="D23" s="948" t="s">
        <v>408</v>
      </c>
      <c r="E23" s="952">
        <v>97</v>
      </c>
      <c r="F23" s="1003">
        <v>80</v>
      </c>
      <c r="G23" s="952">
        <v>90</v>
      </c>
      <c r="H23" s="1003">
        <v>74</v>
      </c>
      <c r="I23" s="952">
        <v>83</v>
      </c>
      <c r="J23" s="1003">
        <v>68</v>
      </c>
      <c r="K23" s="953">
        <v>76</v>
      </c>
      <c r="L23" s="1003">
        <v>62</v>
      </c>
      <c r="M23" s="952">
        <v>67</v>
      </c>
      <c r="N23" s="1003">
        <v>56</v>
      </c>
      <c r="O23" s="952">
        <v>60</v>
      </c>
      <c r="P23" s="1003">
        <v>50</v>
      </c>
      <c r="Q23" s="950"/>
      <c r="R23" s="1004"/>
      <c r="S23" s="950"/>
      <c r="T23" s="1004"/>
      <c r="U23" s="950"/>
      <c r="V23" s="1005"/>
    </row>
    <row r="24" spans="1:26" ht="54" customHeight="1" x14ac:dyDescent="0.25">
      <c r="A24" s="5403">
        <f t="shared" si="1"/>
        <v>6</v>
      </c>
      <c r="B24" s="5398" t="s">
        <v>1591</v>
      </c>
      <c r="C24" s="954" t="s">
        <v>1178</v>
      </c>
      <c r="D24" s="955" t="s">
        <v>1179</v>
      </c>
      <c r="E24" s="956"/>
      <c r="F24" s="1007"/>
      <c r="G24" s="956"/>
      <c r="H24" s="1007"/>
      <c r="I24" s="957">
        <v>4.5833333333333338E-4</v>
      </c>
      <c r="J24" s="1007">
        <v>4.8148148148148155E-4</v>
      </c>
      <c r="K24" s="958">
        <v>4.884259259259259E-4</v>
      </c>
      <c r="L24" s="1007">
        <v>5.2083333333333333E-4</v>
      </c>
      <c r="M24" s="957">
        <v>5.2777777777777773E-4</v>
      </c>
      <c r="N24" s="1007">
        <v>5.6250000000000007E-4</v>
      </c>
      <c r="O24" s="957">
        <v>5.7291666666666667E-4</v>
      </c>
      <c r="P24" s="1007">
        <v>6.134259259259259E-4</v>
      </c>
      <c r="Q24" s="956"/>
      <c r="R24" s="1007"/>
      <c r="S24" s="956"/>
      <c r="T24" s="1007"/>
      <c r="U24" s="956"/>
      <c r="V24" s="1008"/>
    </row>
    <row r="25" spans="1:26" ht="54" customHeight="1" x14ac:dyDescent="0.25">
      <c r="A25" s="5681"/>
      <c r="B25" s="5744"/>
      <c r="C25" s="960" t="s">
        <v>1180</v>
      </c>
      <c r="D25" s="961" t="s">
        <v>1179</v>
      </c>
      <c r="E25" s="963" t="s">
        <v>1592</v>
      </c>
      <c r="F25" s="1009" t="s">
        <v>1593</v>
      </c>
      <c r="G25" s="963" t="s">
        <v>1594</v>
      </c>
      <c r="H25" s="1009" t="s">
        <v>1595</v>
      </c>
      <c r="I25" s="963" t="s">
        <v>1185</v>
      </c>
      <c r="J25" s="1009" t="s">
        <v>1186</v>
      </c>
      <c r="K25" s="964" t="s">
        <v>1187</v>
      </c>
      <c r="L25" s="1009" t="s">
        <v>1188</v>
      </c>
      <c r="M25" s="964" t="s">
        <v>1189</v>
      </c>
      <c r="N25" s="1009" t="s">
        <v>1190</v>
      </c>
      <c r="O25" s="964" t="s">
        <v>1191</v>
      </c>
      <c r="P25" s="1009" t="s">
        <v>1192</v>
      </c>
      <c r="Q25" s="965"/>
      <c r="R25" s="1010"/>
      <c r="S25" s="965"/>
      <c r="T25" s="1010"/>
      <c r="U25" s="965"/>
      <c r="V25" s="1011"/>
    </row>
    <row r="26" spans="1:26" ht="56.25" customHeight="1" x14ac:dyDescent="0.25">
      <c r="A26" s="5403">
        <f>A24+1</f>
        <v>7</v>
      </c>
      <c r="B26" s="5398" t="s">
        <v>1193</v>
      </c>
      <c r="C26" s="954" t="s">
        <v>1178</v>
      </c>
      <c r="D26" s="955" t="s">
        <v>1179</v>
      </c>
      <c r="E26" s="956"/>
      <c r="F26" s="1007"/>
      <c r="G26" s="956"/>
      <c r="H26" s="1007"/>
      <c r="I26" s="957">
        <v>1.2152777777777778E-3</v>
      </c>
      <c r="J26" s="1007">
        <v>1.3715277777777779E-3</v>
      </c>
      <c r="K26" s="957">
        <v>1.3020833333333333E-3</v>
      </c>
      <c r="L26" s="1007">
        <v>1.4756944444444444E-3</v>
      </c>
      <c r="M26" s="957">
        <v>1.417824074074074E-3</v>
      </c>
      <c r="N26" s="1007">
        <v>1.5740740740740741E-3</v>
      </c>
      <c r="O26" s="957">
        <v>1.5277777777777779E-3</v>
      </c>
      <c r="P26" s="1007">
        <v>1.6956018518518518E-3</v>
      </c>
      <c r="Q26" s="957">
        <v>1.6840277777777776E-3</v>
      </c>
      <c r="R26" s="1007">
        <v>1.8634259259259261E-3</v>
      </c>
      <c r="S26" s="957">
        <v>1.8518518518518517E-3</v>
      </c>
      <c r="T26" s="1007">
        <v>2.0254629629629629E-3</v>
      </c>
      <c r="U26" s="957">
        <v>2.0138888888888888E-3</v>
      </c>
      <c r="V26" s="1008">
        <v>2.1990740740740742E-3</v>
      </c>
    </row>
    <row r="27" spans="1:26" ht="57" customHeight="1" x14ac:dyDescent="0.25">
      <c r="A27" s="5682"/>
      <c r="B27" s="5751"/>
      <c r="C27" s="960" t="s">
        <v>1180</v>
      </c>
      <c r="D27" s="961" t="s">
        <v>1179</v>
      </c>
      <c r="E27" s="963" t="s">
        <v>1596</v>
      </c>
      <c r="F27" s="1009" t="s">
        <v>1597</v>
      </c>
      <c r="G27" s="963" t="s">
        <v>1598</v>
      </c>
      <c r="H27" s="1009" t="s">
        <v>1599</v>
      </c>
      <c r="I27" s="963" t="s">
        <v>1600</v>
      </c>
      <c r="J27" s="1009" t="s">
        <v>1601</v>
      </c>
      <c r="K27" s="964" t="s">
        <v>1200</v>
      </c>
      <c r="L27" s="1009" t="s">
        <v>1201</v>
      </c>
      <c r="M27" s="963" t="s">
        <v>1202</v>
      </c>
      <c r="N27" s="1009" t="s">
        <v>1203</v>
      </c>
      <c r="O27" s="963" t="s">
        <v>1204</v>
      </c>
      <c r="P27" s="1012" t="s">
        <v>1205</v>
      </c>
      <c r="Q27" s="970" t="s">
        <v>1206</v>
      </c>
      <c r="R27" s="1010" t="s">
        <v>1207</v>
      </c>
      <c r="S27" s="970" t="s">
        <v>1208</v>
      </c>
      <c r="T27" s="1010" t="s">
        <v>1209</v>
      </c>
      <c r="U27" s="970" t="s">
        <v>1210</v>
      </c>
      <c r="V27" s="1011" t="s">
        <v>1211</v>
      </c>
    </row>
    <row r="28" spans="1:26" ht="54.75" customHeight="1" x14ac:dyDescent="0.25">
      <c r="A28" s="5403">
        <f>A26+1</f>
        <v>8</v>
      </c>
      <c r="B28" s="5398" t="s">
        <v>1212</v>
      </c>
      <c r="C28" s="954" t="s">
        <v>1178</v>
      </c>
      <c r="D28" s="955" t="s">
        <v>1179</v>
      </c>
      <c r="E28" s="956"/>
      <c r="F28" s="1007"/>
      <c r="G28" s="956"/>
      <c r="H28" s="1007"/>
      <c r="I28" s="957">
        <v>2.7777777777777779E-3</v>
      </c>
      <c r="J28" s="1007">
        <v>3.0960648148148149E-3</v>
      </c>
      <c r="K28" s="957">
        <v>2.9687500000000005E-3</v>
      </c>
      <c r="L28" s="1007">
        <v>3.2870370370370367E-3</v>
      </c>
      <c r="M28" s="957">
        <v>3.2002314814814814E-3</v>
      </c>
      <c r="N28" s="1007">
        <v>3.4490740740740745E-3</v>
      </c>
      <c r="O28" s="957">
        <v>3.472222222222222E-3</v>
      </c>
      <c r="P28" s="1007">
        <v>3.8657407407407408E-3</v>
      </c>
      <c r="Q28" s="1013">
        <v>3.7962962962962963E-3</v>
      </c>
      <c r="R28" s="1014">
        <v>4.108796296296297E-3</v>
      </c>
      <c r="S28" s="1013">
        <v>4.0798611111111114E-3</v>
      </c>
      <c r="T28" s="1014">
        <v>4.5370370370370365E-3</v>
      </c>
      <c r="U28" s="1013">
        <v>4.4907407407407405E-3</v>
      </c>
      <c r="V28" s="1015">
        <v>4.8611111111111112E-3</v>
      </c>
    </row>
    <row r="29" spans="1:26" ht="55.5" customHeight="1" x14ac:dyDescent="0.25">
      <c r="A29" s="5683"/>
      <c r="B29" s="5759"/>
      <c r="C29" s="960" t="s">
        <v>1180</v>
      </c>
      <c r="D29" s="961" t="s">
        <v>1179</v>
      </c>
      <c r="E29" s="963" t="s">
        <v>1602</v>
      </c>
      <c r="F29" s="1009" t="s">
        <v>1603</v>
      </c>
      <c r="G29" s="963" t="s">
        <v>1604</v>
      </c>
      <c r="H29" s="1009" t="s">
        <v>1334</v>
      </c>
      <c r="I29" s="963" t="s">
        <v>1605</v>
      </c>
      <c r="J29" s="1009" t="s">
        <v>1606</v>
      </c>
      <c r="K29" s="964" t="s">
        <v>1219</v>
      </c>
      <c r="L29" s="1009" t="s">
        <v>1220</v>
      </c>
      <c r="M29" s="963" t="s">
        <v>1221</v>
      </c>
      <c r="N29" s="1009" t="s">
        <v>1222</v>
      </c>
      <c r="O29" s="963" t="s">
        <v>1223</v>
      </c>
      <c r="P29" s="1009" t="s">
        <v>1224</v>
      </c>
      <c r="Q29" s="964" t="s">
        <v>1225</v>
      </c>
      <c r="R29" s="1009" t="s">
        <v>1226</v>
      </c>
      <c r="S29" s="964" t="s">
        <v>1227</v>
      </c>
      <c r="T29" s="1009" t="s">
        <v>1228</v>
      </c>
      <c r="U29" s="964" t="s">
        <v>1229</v>
      </c>
      <c r="V29" s="1016" t="s">
        <v>1230</v>
      </c>
    </row>
    <row r="30" spans="1:26" ht="55.5" customHeight="1" x14ac:dyDescent="0.25">
      <c r="A30" s="5403">
        <f>A28+1</f>
        <v>9</v>
      </c>
      <c r="B30" s="5398" t="s">
        <v>1231</v>
      </c>
      <c r="C30" s="954" t="s">
        <v>1178</v>
      </c>
      <c r="D30" s="955" t="s">
        <v>1179</v>
      </c>
      <c r="E30" s="956"/>
      <c r="F30" s="1007"/>
      <c r="G30" s="956"/>
      <c r="H30" s="1007"/>
      <c r="I30" s="957">
        <v>2.4074074074074077E-4</v>
      </c>
      <c r="J30" s="1007">
        <v>2.9861111111111109E-4</v>
      </c>
      <c r="K30" s="957">
        <v>2.6620370370370372E-4</v>
      </c>
      <c r="L30" s="1007">
        <v>3.2407407407407406E-4</v>
      </c>
      <c r="M30" s="957">
        <v>2.9513888888888889E-4</v>
      </c>
      <c r="N30" s="1007">
        <v>3.5069444444444444E-4</v>
      </c>
      <c r="O30" s="957">
        <v>3.4259259259259263E-4</v>
      </c>
      <c r="P30" s="1007">
        <v>4.0509259259259258E-4</v>
      </c>
      <c r="Q30" s="957">
        <v>3.8194444444444446E-4</v>
      </c>
      <c r="R30" s="1007">
        <v>4.4560185185185192E-4</v>
      </c>
      <c r="S30" s="957">
        <v>4.1898148148148155E-4</v>
      </c>
      <c r="T30" s="1007">
        <v>4.7453703703703704E-4</v>
      </c>
      <c r="U30" s="957">
        <v>4.5138888888888892E-4</v>
      </c>
      <c r="V30" s="1008">
        <v>5.2083333333333333E-4</v>
      </c>
    </row>
    <row r="31" spans="1:26" ht="55.5" customHeight="1" x14ac:dyDescent="0.25">
      <c r="A31" s="5691"/>
      <c r="B31" s="5835"/>
      <c r="C31" s="960" t="s">
        <v>1180</v>
      </c>
      <c r="D31" s="961" t="s">
        <v>1179</v>
      </c>
      <c r="E31" s="963" t="s">
        <v>1607</v>
      </c>
      <c r="F31" s="1009" t="s">
        <v>1608</v>
      </c>
      <c r="G31" s="963" t="s">
        <v>1255</v>
      </c>
      <c r="H31" s="1009" t="s">
        <v>1609</v>
      </c>
      <c r="I31" s="963" t="s">
        <v>1235</v>
      </c>
      <c r="J31" s="1009" t="s">
        <v>1236</v>
      </c>
      <c r="K31" s="964" t="s">
        <v>1237</v>
      </c>
      <c r="L31" s="1009" t="s">
        <v>1238</v>
      </c>
      <c r="M31" s="963" t="s">
        <v>1239</v>
      </c>
      <c r="N31" s="1009" t="s">
        <v>1240</v>
      </c>
      <c r="O31" s="963" t="s">
        <v>1241</v>
      </c>
      <c r="P31" s="1009" t="s">
        <v>1242</v>
      </c>
      <c r="Q31" s="964" t="s">
        <v>1243</v>
      </c>
      <c r="R31" s="1009" t="s">
        <v>1244</v>
      </c>
      <c r="S31" s="964" t="s">
        <v>1245</v>
      </c>
      <c r="T31" s="1009" t="s">
        <v>1246</v>
      </c>
      <c r="U31" s="964" t="s">
        <v>1247</v>
      </c>
      <c r="V31" s="1016" t="s">
        <v>1188</v>
      </c>
    </row>
    <row r="32" spans="1:26" ht="53.25" customHeight="1" x14ac:dyDescent="0.25">
      <c r="A32" s="5403">
        <f>A30+1</f>
        <v>10</v>
      </c>
      <c r="B32" s="5398" t="s">
        <v>1248</v>
      </c>
      <c r="C32" s="954" t="s">
        <v>1178</v>
      </c>
      <c r="D32" s="955" t="s">
        <v>1179</v>
      </c>
      <c r="E32" s="956"/>
      <c r="F32" s="1007"/>
      <c r="G32" s="956"/>
      <c r="H32" s="1007"/>
      <c r="I32" s="957">
        <v>1.8749999999999998E-4</v>
      </c>
      <c r="J32" s="1007">
        <v>2.1064814814814815E-4</v>
      </c>
      <c r="K32" s="957">
        <v>2.0023148148148146E-4</v>
      </c>
      <c r="L32" s="1007">
        <v>2.2453703703703701E-4</v>
      </c>
      <c r="M32" s="957">
        <v>2.175925925925926E-4</v>
      </c>
      <c r="N32" s="1007">
        <v>2.4421296296296295E-4</v>
      </c>
      <c r="O32" s="957">
        <v>2.3611111111111109E-4</v>
      </c>
      <c r="P32" s="1007">
        <v>2.6504629629629626E-4</v>
      </c>
      <c r="Q32" s="956"/>
      <c r="R32" s="1007"/>
      <c r="S32" s="956"/>
      <c r="T32" s="1007"/>
      <c r="U32" s="956"/>
      <c r="V32" s="1008"/>
    </row>
    <row r="33" spans="1:22" ht="53.25" customHeight="1" x14ac:dyDescent="0.25">
      <c r="A33" s="5688"/>
      <c r="B33" s="5834"/>
      <c r="C33" s="960" t="s">
        <v>1180</v>
      </c>
      <c r="D33" s="961" t="s">
        <v>1179</v>
      </c>
      <c r="E33" s="963" t="s">
        <v>1249</v>
      </c>
      <c r="F33" s="1009" t="s">
        <v>1250</v>
      </c>
      <c r="G33" s="963" t="s">
        <v>1251</v>
      </c>
      <c r="H33" s="1009" t="s">
        <v>1252</v>
      </c>
      <c r="I33" s="963" t="s">
        <v>1253</v>
      </c>
      <c r="J33" s="1009" t="s">
        <v>1254</v>
      </c>
      <c r="K33" s="964" t="s">
        <v>1252</v>
      </c>
      <c r="L33" s="1009" t="s">
        <v>1255</v>
      </c>
      <c r="M33" s="963" t="s">
        <v>1233</v>
      </c>
      <c r="N33" s="1009" t="s">
        <v>1256</v>
      </c>
      <c r="O33" s="963" t="s">
        <v>1257</v>
      </c>
      <c r="P33" s="1009" t="s">
        <v>1258</v>
      </c>
      <c r="Q33" s="973"/>
      <c r="R33" s="1009"/>
      <c r="S33" s="973"/>
      <c r="T33" s="1009"/>
      <c r="U33" s="973"/>
      <c r="V33" s="1016"/>
    </row>
    <row r="34" spans="1:22" ht="54.75" customHeight="1" x14ac:dyDescent="0.25">
      <c r="A34" s="5403">
        <f>A32+1</f>
        <v>11</v>
      </c>
      <c r="B34" s="5398" t="s">
        <v>1610</v>
      </c>
      <c r="C34" s="954" t="s">
        <v>1178</v>
      </c>
      <c r="D34" s="955" t="s">
        <v>1179</v>
      </c>
      <c r="E34" s="956"/>
      <c r="F34" s="1007"/>
      <c r="G34" s="956"/>
      <c r="H34" s="1007"/>
      <c r="I34" s="957">
        <v>2.5115740740740735E-4</v>
      </c>
      <c r="J34" s="1007">
        <v>2.8935185185185189E-4</v>
      </c>
      <c r="K34" s="957">
        <v>2.6736111111111112E-4</v>
      </c>
      <c r="L34" s="1007">
        <v>3.078703703703704E-4</v>
      </c>
      <c r="M34" s="957">
        <v>2.8935185185185189E-4</v>
      </c>
      <c r="N34" s="1007">
        <v>3.2986111111111107E-4</v>
      </c>
      <c r="O34" s="957">
        <v>3.1018518518518521E-4</v>
      </c>
      <c r="P34" s="1007">
        <v>3.5648148148148149E-4</v>
      </c>
      <c r="Q34" s="958">
        <v>3.4490740740740743E-4</v>
      </c>
      <c r="R34" s="1007">
        <v>3.8773148148148152E-4</v>
      </c>
      <c r="S34" s="957">
        <v>3.7499999999999995E-4</v>
      </c>
      <c r="T34" s="1007">
        <v>4.2476851851851855E-4</v>
      </c>
      <c r="U34" s="975" t="s">
        <v>1260</v>
      </c>
      <c r="V34" s="1008">
        <v>4.6064814814814818E-4</v>
      </c>
    </row>
    <row r="35" spans="1:22" ht="56.25" customHeight="1" x14ac:dyDescent="0.25">
      <c r="A35" s="5689"/>
      <c r="B35" s="5833"/>
      <c r="C35" s="960" t="s">
        <v>1180</v>
      </c>
      <c r="D35" s="961" t="s">
        <v>1179</v>
      </c>
      <c r="E35" s="963" t="s">
        <v>1611</v>
      </c>
      <c r="F35" s="1009" t="s">
        <v>1612</v>
      </c>
      <c r="G35" s="963" t="s">
        <v>1613</v>
      </c>
      <c r="H35" s="1009" t="s">
        <v>1614</v>
      </c>
      <c r="I35" s="963" t="s">
        <v>1615</v>
      </c>
      <c r="J35" s="1009" t="s">
        <v>1616</v>
      </c>
      <c r="K35" s="964" t="s">
        <v>1617</v>
      </c>
      <c r="L35" s="1009" t="s">
        <v>1618</v>
      </c>
      <c r="M35" s="963" t="s">
        <v>1616</v>
      </c>
      <c r="N35" s="1009" t="s">
        <v>1619</v>
      </c>
      <c r="O35" s="963" t="s">
        <v>1620</v>
      </c>
      <c r="P35" s="1009" t="s">
        <v>1621</v>
      </c>
      <c r="Q35" s="964" t="s">
        <v>1272</v>
      </c>
      <c r="R35" s="1009" t="s">
        <v>1273</v>
      </c>
      <c r="S35" s="964" t="s">
        <v>1274</v>
      </c>
      <c r="T35" s="1009" t="s">
        <v>1275</v>
      </c>
      <c r="U35" s="964" t="s">
        <v>1276</v>
      </c>
      <c r="V35" s="1016" t="s">
        <v>1277</v>
      </c>
    </row>
    <row r="36" spans="1:22" ht="55.5" customHeight="1" x14ac:dyDescent="0.25">
      <c r="A36" s="5403">
        <f>A34+1</f>
        <v>12</v>
      </c>
      <c r="B36" s="5398" t="s">
        <v>1622</v>
      </c>
      <c r="C36" s="954" t="s">
        <v>1178</v>
      </c>
      <c r="D36" s="955" t="s">
        <v>1179</v>
      </c>
      <c r="E36" s="956"/>
      <c r="F36" s="1007"/>
      <c r="G36" s="956"/>
      <c r="H36" s="1007"/>
      <c r="I36" s="958">
        <v>5.5671296296296296E-4</v>
      </c>
      <c r="J36" s="1007">
        <v>6.2268518518518521E-4</v>
      </c>
      <c r="K36" s="957">
        <v>5.9606481481481479E-4</v>
      </c>
      <c r="L36" s="1007">
        <v>6.6666666666666664E-4</v>
      </c>
      <c r="M36" s="957">
        <v>6.4814814814814813E-4</v>
      </c>
      <c r="N36" s="1007">
        <v>7.175925925925927E-4</v>
      </c>
      <c r="O36" s="957">
        <v>7.0023148148148147E-4</v>
      </c>
      <c r="P36" s="1007">
        <v>7.8703703703703705E-4</v>
      </c>
      <c r="Q36" s="957">
        <v>7.6388888888888893E-4</v>
      </c>
      <c r="R36" s="1007">
        <v>8.5069444444444461E-4</v>
      </c>
      <c r="S36" s="957">
        <v>8.3333333333333339E-4</v>
      </c>
      <c r="T36" s="1007">
        <v>9.2129629629629636E-4</v>
      </c>
      <c r="U36" s="957">
        <v>9.0856481481481485E-4</v>
      </c>
      <c r="V36" s="1008">
        <v>9.9537037037037042E-4</v>
      </c>
    </row>
    <row r="37" spans="1:22" ht="57" customHeight="1" x14ac:dyDescent="0.25">
      <c r="A37" s="5687"/>
      <c r="B37" s="5832"/>
      <c r="C37" s="960" t="s">
        <v>1180</v>
      </c>
      <c r="D37" s="961" t="s">
        <v>1179</v>
      </c>
      <c r="E37" s="963" t="s">
        <v>1346</v>
      </c>
      <c r="F37" s="1009" t="s">
        <v>1190</v>
      </c>
      <c r="G37" s="963" t="s">
        <v>1347</v>
      </c>
      <c r="H37" s="1009" t="s">
        <v>1348</v>
      </c>
      <c r="I37" s="963" t="s">
        <v>1349</v>
      </c>
      <c r="J37" s="1009" t="s">
        <v>1350</v>
      </c>
      <c r="K37" s="964" t="s">
        <v>1351</v>
      </c>
      <c r="L37" s="1009" t="s">
        <v>1352</v>
      </c>
      <c r="M37" s="963" t="s">
        <v>1353</v>
      </c>
      <c r="N37" s="1009" t="s">
        <v>1354</v>
      </c>
      <c r="O37" s="963" t="s">
        <v>1355</v>
      </c>
      <c r="P37" s="1009" t="s">
        <v>1356</v>
      </c>
      <c r="Q37" s="964" t="s">
        <v>1290</v>
      </c>
      <c r="R37" s="1009" t="s">
        <v>1291</v>
      </c>
      <c r="S37" s="964" t="s">
        <v>1292</v>
      </c>
      <c r="T37" s="1009" t="s">
        <v>1293</v>
      </c>
      <c r="U37" s="964" t="s">
        <v>1294</v>
      </c>
      <c r="V37" s="1016" t="s">
        <v>1295</v>
      </c>
    </row>
    <row r="38" spans="1:22" ht="53.25" customHeight="1" x14ac:dyDescent="0.25">
      <c r="A38" s="5403">
        <f>A36+1</f>
        <v>13</v>
      </c>
      <c r="B38" s="5398" t="s">
        <v>1623</v>
      </c>
      <c r="C38" s="954" t="s">
        <v>1178</v>
      </c>
      <c r="D38" s="955" t="s">
        <v>1179</v>
      </c>
      <c r="E38" s="956"/>
      <c r="F38" s="1007"/>
      <c r="G38" s="956"/>
      <c r="H38" s="1007"/>
      <c r="I38" s="957">
        <v>1.25E-3</v>
      </c>
      <c r="J38" s="1007">
        <v>1.3842592592592593E-3</v>
      </c>
      <c r="K38" s="957">
        <v>1.3402777777777777E-3</v>
      </c>
      <c r="L38" s="1007">
        <v>1.486111111111111E-3</v>
      </c>
      <c r="M38" s="957">
        <v>1.4467592592592594E-3</v>
      </c>
      <c r="N38" s="1007">
        <v>1.5914351851851851E-3</v>
      </c>
      <c r="O38" s="957">
        <v>1.5740740740740741E-3</v>
      </c>
      <c r="P38" s="1007">
        <v>1.7303240740740742E-3</v>
      </c>
      <c r="Q38" s="957">
        <v>1.71875E-3</v>
      </c>
      <c r="R38" s="1007">
        <v>1.8981481481481482E-3</v>
      </c>
      <c r="S38" s="957">
        <v>1.8750000000000001E-3</v>
      </c>
      <c r="T38" s="1007">
        <v>2.0659722222222221E-3</v>
      </c>
      <c r="U38" s="957">
        <v>2.0254629629629629E-3</v>
      </c>
      <c r="V38" s="1008">
        <v>2.2222222222222222E-3</v>
      </c>
    </row>
    <row r="39" spans="1:22" ht="53.25" customHeight="1" x14ac:dyDescent="0.25">
      <c r="A39" s="5686"/>
      <c r="B39" s="5831"/>
      <c r="C39" s="960" t="s">
        <v>1180</v>
      </c>
      <c r="D39" s="961" t="s">
        <v>1179</v>
      </c>
      <c r="E39" s="963" t="s">
        <v>1624</v>
      </c>
      <c r="F39" s="1009" t="s">
        <v>1625</v>
      </c>
      <c r="G39" s="963" t="s">
        <v>1626</v>
      </c>
      <c r="H39" s="1009" t="s">
        <v>1627</v>
      </c>
      <c r="I39" s="963" t="s">
        <v>1628</v>
      </c>
      <c r="J39" s="1009" t="s">
        <v>1629</v>
      </c>
      <c r="K39" s="964" t="s">
        <v>1630</v>
      </c>
      <c r="L39" s="1009" t="s">
        <v>1631</v>
      </c>
      <c r="M39" s="963" t="s">
        <v>1632</v>
      </c>
      <c r="N39" s="1009" t="s">
        <v>1633</v>
      </c>
      <c r="O39" s="963" t="s">
        <v>1203</v>
      </c>
      <c r="P39" s="1009" t="s">
        <v>1634</v>
      </c>
      <c r="Q39" s="964" t="s">
        <v>1309</v>
      </c>
      <c r="R39" s="1009" t="s">
        <v>1310</v>
      </c>
      <c r="S39" s="964" t="s">
        <v>1311</v>
      </c>
      <c r="T39" s="1009" t="s">
        <v>1312</v>
      </c>
      <c r="U39" s="964" t="s">
        <v>1209</v>
      </c>
      <c r="V39" s="1016" t="s">
        <v>1313</v>
      </c>
    </row>
    <row r="40" spans="1:22" ht="54.75" customHeight="1" x14ac:dyDescent="0.25">
      <c r="A40" s="5403">
        <f>A38+1</f>
        <v>14</v>
      </c>
      <c r="B40" s="5398" t="s">
        <v>1635</v>
      </c>
      <c r="C40" s="954" t="s">
        <v>1178</v>
      </c>
      <c r="D40" s="955" t="s">
        <v>1179</v>
      </c>
      <c r="E40" s="976"/>
      <c r="F40" s="1017"/>
      <c r="G40" s="976"/>
      <c r="H40" s="1017"/>
      <c r="I40" s="975" t="s">
        <v>1636</v>
      </c>
      <c r="J40" s="1017" t="s">
        <v>1637</v>
      </c>
      <c r="K40" s="975" t="s">
        <v>1317</v>
      </c>
      <c r="L40" s="1017" t="s">
        <v>1318</v>
      </c>
      <c r="M40" s="975" t="s">
        <v>1319</v>
      </c>
      <c r="N40" s="1017" t="s">
        <v>1320</v>
      </c>
      <c r="O40" s="975" t="s">
        <v>1320</v>
      </c>
      <c r="P40" s="1017" t="s">
        <v>1321</v>
      </c>
      <c r="Q40" s="975" t="s">
        <v>1322</v>
      </c>
      <c r="R40" s="1017" t="s">
        <v>1323</v>
      </c>
      <c r="S40" s="975" t="s">
        <v>1324</v>
      </c>
      <c r="T40" s="1017" t="s">
        <v>1325</v>
      </c>
      <c r="U40" s="975" t="s">
        <v>1326</v>
      </c>
      <c r="V40" s="1018" t="s">
        <v>1327</v>
      </c>
    </row>
    <row r="41" spans="1:22" ht="56.25" customHeight="1" x14ac:dyDescent="0.25">
      <c r="A41" s="5692"/>
      <c r="B41" s="5830"/>
      <c r="C41" s="960" t="s">
        <v>1180</v>
      </c>
      <c r="D41" s="961" t="s">
        <v>1179</v>
      </c>
      <c r="E41" s="963" t="s">
        <v>1638</v>
      </c>
      <c r="F41" s="1009" t="s">
        <v>1639</v>
      </c>
      <c r="G41" s="963" t="s">
        <v>1640</v>
      </c>
      <c r="H41" s="1009" t="s">
        <v>1641</v>
      </c>
      <c r="I41" s="963" t="s">
        <v>1642</v>
      </c>
      <c r="J41" s="1009" t="s">
        <v>1510</v>
      </c>
      <c r="K41" s="964" t="s">
        <v>1334</v>
      </c>
      <c r="L41" s="1009" t="s">
        <v>1335</v>
      </c>
      <c r="M41" s="963" t="s">
        <v>1336</v>
      </c>
      <c r="N41" s="1009" t="s">
        <v>1337</v>
      </c>
      <c r="O41" s="963" t="s">
        <v>1337</v>
      </c>
      <c r="P41" s="1009" t="s">
        <v>1338</v>
      </c>
      <c r="Q41" s="964" t="s">
        <v>1339</v>
      </c>
      <c r="R41" s="1009" t="s">
        <v>1340</v>
      </c>
      <c r="S41" s="964" t="s">
        <v>1341</v>
      </c>
      <c r="T41" s="1009" t="s">
        <v>1342</v>
      </c>
      <c r="U41" s="964" t="s">
        <v>1343</v>
      </c>
      <c r="V41" s="1016" t="s">
        <v>1344</v>
      </c>
    </row>
    <row r="42" spans="1:22" ht="101.25" customHeight="1" x14ac:dyDescent="0.25">
      <c r="A42" s="5403">
        <f>A40+1</f>
        <v>15</v>
      </c>
      <c r="B42" s="5398" t="s">
        <v>1345</v>
      </c>
      <c r="C42" s="954" t="s">
        <v>1178</v>
      </c>
      <c r="D42" s="955" t="s">
        <v>1179</v>
      </c>
      <c r="E42" s="956"/>
      <c r="F42" s="1007"/>
      <c r="G42" s="956"/>
      <c r="H42" s="1007"/>
      <c r="I42" s="958">
        <v>5.5671296296296296E-4</v>
      </c>
      <c r="J42" s="1007">
        <v>6.2268518518518521E-4</v>
      </c>
      <c r="K42" s="957">
        <v>5.9606481481481479E-4</v>
      </c>
      <c r="L42" s="1007">
        <v>6.6666666666666664E-4</v>
      </c>
      <c r="M42" s="957">
        <v>6.4814814814814813E-4</v>
      </c>
      <c r="N42" s="1007">
        <v>7.175925925925927E-4</v>
      </c>
      <c r="O42" s="957">
        <v>7.0023148148148147E-4</v>
      </c>
      <c r="P42" s="1007">
        <v>7.8703703703703705E-4</v>
      </c>
      <c r="Q42" s="957">
        <v>7.6388888888888893E-4</v>
      </c>
      <c r="R42" s="1007">
        <v>8.5069444444444461E-4</v>
      </c>
      <c r="S42" s="957">
        <v>8.3333333333333339E-4</v>
      </c>
      <c r="T42" s="1007">
        <v>9.2129629629629636E-4</v>
      </c>
      <c r="U42" s="957">
        <v>9.0856481481481485E-4</v>
      </c>
      <c r="V42" s="1008">
        <v>9.9537037037037042E-4</v>
      </c>
    </row>
    <row r="43" spans="1:22" ht="101.25" customHeight="1" x14ac:dyDescent="0.25">
      <c r="A43" s="5685"/>
      <c r="B43" s="5829"/>
      <c r="C43" s="960" t="s">
        <v>1180</v>
      </c>
      <c r="D43" s="961" t="s">
        <v>1179</v>
      </c>
      <c r="E43" s="963" t="s">
        <v>1346</v>
      </c>
      <c r="F43" s="1009" t="s">
        <v>1190</v>
      </c>
      <c r="G43" s="963" t="s">
        <v>1347</v>
      </c>
      <c r="H43" s="1009" t="s">
        <v>1348</v>
      </c>
      <c r="I43" s="963" t="s">
        <v>1349</v>
      </c>
      <c r="J43" s="1009" t="s">
        <v>1350</v>
      </c>
      <c r="K43" s="964" t="s">
        <v>1351</v>
      </c>
      <c r="L43" s="1009" t="s">
        <v>1352</v>
      </c>
      <c r="M43" s="963" t="s">
        <v>1353</v>
      </c>
      <c r="N43" s="1009" t="s">
        <v>1354</v>
      </c>
      <c r="O43" s="963" t="s">
        <v>1355</v>
      </c>
      <c r="P43" s="1009" t="s">
        <v>1356</v>
      </c>
      <c r="Q43" s="964" t="s">
        <v>1290</v>
      </c>
      <c r="R43" s="1009" t="s">
        <v>1291</v>
      </c>
      <c r="S43" s="964" t="s">
        <v>1292</v>
      </c>
      <c r="T43" s="1009" t="s">
        <v>1293</v>
      </c>
      <c r="U43" s="964" t="s">
        <v>1294</v>
      </c>
      <c r="V43" s="1016" t="s">
        <v>1295</v>
      </c>
    </row>
    <row r="44" spans="1:22" ht="53.25" customHeight="1" x14ac:dyDescent="0.25">
      <c r="A44" s="5403">
        <f>A42+1</f>
        <v>16</v>
      </c>
      <c r="B44" s="5398" t="s">
        <v>1357</v>
      </c>
      <c r="C44" s="954" t="s">
        <v>1178</v>
      </c>
      <c r="D44" s="955" t="s">
        <v>1179</v>
      </c>
      <c r="E44" s="956"/>
      <c r="F44" s="1007"/>
      <c r="G44" s="956"/>
      <c r="H44" s="1007"/>
      <c r="I44" s="957">
        <v>2.0370370370370369E-4</v>
      </c>
      <c r="J44" s="1007">
        <v>2.2800925925925926E-4</v>
      </c>
      <c r="K44" s="957">
        <v>2.1412037037037038E-4</v>
      </c>
      <c r="L44" s="1007">
        <v>2.4421296296296295E-4</v>
      </c>
      <c r="M44" s="957">
        <v>2.3263888888888889E-4</v>
      </c>
      <c r="N44" s="1007">
        <v>2.6504629629629626E-4</v>
      </c>
      <c r="O44" s="957">
        <v>2.5347222222222221E-4</v>
      </c>
      <c r="P44" s="1007">
        <v>2.8703703703703703E-4</v>
      </c>
      <c r="Q44" s="975" t="s">
        <v>1358</v>
      </c>
      <c r="R44" s="1017" t="s">
        <v>1359</v>
      </c>
      <c r="S44" s="975" t="s">
        <v>1360</v>
      </c>
      <c r="T44" s="1017" t="s">
        <v>1361</v>
      </c>
      <c r="U44" s="975" t="s">
        <v>1362</v>
      </c>
      <c r="V44" s="1018" t="s">
        <v>1363</v>
      </c>
    </row>
    <row r="45" spans="1:22" ht="53.25" customHeight="1" x14ac:dyDescent="0.25">
      <c r="A45" s="5684"/>
      <c r="B45" s="5743"/>
      <c r="C45" s="960" t="s">
        <v>1180</v>
      </c>
      <c r="D45" s="961" t="s">
        <v>1179</v>
      </c>
      <c r="E45" s="963" t="s">
        <v>1232</v>
      </c>
      <c r="F45" s="1009" t="s">
        <v>1234</v>
      </c>
      <c r="G45" s="963" t="s">
        <v>1364</v>
      </c>
      <c r="H45" s="1009" t="s">
        <v>1365</v>
      </c>
      <c r="I45" s="963" t="s">
        <v>1366</v>
      </c>
      <c r="J45" s="1009" t="s">
        <v>1367</v>
      </c>
      <c r="K45" s="964" t="s">
        <v>1368</v>
      </c>
      <c r="L45" s="1009" t="s">
        <v>1256</v>
      </c>
      <c r="M45" s="963" t="s">
        <v>1369</v>
      </c>
      <c r="N45" s="1009" t="s">
        <v>1258</v>
      </c>
      <c r="O45" s="963" t="s">
        <v>1370</v>
      </c>
      <c r="P45" s="1009" t="s">
        <v>1269</v>
      </c>
      <c r="Q45" s="964" t="s">
        <v>1371</v>
      </c>
      <c r="R45" s="1009" t="s">
        <v>1372</v>
      </c>
      <c r="S45" s="964" t="s">
        <v>1373</v>
      </c>
      <c r="T45" s="1009" t="s">
        <v>1374</v>
      </c>
      <c r="U45" s="964" t="s">
        <v>1375</v>
      </c>
      <c r="V45" s="1016" t="s">
        <v>1274</v>
      </c>
    </row>
    <row r="46" spans="1:22" ht="55.5" customHeight="1" x14ac:dyDescent="0.25">
      <c r="A46" s="5403">
        <f>A44+1</f>
        <v>17</v>
      </c>
      <c r="B46" s="5398" t="s">
        <v>1376</v>
      </c>
      <c r="C46" s="954" t="s">
        <v>1178</v>
      </c>
      <c r="D46" s="955" t="s">
        <v>1179</v>
      </c>
      <c r="E46" s="956"/>
      <c r="F46" s="1007"/>
      <c r="G46" s="956"/>
      <c r="H46" s="1007"/>
      <c r="I46" s="957">
        <v>4.5601851851851852E-4</v>
      </c>
      <c r="J46" s="1007">
        <v>5.0694444444444441E-4</v>
      </c>
      <c r="K46" s="957">
        <v>4.895833333333333E-4</v>
      </c>
      <c r="L46" s="1007">
        <v>5.4398148148148144E-4</v>
      </c>
      <c r="M46" s="957">
        <v>5.3125000000000004E-4</v>
      </c>
      <c r="N46" s="1007">
        <v>5.9027777777777778E-4</v>
      </c>
      <c r="O46" s="957">
        <v>5.7638888888888887E-4</v>
      </c>
      <c r="P46" s="1007">
        <v>6.3888888888888893E-4</v>
      </c>
      <c r="Q46" s="975" t="s">
        <v>1377</v>
      </c>
      <c r="R46" s="1017" t="s">
        <v>1378</v>
      </c>
      <c r="S46" s="975" t="s">
        <v>1379</v>
      </c>
      <c r="T46" s="1017" t="s">
        <v>1380</v>
      </c>
      <c r="U46" s="975" t="s">
        <v>1381</v>
      </c>
      <c r="V46" s="1008">
        <v>8.1481481481481476E-4</v>
      </c>
    </row>
    <row r="47" spans="1:22" ht="55.5" customHeight="1" x14ac:dyDescent="0.25">
      <c r="A47" s="5690"/>
      <c r="B47" s="5752"/>
      <c r="C47" s="960" t="s">
        <v>1180</v>
      </c>
      <c r="D47" s="961" t="s">
        <v>1179</v>
      </c>
      <c r="E47" s="963" t="s">
        <v>1382</v>
      </c>
      <c r="F47" s="1009" t="s">
        <v>1277</v>
      </c>
      <c r="G47" s="963" t="s">
        <v>1383</v>
      </c>
      <c r="H47" s="1009" t="s">
        <v>1384</v>
      </c>
      <c r="I47" s="963" t="s">
        <v>1385</v>
      </c>
      <c r="J47" s="1009" t="s">
        <v>1346</v>
      </c>
      <c r="K47" s="964" t="s">
        <v>1386</v>
      </c>
      <c r="L47" s="1009" t="s">
        <v>1387</v>
      </c>
      <c r="M47" s="963" t="s">
        <v>1388</v>
      </c>
      <c r="N47" s="1009" t="s">
        <v>1389</v>
      </c>
      <c r="O47" s="963" t="s">
        <v>1390</v>
      </c>
      <c r="P47" s="1009" t="s">
        <v>1391</v>
      </c>
      <c r="Q47" s="964" t="s">
        <v>1392</v>
      </c>
      <c r="R47" s="1009" t="s">
        <v>1393</v>
      </c>
      <c r="S47" s="964" t="s">
        <v>1394</v>
      </c>
      <c r="T47" s="1009" t="s">
        <v>1395</v>
      </c>
      <c r="U47" s="964" t="s">
        <v>1396</v>
      </c>
      <c r="V47" s="1016" t="s">
        <v>1397</v>
      </c>
    </row>
    <row r="48" spans="1:22" ht="54.75" customHeight="1" x14ac:dyDescent="0.25">
      <c r="A48" s="5403">
        <f>A46+1</f>
        <v>18</v>
      </c>
      <c r="B48" s="5398" t="s">
        <v>1398</v>
      </c>
      <c r="C48" s="954" t="s">
        <v>1178</v>
      </c>
      <c r="D48" s="955" t="s">
        <v>1179</v>
      </c>
      <c r="E48" s="956"/>
      <c r="F48" s="1007"/>
      <c r="G48" s="956"/>
      <c r="H48" s="1007"/>
      <c r="I48" s="957">
        <v>1.0590277777777777E-3</v>
      </c>
      <c r="J48" s="1007">
        <v>1.1689814814814816E-3</v>
      </c>
      <c r="K48" s="957">
        <v>1.1342592592592591E-3</v>
      </c>
      <c r="L48" s="1007">
        <v>1.2442129629629628E-3</v>
      </c>
      <c r="M48" s="957">
        <v>1.2384259259259258E-3</v>
      </c>
      <c r="N48" s="1007">
        <v>1.3599537037037037E-3</v>
      </c>
      <c r="O48" s="957">
        <v>1.3368055555555555E-3</v>
      </c>
      <c r="P48" s="1007">
        <v>1.4606481481481482E-3</v>
      </c>
      <c r="Q48" s="975" t="s">
        <v>1399</v>
      </c>
      <c r="R48" s="1017" t="s">
        <v>1400</v>
      </c>
      <c r="S48" s="975" t="s">
        <v>1401</v>
      </c>
      <c r="T48" s="1017" t="s">
        <v>1402</v>
      </c>
      <c r="U48" s="975" t="s">
        <v>1403</v>
      </c>
      <c r="V48" s="1018" t="s">
        <v>1404</v>
      </c>
    </row>
    <row r="49" spans="1:22" ht="54.75" customHeight="1" x14ac:dyDescent="0.25">
      <c r="A49" s="5742"/>
      <c r="B49" s="5750"/>
      <c r="C49" s="960" t="s">
        <v>1180</v>
      </c>
      <c r="D49" s="961" t="s">
        <v>1179</v>
      </c>
      <c r="E49" s="963" t="s">
        <v>1405</v>
      </c>
      <c r="F49" s="1009" t="s">
        <v>1406</v>
      </c>
      <c r="G49" s="963" t="s">
        <v>1407</v>
      </c>
      <c r="H49" s="1009" t="s">
        <v>1408</v>
      </c>
      <c r="I49" s="963" t="s">
        <v>1409</v>
      </c>
      <c r="J49" s="1009" t="s">
        <v>1198</v>
      </c>
      <c r="K49" s="964" t="s">
        <v>1410</v>
      </c>
      <c r="L49" s="1009" t="s">
        <v>1411</v>
      </c>
      <c r="M49" s="963" t="s">
        <v>1412</v>
      </c>
      <c r="N49" s="1009" t="s">
        <v>1413</v>
      </c>
      <c r="O49" s="963" t="s">
        <v>1199</v>
      </c>
      <c r="P49" s="1009" t="s">
        <v>1414</v>
      </c>
      <c r="Q49" s="964" t="s">
        <v>1201</v>
      </c>
      <c r="R49" s="1009" t="s">
        <v>1415</v>
      </c>
      <c r="S49" s="964" t="s">
        <v>1416</v>
      </c>
      <c r="T49" s="1009" t="s">
        <v>1417</v>
      </c>
      <c r="U49" s="964" t="s">
        <v>1418</v>
      </c>
      <c r="V49" s="1016" t="s">
        <v>1419</v>
      </c>
    </row>
    <row r="50" spans="1:22" ht="54.75" customHeight="1" x14ac:dyDescent="0.25">
      <c r="A50" s="5403">
        <f>A48+1</f>
        <v>19</v>
      </c>
      <c r="B50" s="5398" t="s">
        <v>1420</v>
      </c>
      <c r="C50" s="954" t="s">
        <v>1178</v>
      </c>
      <c r="D50" s="955" t="s">
        <v>1179</v>
      </c>
      <c r="E50" s="956"/>
      <c r="F50" s="1007"/>
      <c r="G50" s="956"/>
      <c r="H50" s="1007"/>
      <c r="I50" s="957">
        <v>2.3379629629629631E-3</v>
      </c>
      <c r="J50" s="1007">
        <v>2.5300925925925929E-3</v>
      </c>
      <c r="K50" s="957">
        <v>2.5092592592592593E-3</v>
      </c>
      <c r="L50" s="1007">
        <v>2.7222222222222218E-3</v>
      </c>
      <c r="M50" s="957">
        <v>2.7175925925925926E-3</v>
      </c>
      <c r="N50" s="1007">
        <v>2.9328703703703704E-3</v>
      </c>
      <c r="O50" s="957">
        <v>2.9259259259259256E-3</v>
      </c>
      <c r="P50" s="1007">
        <v>3.1597222222222222E-3</v>
      </c>
      <c r="Q50" s="975" t="s">
        <v>1421</v>
      </c>
      <c r="R50" s="1017" t="s">
        <v>1422</v>
      </c>
      <c r="S50" s="975" t="s">
        <v>1423</v>
      </c>
      <c r="T50" s="1017" t="s">
        <v>1424</v>
      </c>
      <c r="U50" s="975" t="s">
        <v>1425</v>
      </c>
      <c r="V50" s="1018" t="s">
        <v>1426</v>
      </c>
    </row>
    <row r="51" spans="1:22" ht="54.75" customHeight="1" x14ac:dyDescent="0.25">
      <c r="A51" s="5693"/>
      <c r="B51" s="5758"/>
      <c r="C51" s="960" t="s">
        <v>1180</v>
      </c>
      <c r="D51" s="961" t="s">
        <v>1179</v>
      </c>
      <c r="E51" s="963" t="s">
        <v>1427</v>
      </c>
      <c r="F51" s="1009" t="s">
        <v>1428</v>
      </c>
      <c r="G51" s="963" t="s">
        <v>1429</v>
      </c>
      <c r="H51" s="1009" t="s">
        <v>1430</v>
      </c>
      <c r="I51" s="963" t="s">
        <v>1431</v>
      </c>
      <c r="J51" s="1009" t="s">
        <v>1432</v>
      </c>
      <c r="K51" s="964" t="s">
        <v>1433</v>
      </c>
      <c r="L51" s="1009" t="s">
        <v>1434</v>
      </c>
      <c r="M51" s="963" t="s">
        <v>1435</v>
      </c>
      <c r="N51" s="1009" t="s">
        <v>1436</v>
      </c>
      <c r="O51" s="963" t="s">
        <v>1437</v>
      </c>
      <c r="P51" s="1009" t="s">
        <v>1438</v>
      </c>
      <c r="Q51" s="964" t="s">
        <v>1439</v>
      </c>
      <c r="R51" s="1009" t="s">
        <v>1223</v>
      </c>
      <c r="S51" s="964" t="s">
        <v>1440</v>
      </c>
      <c r="T51" s="1009" t="s">
        <v>1441</v>
      </c>
      <c r="U51" s="964" t="s">
        <v>1442</v>
      </c>
      <c r="V51" s="1016" t="s">
        <v>1226</v>
      </c>
    </row>
    <row r="52" spans="1:22" ht="76.5" customHeight="1" x14ac:dyDescent="0.25">
      <c r="A52" s="5403">
        <f>A50+1</f>
        <v>20</v>
      </c>
      <c r="B52" s="5398" t="s">
        <v>1443</v>
      </c>
      <c r="C52" s="954" t="s">
        <v>1178</v>
      </c>
      <c r="D52" s="955" t="s">
        <v>1179</v>
      </c>
      <c r="E52" s="956"/>
      <c r="F52" s="1007"/>
      <c r="G52" s="956"/>
      <c r="H52" s="1007"/>
      <c r="I52" s="957">
        <v>5.0289351851851849E-3</v>
      </c>
      <c r="J52" s="1007">
        <v>5.4166666666666669E-3</v>
      </c>
      <c r="K52" s="957">
        <v>5.2777777777777771E-3</v>
      </c>
      <c r="L52" s="1007">
        <v>5.7928240740740744E-3</v>
      </c>
      <c r="M52" s="957">
        <v>5.8449074074074072E-3</v>
      </c>
      <c r="N52" s="1007">
        <v>6.2789351851851851E-3</v>
      </c>
      <c r="O52" s="957">
        <v>6.3101851851851852E-3</v>
      </c>
      <c r="P52" s="1007">
        <v>6.7650462962962968E-3</v>
      </c>
      <c r="Q52" s="957">
        <v>6.8865740740740736E-3</v>
      </c>
      <c r="R52" s="1007">
        <v>7.3900462962962973E-3</v>
      </c>
      <c r="S52" s="957">
        <v>7.5694444444444446E-3</v>
      </c>
      <c r="T52" s="1007">
        <v>8.1249999999999985E-3</v>
      </c>
      <c r="U52" s="957">
        <v>8.2233796296296308E-3</v>
      </c>
      <c r="V52" s="1008">
        <v>8.7557870370370359E-3</v>
      </c>
    </row>
    <row r="53" spans="1:22" ht="70.5" customHeight="1" x14ac:dyDescent="0.25">
      <c r="A53" s="5694"/>
      <c r="B53" s="5749"/>
      <c r="C53" s="960" t="s">
        <v>1180</v>
      </c>
      <c r="D53" s="961" t="s">
        <v>1179</v>
      </c>
      <c r="E53" s="963" t="s">
        <v>1444</v>
      </c>
      <c r="F53" s="1009" t="s">
        <v>1445</v>
      </c>
      <c r="G53" s="963" t="s">
        <v>1446</v>
      </c>
      <c r="H53" s="1009" t="s">
        <v>1447</v>
      </c>
      <c r="I53" s="963" t="s">
        <v>1448</v>
      </c>
      <c r="J53" s="1009" t="s">
        <v>1449</v>
      </c>
      <c r="K53" s="964" t="s">
        <v>1450</v>
      </c>
      <c r="L53" s="1009" t="s">
        <v>1451</v>
      </c>
      <c r="M53" s="963" t="s">
        <v>1452</v>
      </c>
      <c r="N53" s="1009" t="s">
        <v>1453</v>
      </c>
      <c r="O53" s="963" t="s">
        <v>1454</v>
      </c>
      <c r="P53" s="1009" t="s">
        <v>1455</v>
      </c>
      <c r="Q53" s="964" t="s">
        <v>1456</v>
      </c>
      <c r="R53" s="1009" t="s">
        <v>1457</v>
      </c>
      <c r="S53" s="964" t="s">
        <v>1458</v>
      </c>
      <c r="T53" s="1009" t="s">
        <v>1459</v>
      </c>
      <c r="U53" s="964" t="s">
        <v>1460</v>
      </c>
      <c r="V53" s="1016" t="s">
        <v>1461</v>
      </c>
    </row>
    <row r="54" spans="1:22" ht="76.5" customHeight="1" x14ac:dyDescent="0.25">
      <c r="A54" s="5403">
        <f>A52+1</f>
        <v>21</v>
      </c>
      <c r="B54" s="5398" t="s">
        <v>1462</v>
      </c>
      <c r="C54" s="954" t="s">
        <v>1178</v>
      </c>
      <c r="D54" s="955" t="s">
        <v>1179</v>
      </c>
      <c r="E54" s="956"/>
      <c r="F54" s="1007"/>
      <c r="G54" s="956"/>
      <c r="H54" s="1007"/>
      <c r="I54" s="957">
        <v>9.6990740740740735E-3</v>
      </c>
      <c r="J54" s="1007">
        <v>1.0399305555555556E-2</v>
      </c>
      <c r="K54" s="958">
        <v>1.0329861111111111E-2</v>
      </c>
      <c r="L54" s="1007">
        <v>1.1111111111111112E-2</v>
      </c>
      <c r="M54" s="957">
        <v>1.1284722222222222E-2</v>
      </c>
      <c r="N54" s="1007">
        <v>1.208912037037037E-2</v>
      </c>
      <c r="O54" s="957">
        <v>1.2187500000000002E-2</v>
      </c>
      <c r="P54" s="1007">
        <v>1.3078703703703703E-2</v>
      </c>
      <c r="Q54" s="976"/>
      <c r="R54" s="1017"/>
      <c r="S54" s="976"/>
      <c r="T54" s="1017"/>
      <c r="U54" s="976"/>
      <c r="V54" s="1018"/>
    </row>
    <row r="55" spans="1:22" ht="72.95" customHeight="1" x14ac:dyDescent="0.25">
      <c r="A55" s="5695"/>
      <c r="B55" s="5757"/>
      <c r="C55" s="960" t="s">
        <v>1180</v>
      </c>
      <c r="D55" s="961" t="s">
        <v>1179</v>
      </c>
      <c r="E55" s="963" t="s">
        <v>1463</v>
      </c>
      <c r="F55" s="1009" t="s">
        <v>1464</v>
      </c>
      <c r="G55" s="963" t="s">
        <v>1465</v>
      </c>
      <c r="H55" s="1009" t="s">
        <v>1466</v>
      </c>
      <c r="I55" s="963" t="s">
        <v>1467</v>
      </c>
      <c r="J55" s="1009" t="s">
        <v>1468</v>
      </c>
      <c r="K55" s="964" t="s">
        <v>1469</v>
      </c>
      <c r="L55" s="1009" t="s">
        <v>1470</v>
      </c>
      <c r="M55" s="963" t="s">
        <v>1471</v>
      </c>
      <c r="N55" s="1009" t="s">
        <v>1472</v>
      </c>
      <c r="O55" s="963" t="s">
        <v>1473</v>
      </c>
      <c r="P55" s="1009" t="s">
        <v>1474</v>
      </c>
      <c r="Q55" s="973"/>
      <c r="R55" s="1009"/>
      <c r="S55" s="973"/>
      <c r="T55" s="1009"/>
      <c r="U55" s="973"/>
      <c r="V55" s="1016"/>
    </row>
    <row r="56" spans="1:22" ht="90.75" customHeight="1" x14ac:dyDescent="0.25">
      <c r="A56" s="5403">
        <f>A54+1</f>
        <v>22</v>
      </c>
      <c r="B56" s="5398" t="s">
        <v>1475</v>
      </c>
      <c r="C56" s="954" t="s">
        <v>1178</v>
      </c>
      <c r="D56" s="955" t="s">
        <v>1179</v>
      </c>
      <c r="E56" s="956"/>
      <c r="F56" s="1007"/>
      <c r="G56" s="956"/>
      <c r="H56" s="1007"/>
      <c r="I56" s="957">
        <v>2.0370370370370369E-4</v>
      </c>
      <c r="J56" s="1007">
        <v>2.2800925925925926E-4</v>
      </c>
      <c r="K56" s="957">
        <v>2.1412037037037038E-4</v>
      </c>
      <c r="L56" s="1007">
        <v>2.4421296296296295E-4</v>
      </c>
      <c r="M56" s="957">
        <v>2.3263888888888889E-4</v>
      </c>
      <c r="N56" s="1007">
        <v>2.6504629629629626E-4</v>
      </c>
      <c r="O56" s="957">
        <v>2.5347222222222221E-4</v>
      </c>
      <c r="P56" s="1007">
        <v>2.8703703703703703E-4</v>
      </c>
      <c r="Q56" s="975" t="s">
        <v>1358</v>
      </c>
      <c r="R56" s="1017" t="s">
        <v>1359</v>
      </c>
      <c r="S56" s="975" t="s">
        <v>1360</v>
      </c>
      <c r="T56" s="1017" t="s">
        <v>1361</v>
      </c>
      <c r="U56" s="975" t="s">
        <v>1362</v>
      </c>
      <c r="V56" s="1018" t="s">
        <v>1363</v>
      </c>
    </row>
    <row r="57" spans="1:22" ht="90.75" customHeight="1" x14ac:dyDescent="0.25">
      <c r="A57" s="5696"/>
      <c r="B57" s="5756"/>
      <c r="C57" s="960" t="s">
        <v>1180</v>
      </c>
      <c r="D57" s="961" t="s">
        <v>1179</v>
      </c>
      <c r="E57" s="963" t="s">
        <v>1232</v>
      </c>
      <c r="F57" s="1009" t="s">
        <v>1234</v>
      </c>
      <c r="G57" s="963" t="s">
        <v>1364</v>
      </c>
      <c r="H57" s="1009" t="s">
        <v>1365</v>
      </c>
      <c r="I57" s="963" t="s">
        <v>1366</v>
      </c>
      <c r="J57" s="1009" t="s">
        <v>1367</v>
      </c>
      <c r="K57" s="964" t="s">
        <v>1368</v>
      </c>
      <c r="L57" s="1009" t="s">
        <v>1256</v>
      </c>
      <c r="M57" s="963" t="s">
        <v>1369</v>
      </c>
      <c r="N57" s="1009" t="s">
        <v>1258</v>
      </c>
      <c r="O57" s="963" t="s">
        <v>1370</v>
      </c>
      <c r="P57" s="1009" t="s">
        <v>1269</v>
      </c>
      <c r="Q57" s="964" t="s">
        <v>1371</v>
      </c>
      <c r="R57" s="1009" t="s">
        <v>1372</v>
      </c>
      <c r="S57" s="964" t="s">
        <v>1373</v>
      </c>
      <c r="T57" s="1009" t="s">
        <v>1374</v>
      </c>
      <c r="U57" s="964" t="s">
        <v>1375</v>
      </c>
      <c r="V57" s="1016" t="s">
        <v>1274</v>
      </c>
    </row>
    <row r="58" spans="1:22" ht="90.75" customHeight="1" x14ac:dyDescent="0.25">
      <c r="A58" s="5403">
        <f>A56+1</f>
        <v>23</v>
      </c>
      <c r="B58" s="5398" t="s">
        <v>1476</v>
      </c>
      <c r="C58" s="954" t="s">
        <v>1178</v>
      </c>
      <c r="D58" s="955" t="s">
        <v>1179</v>
      </c>
      <c r="E58" s="956"/>
      <c r="F58" s="1007"/>
      <c r="G58" s="956"/>
      <c r="H58" s="1007"/>
      <c r="I58" s="957">
        <v>4.5601851851851852E-4</v>
      </c>
      <c r="J58" s="1007">
        <v>5.0694444444444441E-4</v>
      </c>
      <c r="K58" s="957">
        <v>4.895833333333333E-4</v>
      </c>
      <c r="L58" s="1007">
        <v>5.4398148148148144E-4</v>
      </c>
      <c r="M58" s="957">
        <v>5.3125000000000004E-4</v>
      </c>
      <c r="N58" s="1007">
        <v>5.9027777777777778E-4</v>
      </c>
      <c r="O58" s="957">
        <v>5.7638888888888887E-4</v>
      </c>
      <c r="P58" s="1007">
        <v>6.3888888888888893E-4</v>
      </c>
      <c r="Q58" s="975" t="s">
        <v>1377</v>
      </c>
      <c r="R58" s="1017" t="s">
        <v>1378</v>
      </c>
      <c r="S58" s="975" t="s">
        <v>1379</v>
      </c>
      <c r="T58" s="1017" t="s">
        <v>1380</v>
      </c>
      <c r="U58" s="975" t="s">
        <v>1381</v>
      </c>
      <c r="V58" s="1008">
        <v>8.1481481481481476E-4</v>
      </c>
    </row>
    <row r="59" spans="1:22" ht="90.75" customHeight="1" x14ac:dyDescent="0.25">
      <c r="A59" s="5697"/>
      <c r="B59" s="5747"/>
      <c r="C59" s="960" t="s">
        <v>1180</v>
      </c>
      <c r="D59" s="961" t="s">
        <v>1179</v>
      </c>
      <c r="E59" s="963" t="s">
        <v>1382</v>
      </c>
      <c r="F59" s="1009" t="s">
        <v>1277</v>
      </c>
      <c r="G59" s="963" t="s">
        <v>1383</v>
      </c>
      <c r="H59" s="1009" t="s">
        <v>1384</v>
      </c>
      <c r="I59" s="963" t="s">
        <v>1385</v>
      </c>
      <c r="J59" s="1009" t="s">
        <v>1346</v>
      </c>
      <c r="K59" s="964" t="s">
        <v>1386</v>
      </c>
      <c r="L59" s="1009" t="s">
        <v>1387</v>
      </c>
      <c r="M59" s="963" t="s">
        <v>1388</v>
      </c>
      <c r="N59" s="1009" t="s">
        <v>1389</v>
      </c>
      <c r="O59" s="963" t="s">
        <v>1390</v>
      </c>
      <c r="P59" s="1009" t="s">
        <v>1391</v>
      </c>
      <c r="Q59" s="964" t="s">
        <v>1392</v>
      </c>
      <c r="R59" s="1009" t="s">
        <v>1393</v>
      </c>
      <c r="S59" s="964" t="s">
        <v>1394</v>
      </c>
      <c r="T59" s="1009" t="s">
        <v>1395</v>
      </c>
      <c r="U59" s="964" t="s">
        <v>1396</v>
      </c>
      <c r="V59" s="1016" t="s">
        <v>1397</v>
      </c>
    </row>
    <row r="60" spans="1:22" ht="90.75" customHeight="1" x14ac:dyDescent="0.25">
      <c r="A60" s="5403">
        <f>A58+1</f>
        <v>24</v>
      </c>
      <c r="B60" s="5398" t="s">
        <v>1477</v>
      </c>
      <c r="C60" s="954" t="s">
        <v>1178</v>
      </c>
      <c r="D60" s="955" t="s">
        <v>1179</v>
      </c>
      <c r="E60" s="956"/>
      <c r="F60" s="1007"/>
      <c r="G60" s="956"/>
      <c r="H60" s="1007"/>
      <c r="I60" s="957">
        <v>1.0590277777777777E-3</v>
      </c>
      <c r="J60" s="1007">
        <v>1.1689814814814816E-3</v>
      </c>
      <c r="K60" s="957">
        <v>1.1342592592592591E-3</v>
      </c>
      <c r="L60" s="1007">
        <v>1.2442129629629628E-3</v>
      </c>
      <c r="M60" s="957">
        <v>1.2384259259259258E-3</v>
      </c>
      <c r="N60" s="1007">
        <v>1.3599537037037037E-3</v>
      </c>
      <c r="O60" s="957">
        <v>1.3368055555555555E-3</v>
      </c>
      <c r="P60" s="1007">
        <v>1.4606481481481482E-3</v>
      </c>
      <c r="Q60" s="975" t="s">
        <v>1399</v>
      </c>
      <c r="R60" s="1017" t="s">
        <v>1400</v>
      </c>
      <c r="S60" s="975" t="s">
        <v>1401</v>
      </c>
      <c r="T60" s="1017" t="s">
        <v>1402</v>
      </c>
      <c r="U60" s="975" t="s">
        <v>1403</v>
      </c>
      <c r="V60" s="1018" t="s">
        <v>1404</v>
      </c>
    </row>
    <row r="61" spans="1:22" ht="90.75" customHeight="1" x14ac:dyDescent="0.25">
      <c r="A61" s="5698"/>
      <c r="B61" s="5748"/>
      <c r="C61" s="960" t="s">
        <v>1180</v>
      </c>
      <c r="D61" s="961" t="s">
        <v>1179</v>
      </c>
      <c r="E61" s="963" t="s">
        <v>1405</v>
      </c>
      <c r="F61" s="1009" t="s">
        <v>1406</v>
      </c>
      <c r="G61" s="963" t="s">
        <v>1407</v>
      </c>
      <c r="H61" s="1009" t="s">
        <v>1408</v>
      </c>
      <c r="I61" s="963" t="s">
        <v>1409</v>
      </c>
      <c r="J61" s="1009" t="s">
        <v>1198</v>
      </c>
      <c r="K61" s="964" t="s">
        <v>1410</v>
      </c>
      <c r="L61" s="1009" t="s">
        <v>1411</v>
      </c>
      <c r="M61" s="963" t="s">
        <v>1412</v>
      </c>
      <c r="N61" s="1009" t="s">
        <v>1413</v>
      </c>
      <c r="O61" s="963" t="s">
        <v>1199</v>
      </c>
      <c r="P61" s="1009" t="s">
        <v>1414</v>
      </c>
      <c r="Q61" s="964" t="s">
        <v>1201</v>
      </c>
      <c r="R61" s="1009" t="s">
        <v>1415</v>
      </c>
      <c r="S61" s="964" t="s">
        <v>1416</v>
      </c>
      <c r="T61" s="1009" t="s">
        <v>1417</v>
      </c>
      <c r="U61" s="964" t="s">
        <v>1418</v>
      </c>
      <c r="V61" s="1016" t="s">
        <v>1419</v>
      </c>
    </row>
    <row r="62" spans="1:22" ht="56.25" customHeight="1" x14ac:dyDescent="0.25">
      <c r="A62" s="5403">
        <f>A60+1</f>
        <v>25</v>
      </c>
      <c r="B62" s="5398" t="s">
        <v>1478</v>
      </c>
      <c r="C62" s="980" t="s">
        <v>1178</v>
      </c>
      <c r="D62" s="948" t="s">
        <v>1179</v>
      </c>
      <c r="E62" s="950"/>
      <c r="F62" s="1004"/>
      <c r="G62" s="950"/>
      <c r="H62" s="1004"/>
      <c r="I62" s="981">
        <v>4.1898148148148155E-4</v>
      </c>
      <c r="J62" s="1004">
        <v>4.5949074074074078E-4</v>
      </c>
      <c r="K62" s="981">
        <v>4.4907407407407401E-4</v>
      </c>
      <c r="L62" s="1004">
        <v>4.9305555555555561E-4</v>
      </c>
      <c r="M62" s="981">
        <v>4.8726851851851855E-4</v>
      </c>
      <c r="N62" s="1004">
        <v>5.3472222222222224E-4</v>
      </c>
      <c r="O62" s="981">
        <v>5.3009259259259253E-4</v>
      </c>
      <c r="P62" s="1004">
        <v>5.8101851851851858E-4</v>
      </c>
      <c r="Q62" s="982" t="s">
        <v>1479</v>
      </c>
      <c r="R62" s="1019" t="s">
        <v>1480</v>
      </c>
      <c r="S62" s="982" t="s">
        <v>1481</v>
      </c>
      <c r="T62" s="1019" t="s">
        <v>1482</v>
      </c>
      <c r="U62" s="982" t="s">
        <v>1483</v>
      </c>
      <c r="V62" s="1020" t="s">
        <v>1484</v>
      </c>
    </row>
    <row r="63" spans="1:22" ht="56.25" customHeight="1" x14ac:dyDescent="0.25">
      <c r="A63" s="5699"/>
      <c r="B63" s="5745"/>
      <c r="C63" s="980" t="s">
        <v>1180</v>
      </c>
      <c r="D63" s="948" t="s">
        <v>1179</v>
      </c>
      <c r="E63" s="982" t="s">
        <v>1485</v>
      </c>
      <c r="F63" s="1019" t="s">
        <v>1486</v>
      </c>
      <c r="G63" s="982" t="s">
        <v>1487</v>
      </c>
      <c r="H63" s="1019" t="s">
        <v>1488</v>
      </c>
      <c r="I63" s="982" t="s">
        <v>1245</v>
      </c>
      <c r="J63" s="1019" t="s">
        <v>1489</v>
      </c>
      <c r="K63" s="984" t="s">
        <v>1277</v>
      </c>
      <c r="L63" s="1019" t="s">
        <v>1490</v>
      </c>
      <c r="M63" s="982" t="s">
        <v>1491</v>
      </c>
      <c r="N63" s="1019" t="s">
        <v>1492</v>
      </c>
      <c r="O63" s="982" t="s">
        <v>1347</v>
      </c>
      <c r="P63" s="1019" t="s">
        <v>1493</v>
      </c>
      <c r="Q63" s="984" t="s">
        <v>1493</v>
      </c>
      <c r="R63" s="1019" t="s">
        <v>1494</v>
      </c>
      <c r="S63" s="984" t="s">
        <v>1495</v>
      </c>
      <c r="T63" s="1019" t="s">
        <v>1496</v>
      </c>
      <c r="U63" s="984" t="s">
        <v>1497</v>
      </c>
      <c r="V63" s="1020" t="s">
        <v>1498</v>
      </c>
    </row>
    <row r="64" spans="1:22" ht="54.75" customHeight="1" x14ac:dyDescent="0.25">
      <c r="A64" s="5403">
        <f>A62+1</f>
        <v>26</v>
      </c>
      <c r="B64" s="5398" t="s">
        <v>1499</v>
      </c>
      <c r="C64" s="954" t="s">
        <v>1178</v>
      </c>
      <c r="D64" s="955" t="s">
        <v>1179</v>
      </c>
      <c r="E64" s="956"/>
      <c r="F64" s="1007"/>
      <c r="G64" s="956"/>
      <c r="H64" s="1007"/>
      <c r="I64" s="986">
        <v>2.1724537037037038E-3</v>
      </c>
      <c r="J64" s="1021">
        <v>2.3495370370370371E-3</v>
      </c>
      <c r="K64" s="986">
        <v>2.3263888888888887E-3</v>
      </c>
      <c r="L64" s="1021">
        <v>2.5231481481481481E-3</v>
      </c>
      <c r="M64" s="986">
        <v>2.5231481481481481E-3</v>
      </c>
      <c r="N64" s="1021">
        <v>2.7314814814814819E-3</v>
      </c>
      <c r="O64" s="986">
        <v>2.7372685185185187E-3</v>
      </c>
      <c r="P64" s="1021">
        <v>2.9513888888888888E-3</v>
      </c>
      <c r="Q64" s="987"/>
      <c r="R64" s="1021"/>
      <c r="S64" s="987"/>
      <c r="T64" s="1021"/>
      <c r="U64" s="987"/>
      <c r="V64" s="1022"/>
    </row>
    <row r="65" spans="1:22" ht="54.75" customHeight="1" x14ac:dyDescent="0.25">
      <c r="A65" s="5700"/>
      <c r="B65" s="5753"/>
      <c r="C65" s="960" t="s">
        <v>1180</v>
      </c>
      <c r="D65" s="961" t="s">
        <v>1179</v>
      </c>
      <c r="E65" s="963" t="s">
        <v>1500</v>
      </c>
      <c r="F65" s="1009" t="s">
        <v>1501</v>
      </c>
      <c r="G65" s="963" t="s">
        <v>1502</v>
      </c>
      <c r="H65" s="1009" t="s">
        <v>1503</v>
      </c>
      <c r="I65" s="963" t="s">
        <v>1504</v>
      </c>
      <c r="J65" s="1009" t="s">
        <v>1505</v>
      </c>
      <c r="K65" s="964" t="s">
        <v>1506</v>
      </c>
      <c r="L65" s="1009" t="s">
        <v>1507</v>
      </c>
      <c r="M65" s="963" t="s">
        <v>1507</v>
      </c>
      <c r="N65" s="1009" t="s">
        <v>1508</v>
      </c>
      <c r="O65" s="963" t="s">
        <v>1509</v>
      </c>
      <c r="P65" s="1009" t="s">
        <v>1510</v>
      </c>
      <c r="Q65" s="973"/>
      <c r="R65" s="1009"/>
      <c r="S65" s="973"/>
      <c r="T65" s="1009"/>
      <c r="U65" s="973"/>
      <c r="V65" s="1016"/>
    </row>
    <row r="66" spans="1:22" s="989" customFormat="1" ht="57.75" customHeight="1" x14ac:dyDescent="0.3">
      <c r="A66" s="5403">
        <f>A64+1</f>
        <v>27</v>
      </c>
      <c r="B66" s="5480" t="s">
        <v>1643</v>
      </c>
      <c r="C66" s="954" t="s">
        <v>1178</v>
      </c>
      <c r="D66" s="955" t="s">
        <v>1179</v>
      </c>
      <c r="E66" s="956"/>
      <c r="F66" s="1007"/>
      <c r="G66" s="956"/>
      <c r="H66" s="1007"/>
      <c r="I66" s="957">
        <v>4.409722222222222E-3</v>
      </c>
      <c r="J66" s="1007">
        <v>4.8032407407407407E-3</v>
      </c>
      <c r="K66" s="957">
        <v>4.7916666666666672E-3</v>
      </c>
      <c r="L66" s="1007">
        <v>5.2662037037037035E-3</v>
      </c>
      <c r="M66" s="957">
        <v>5.5439814814814822E-3</v>
      </c>
      <c r="N66" s="1007">
        <v>6.1342592592592594E-3</v>
      </c>
      <c r="O66" s="957">
        <v>6.5972222222222222E-3</v>
      </c>
      <c r="P66" s="1007">
        <v>7.2453703703703708E-3</v>
      </c>
      <c r="Q66" s="956"/>
      <c r="R66" s="1007"/>
      <c r="S66" s="956"/>
      <c r="T66" s="1007"/>
      <c r="U66" s="956"/>
      <c r="V66" s="1008"/>
    </row>
    <row r="67" spans="1:22" s="989" customFormat="1" ht="57.75" customHeight="1" x14ac:dyDescent="0.3">
      <c r="A67" s="5701"/>
      <c r="B67" s="5755"/>
      <c r="C67" s="960" t="s">
        <v>1180</v>
      </c>
      <c r="D67" s="961" t="s">
        <v>1179</v>
      </c>
      <c r="E67" s="990"/>
      <c r="F67" s="1023"/>
      <c r="G67" s="963" t="s">
        <v>1512</v>
      </c>
      <c r="H67" s="1009" t="s">
        <v>1513</v>
      </c>
      <c r="I67" s="963" t="s">
        <v>1514</v>
      </c>
      <c r="J67" s="1009" t="s">
        <v>1515</v>
      </c>
      <c r="K67" s="964" t="s">
        <v>1516</v>
      </c>
      <c r="L67" s="1009" t="s">
        <v>1517</v>
      </c>
      <c r="M67" s="963" t="s">
        <v>1518</v>
      </c>
      <c r="N67" s="1009" t="s">
        <v>1519</v>
      </c>
      <c r="O67" s="963" t="s">
        <v>1520</v>
      </c>
      <c r="P67" s="1009" t="s">
        <v>1521</v>
      </c>
      <c r="Q67" s="990"/>
      <c r="R67" s="1023"/>
      <c r="S67" s="990"/>
      <c r="T67" s="1023"/>
      <c r="U67" s="990"/>
      <c r="V67" s="1024"/>
    </row>
    <row r="68" spans="1:22" s="989" customFormat="1" ht="57.75" customHeight="1" x14ac:dyDescent="0.3">
      <c r="A68" s="5403">
        <f>A66+1</f>
        <v>28</v>
      </c>
      <c r="B68" s="5480" t="s">
        <v>1644</v>
      </c>
      <c r="C68" s="954" t="s">
        <v>1178</v>
      </c>
      <c r="D68" s="955" t="s">
        <v>1179</v>
      </c>
      <c r="E68" s="956"/>
      <c r="F68" s="1007"/>
      <c r="G68" s="956"/>
      <c r="H68" s="1007"/>
      <c r="I68" s="957">
        <v>4.8611111111111112E-3</v>
      </c>
      <c r="J68" s="1007">
        <v>5.347222222222222E-3</v>
      </c>
      <c r="K68" s="957">
        <v>5.347222222222222E-3</v>
      </c>
      <c r="L68" s="1007">
        <v>5.8449074074074072E-3</v>
      </c>
      <c r="M68" s="957">
        <v>6.1574074074074074E-3</v>
      </c>
      <c r="N68" s="1007">
        <v>6.7708333333333336E-3</v>
      </c>
      <c r="O68" s="957">
        <v>7.1759259259259259E-3</v>
      </c>
      <c r="P68" s="1007">
        <v>7.9629629629629634E-3</v>
      </c>
      <c r="Q68" s="956"/>
      <c r="R68" s="1007"/>
      <c r="S68" s="956"/>
      <c r="T68" s="1007"/>
      <c r="U68" s="956"/>
      <c r="V68" s="1008"/>
    </row>
    <row r="69" spans="1:22" s="989" customFormat="1" ht="57.75" customHeight="1" x14ac:dyDescent="0.3">
      <c r="A69" s="5702"/>
      <c r="B69" s="5746"/>
      <c r="C69" s="960" t="s">
        <v>1180</v>
      </c>
      <c r="D69" s="961" t="s">
        <v>1179</v>
      </c>
      <c r="E69" s="990"/>
      <c r="F69" s="1023"/>
      <c r="G69" s="963" t="s">
        <v>1523</v>
      </c>
      <c r="H69" s="1009" t="s">
        <v>1524</v>
      </c>
      <c r="I69" s="963" t="s">
        <v>1230</v>
      </c>
      <c r="J69" s="1009" t="s">
        <v>1525</v>
      </c>
      <c r="K69" s="964" t="s">
        <v>1525</v>
      </c>
      <c r="L69" s="1009" t="s">
        <v>1452</v>
      </c>
      <c r="M69" s="963" t="s">
        <v>1526</v>
      </c>
      <c r="N69" s="1009" t="s">
        <v>1527</v>
      </c>
      <c r="O69" s="963" t="s">
        <v>1528</v>
      </c>
      <c r="P69" s="1009" t="s">
        <v>1529</v>
      </c>
      <c r="Q69" s="990"/>
      <c r="R69" s="1023"/>
      <c r="S69" s="990"/>
      <c r="T69" s="1023"/>
      <c r="U69" s="990"/>
      <c r="V69" s="1024"/>
    </row>
    <row r="70" spans="1:22" s="989" customFormat="1" ht="57.75" customHeight="1" x14ac:dyDescent="0.3">
      <c r="A70" s="5403">
        <f>A68+1</f>
        <v>29</v>
      </c>
      <c r="B70" s="5480" t="s">
        <v>1645</v>
      </c>
      <c r="C70" s="954" t="s">
        <v>1178</v>
      </c>
      <c r="D70" s="955" t="s">
        <v>1179</v>
      </c>
      <c r="E70" s="992"/>
      <c r="F70" s="1007"/>
      <c r="G70" s="956"/>
      <c r="H70" s="1007"/>
      <c r="I70" s="957">
        <v>4.7453703703703703E-3</v>
      </c>
      <c r="J70" s="1007">
        <v>5.208333333333333E-3</v>
      </c>
      <c r="K70" s="957">
        <v>5.2314814814814819E-3</v>
      </c>
      <c r="L70" s="1007">
        <v>5.7638888888888887E-3</v>
      </c>
      <c r="M70" s="957">
        <v>6.053240740740741E-3</v>
      </c>
      <c r="N70" s="1007">
        <v>6.6782407407407415E-3</v>
      </c>
      <c r="O70" s="957">
        <v>7.0486111111111105E-3</v>
      </c>
      <c r="P70" s="1007">
        <v>7.8472222222222224E-3</v>
      </c>
      <c r="Q70" s="956"/>
      <c r="R70" s="1007"/>
      <c r="S70" s="956"/>
      <c r="T70" s="1007"/>
      <c r="U70" s="956"/>
      <c r="V70" s="1008"/>
    </row>
    <row r="71" spans="1:22" s="989" customFormat="1" ht="57.75" customHeight="1" x14ac:dyDescent="0.3">
      <c r="A71" s="5741"/>
      <c r="B71" s="5754"/>
      <c r="C71" s="960" t="s">
        <v>1180</v>
      </c>
      <c r="D71" s="961" t="s">
        <v>1179</v>
      </c>
      <c r="E71" s="993"/>
      <c r="F71" s="1023"/>
      <c r="G71" s="963" t="s">
        <v>1513</v>
      </c>
      <c r="H71" s="1009" t="s">
        <v>1531</v>
      </c>
      <c r="I71" s="963" t="s">
        <v>1532</v>
      </c>
      <c r="J71" s="1009" t="s">
        <v>1533</v>
      </c>
      <c r="K71" s="964" t="s">
        <v>1534</v>
      </c>
      <c r="L71" s="1009" t="s">
        <v>1535</v>
      </c>
      <c r="M71" s="963" t="s">
        <v>1536</v>
      </c>
      <c r="N71" s="1009" t="s">
        <v>1537</v>
      </c>
      <c r="O71" s="963" t="s">
        <v>1538</v>
      </c>
      <c r="P71" s="1009" t="s">
        <v>1539</v>
      </c>
      <c r="Q71" s="990"/>
      <c r="R71" s="1023"/>
      <c r="S71" s="990"/>
      <c r="T71" s="1023"/>
      <c r="U71" s="990"/>
      <c r="V71" s="1024"/>
    </row>
    <row r="72" spans="1:22" s="989" customFormat="1" ht="32.25" customHeight="1" x14ac:dyDescent="0.3">
      <c r="A72" s="5703" t="s">
        <v>1555</v>
      </c>
      <c r="B72" s="5704"/>
      <c r="C72" s="5500" t="s">
        <v>1556</v>
      </c>
      <c r="D72" s="5836"/>
      <c r="E72" s="5837"/>
      <c r="F72" s="5838"/>
      <c r="G72" s="5839"/>
      <c r="H72" s="5840"/>
      <c r="I72" s="5841"/>
      <c r="J72" s="5842"/>
      <c r="K72" s="5843"/>
      <c r="L72" s="5844"/>
      <c r="M72" s="5845"/>
      <c r="N72" s="5846"/>
      <c r="O72" s="5847"/>
      <c r="P72" s="5848"/>
      <c r="Q72" s="5849"/>
      <c r="R72" s="5850"/>
      <c r="S72" s="5851"/>
      <c r="T72" s="5852"/>
      <c r="U72" s="5853"/>
      <c r="V72" s="5854"/>
    </row>
    <row r="73" spans="1:22" s="989" customFormat="1" ht="73.5" customHeight="1" x14ac:dyDescent="0.3">
      <c r="A73" s="5705"/>
      <c r="B73" s="5706"/>
      <c r="C73" s="5520" t="s">
        <v>1557</v>
      </c>
      <c r="D73" s="5521"/>
      <c r="E73" s="5521"/>
      <c r="F73" s="5521"/>
      <c r="G73" s="5521"/>
      <c r="H73" s="5521"/>
      <c r="I73" s="5521"/>
      <c r="J73" s="5521"/>
      <c r="K73" s="5521"/>
      <c r="L73" s="5521"/>
      <c r="M73" s="5521"/>
      <c r="N73" s="5521"/>
      <c r="O73" s="5521"/>
      <c r="P73" s="5521"/>
      <c r="Q73" s="5521"/>
      <c r="R73" s="5521"/>
      <c r="S73" s="5521"/>
      <c r="T73" s="5521"/>
      <c r="U73" s="5521"/>
      <c r="V73" s="5855"/>
    </row>
    <row r="74" spans="1:22" s="989" customFormat="1" ht="60.75" customHeight="1" x14ac:dyDescent="0.3">
      <c r="A74" s="5707"/>
      <c r="B74" s="5708"/>
      <c r="C74" s="5523" t="s">
        <v>1558</v>
      </c>
      <c r="D74" s="5524"/>
      <c r="E74" s="5524"/>
      <c r="F74" s="5524"/>
      <c r="G74" s="5524"/>
      <c r="H74" s="5524"/>
      <c r="I74" s="5524"/>
      <c r="J74" s="5524"/>
      <c r="K74" s="5524"/>
      <c r="L74" s="5524"/>
      <c r="M74" s="5524"/>
      <c r="N74" s="5524"/>
      <c r="O74" s="5524"/>
      <c r="P74" s="5524"/>
      <c r="Q74" s="5524"/>
      <c r="R74" s="5524"/>
      <c r="S74" s="5524"/>
      <c r="T74" s="5524"/>
      <c r="U74" s="5524"/>
      <c r="V74" s="5856"/>
    </row>
    <row r="75" spans="1:22" s="989" customFormat="1" ht="78.75" customHeight="1" x14ac:dyDescent="0.3">
      <c r="A75" s="5709"/>
      <c r="B75" s="5710"/>
      <c r="C75" s="5526" t="s">
        <v>1559</v>
      </c>
      <c r="D75" s="5527"/>
      <c r="E75" s="5527"/>
      <c r="F75" s="5527"/>
      <c r="G75" s="5527"/>
      <c r="H75" s="5527"/>
      <c r="I75" s="5527"/>
      <c r="J75" s="5527"/>
      <c r="K75" s="5527"/>
      <c r="L75" s="5527"/>
      <c r="M75" s="5527"/>
      <c r="N75" s="5527"/>
      <c r="O75" s="5527"/>
      <c r="P75" s="5527"/>
      <c r="Q75" s="5527"/>
      <c r="R75" s="5527"/>
      <c r="S75" s="5527"/>
      <c r="T75" s="5527"/>
      <c r="U75" s="5527"/>
      <c r="V75" s="5857"/>
    </row>
    <row r="76" spans="1:22" s="989" customFormat="1" ht="48" customHeight="1" x14ac:dyDescent="0.3">
      <c r="A76" s="5711"/>
      <c r="B76" s="5712"/>
      <c r="C76" s="5523" t="s">
        <v>1560</v>
      </c>
      <c r="D76" s="5524"/>
      <c r="E76" s="5524"/>
      <c r="F76" s="5524"/>
      <c r="G76" s="5524"/>
      <c r="H76" s="5524"/>
      <c r="I76" s="5524"/>
      <c r="J76" s="5524"/>
      <c r="K76" s="5524"/>
      <c r="L76" s="5524"/>
      <c r="M76" s="5524"/>
      <c r="N76" s="5524"/>
      <c r="O76" s="5524"/>
      <c r="P76" s="5524"/>
      <c r="Q76" s="5524"/>
      <c r="R76" s="5524"/>
      <c r="S76" s="5524"/>
      <c r="T76" s="5524"/>
      <c r="U76" s="5524"/>
      <c r="V76" s="5858"/>
    </row>
    <row r="77" spans="1:22" s="989" customFormat="1" ht="27" customHeight="1" x14ac:dyDescent="0.3">
      <c r="A77" s="5713"/>
      <c r="B77" s="5714"/>
      <c r="C77" s="5523" t="s">
        <v>1561</v>
      </c>
      <c r="D77" s="5524"/>
      <c r="E77" s="5524"/>
      <c r="F77" s="5524"/>
      <c r="G77" s="5524"/>
      <c r="H77" s="5524"/>
      <c r="I77" s="5524"/>
      <c r="J77" s="5524"/>
      <c r="K77" s="5524"/>
      <c r="L77" s="5524"/>
      <c r="M77" s="5524"/>
      <c r="N77" s="5524"/>
      <c r="O77" s="5524"/>
      <c r="P77" s="5524"/>
      <c r="Q77" s="5524"/>
      <c r="R77" s="5524"/>
      <c r="S77" s="5524"/>
      <c r="T77" s="5524"/>
      <c r="U77" s="5524"/>
      <c r="V77" s="5859"/>
    </row>
    <row r="78" spans="1:22" s="989" customFormat="1" ht="29.25" customHeight="1" x14ac:dyDescent="0.3">
      <c r="A78" s="5715"/>
      <c r="B78" s="5716"/>
      <c r="C78" s="5531" t="s">
        <v>1562</v>
      </c>
      <c r="D78" s="5532"/>
      <c r="E78" s="5532"/>
      <c r="F78" s="5532"/>
      <c r="G78" s="5532"/>
      <c r="H78" s="5532"/>
      <c r="I78" s="5532"/>
      <c r="J78" s="5532"/>
      <c r="K78" s="5532"/>
      <c r="L78" s="5532"/>
      <c r="M78" s="5532"/>
      <c r="N78" s="5532"/>
      <c r="O78" s="5532"/>
      <c r="P78" s="5532"/>
      <c r="Q78" s="5532"/>
      <c r="R78" s="5532"/>
      <c r="S78" s="5532"/>
      <c r="T78" s="5532"/>
      <c r="U78" s="5532"/>
      <c r="V78" s="5860"/>
    </row>
    <row r="79" spans="1:22" s="989" customFormat="1" ht="27.75" customHeight="1" x14ac:dyDescent="0.3">
      <c r="A79" s="5717"/>
      <c r="B79" s="5718"/>
      <c r="C79" s="5523" t="s">
        <v>1563</v>
      </c>
      <c r="D79" s="5524"/>
      <c r="E79" s="5524"/>
      <c r="F79" s="5524"/>
      <c r="G79" s="5524"/>
      <c r="H79" s="5524"/>
      <c r="I79" s="5524"/>
      <c r="J79" s="5524"/>
      <c r="K79" s="5524"/>
      <c r="L79" s="5524"/>
      <c r="M79" s="5524"/>
      <c r="N79" s="5524"/>
      <c r="O79" s="5524"/>
      <c r="P79" s="5524"/>
      <c r="Q79" s="5524"/>
      <c r="R79" s="5524"/>
      <c r="S79" s="5524"/>
      <c r="T79" s="5524"/>
      <c r="U79" s="5524"/>
      <c r="V79" s="5861"/>
    </row>
    <row r="80" spans="1:22" s="989" customFormat="1" ht="45" customHeight="1" x14ac:dyDescent="0.3">
      <c r="A80" s="5719"/>
      <c r="B80" s="5720"/>
      <c r="C80" s="5523" t="s">
        <v>1564</v>
      </c>
      <c r="D80" s="5524"/>
      <c r="E80" s="5524"/>
      <c r="F80" s="5524"/>
      <c r="G80" s="5524"/>
      <c r="H80" s="5524"/>
      <c r="I80" s="5524"/>
      <c r="J80" s="5524"/>
      <c r="K80" s="5524"/>
      <c r="L80" s="5524"/>
      <c r="M80" s="5524"/>
      <c r="N80" s="5524"/>
      <c r="O80" s="5524"/>
      <c r="P80" s="5524"/>
      <c r="Q80" s="5524"/>
      <c r="R80" s="5524"/>
      <c r="S80" s="5524"/>
      <c r="T80" s="5524"/>
      <c r="U80" s="5524"/>
      <c r="V80" s="5862"/>
    </row>
    <row r="81" spans="1:22" s="989" customFormat="1" ht="48.75" customHeight="1" x14ac:dyDescent="0.3">
      <c r="A81" s="5721"/>
      <c r="B81" s="5722"/>
      <c r="C81" s="5536" t="s">
        <v>1565</v>
      </c>
      <c r="D81" s="5863"/>
      <c r="E81" s="5864"/>
      <c r="F81" s="5865"/>
      <c r="G81" s="5866"/>
      <c r="H81" s="5867"/>
      <c r="I81" s="5868"/>
      <c r="J81" s="5869"/>
      <c r="K81" s="5870"/>
      <c r="L81" s="5871"/>
      <c r="M81" s="5872"/>
      <c r="N81" s="5873"/>
      <c r="O81" s="5874"/>
      <c r="P81" s="5875"/>
      <c r="Q81" s="5876"/>
      <c r="R81" s="5877"/>
      <c r="S81" s="5878"/>
      <c r="T81" s="5879"/>
      <c r="U81" s="5880"/>
      <c r="V81" s="5881"/>
    </row>
    <row r="82" spans="1:22" s="989" customFormat="1" ht="44.25" customHeight="1" x14ac:dyDescent="0.3">
      <c r="A82" s="5723"/>
      <c r="B82" s="5724"/>
      <c r="C82" s="5556" t="s">
        <v>1566</v>
      </c>
      <c r="D82" s="5882"/>
      <c r="E82" s="5883"/>
      <c r="F82" s="5884"/>
      <c r="G82" s="5885"/>
      <c r="H82" s="5886"/>
      <c r="I82" s="5887"/>
      <c r="J82" s="5888"/>
      <c r="K82" s="5889"/>
      <c r="L82" s="5890"/>
      <c r="M82" s="5891"/>
      <c r="N82" s="5892"/>
      <c r="O82" s="5893"/>
      <c r="P82" s="5894"/>
      <c r="Q82" s="5895"/>
      <c r="R82" s="5896"/>
      <c r="S82" s="5897"/>
      <c r="T82" s="5898"/>
      <c r="U82" s="5899"/>
      <c r="V82" s="5900"/>
    </row>
    <row r="83" spans="1:22" s="989" customFormat="1" ht="43.5" customHeight="1" x14ac:dyDescent="0.3">
      <c r="A83" s="5725"/>
      <c r="B83" s="5726"/>
      <c r="C83" s="5526" t="s">
        <v>1567</v>
      </c>
      <c r="D83" s="5527"/>
      <c r="E83" s="5527"/>
      <c r="F83" s="5527"/>
      <c r="G83" s="5527"/>
      <c r="H83" s="5527"/>
      <c r="I83" s="5527"/>
      <c r="J83" s="5527"/>
      <c r="K83" s="5527"/>
      <c r="L83" s="5527"/>
      <c r="M83" s="5527"/>
      <c r="N83" s="5527"/>
      <c r="O83" s="5527"/>
      <c r="P83" s="5527"/>
      <c r="Q83" s="5527"/>
      <c r="R83" s="5527"/>
      <c r="S83" s="5527"/>
      <c r="T83" s="5527"/>
      <c r="U83" s="5527"/>
      <c r="V83" s="5901"/>
    </row>
    <row r="84" spans="1:22" s="989" customFormat="1" ht="30" customHeight="1" x14ac:dyDescent="0.3">
      <c r="A84" s="5727"/>
      <c r="B84" s="5728"/>
      <c r="C84" s="5520" t="s">
        <v>1568</v>
      </c>
      <c r="D84" s="5521"/>
      <c r="E84" s="5521"/>
      <c r="F84" s="5521"/>
      <c r="G84" s="5521"/>
      <c r="H84" s="5521"/>
      <c r="I84" s="5521"/>
      <c r="J84" s="5521"/>
      <c r="K84" s="5521"/>
      <c r="L84" s="5521"/>
      <c r="M84" s="5521"/>
      <c r="N84" s="5521"/>
      <c r="O84" s="5521"/>
      <c r="P84" s="5521"/>
      <c r="Q84" s="5521"/>
      <c r="R84" s="5521"/>
      <c r="S84" s="5521"/>
      <c r="T84" s="5521"/>
      <c r="U84" s="5521"/>
      <c r="V84" s="5902"/>
    </row>
    <row r="85" spans="1:22" s="989" customFormat="1" ht="95.25" customHeight="1" x14ac:dyDescent="0.3">
      <c r="A85" s="5729"/>
      <c r="B85" s="5730"/>
      <c r="C85" s="5578" t="s">
        <v>1569</v>
      </c>
      <c r="D85" s="5579"/>
      <c r="E85" s="5579"/>
      <c r="F85" s="5579"/>
      <c r="G85" s="5579"/>
      <c r="H85" s="5579"/>
      <c r="I85" s="5579"/>
      <c r="J85" s="5579"/>
      <c r="K85" s="5579"/>
      <c r="L85" s="5579"/>
      <c r="M85" s="5579"/>
      <c r="N85" s="5579"/>
      <c r="O85" s="5579"/>
      <c r="P85" s="5579"/>
      <c r="Q85" s="5579"/>
      <c r="R85" s="5579"/>
      <c r="S85" s="5579"/>
      <c r="T85" s="5579"/>
      <c r="U85" s="5579"/>
      <c r="V85" s="5760"/>
    </row>
    <row r="86" spans="1:22" s="989" customFormat="1" ht="93.75" customHeight="1" x14ac:dyDescent="0.3">
      <c r="A86" s="5731"/>
      <c r="B86" s="5732"/>
      <c r="C86" s="5578" t="s">
        <v>1570</v>
      </c>
      <c r="D86" s="5579"/>
      <c r="E86" s="5579"/>
      <c r="F86" s="5579"/>
      <c r="G86" s="5579"/>
      <c r="H86" s="5579"/>
      <c r="I86" s="5579"/>
      <c r="J86" s="5579"/>
      <c r="K86" s="5579"/>
      <c r="L86" s="5579"/>
      <c r="M86" s="5579"/>
      <c r="N86" s="5579"/>
      <c r="O86" s="5579"/>
      <c r="P86" s="5579"/>
      <c r="Q86" s="5579"/>
      <c r="R86" s="5579"/>
      <c r="S86" s="5579"/>
      <c r="T86" s="5579"/>
      <c r="U86" s="5579"/>
      <c r="V86" s="5761"/>
    </row>
    <row r="87" spans="1:22" s="937" customFormat="1" ht="54" customHeight="1" x14ac:dyDescent="0.25">
      <c r="A87" s="5733"/>
      <c r="B87" s="5734"/>
      <c r="C87" s="5526" t="s">
        <v>1571</v>
      </c>
      <c r="D87" s="5527"/>
      <c r="E87" s="5527"/>
      <c r="F87" s="5527"/>
      <c r="G87" s="5527"/>
      <c r="H87" s="5527"/>
      <c r="I87" s="5527"/>
      <c r="J87" s="5527"/>
      <c r="K87" s="5527"/>
      <c r="L87" s="5527"/>
      <c r="M87" s="5527"/>
      <c r="N87" s="5527"/>
      <c r="O87" s="5527"/>
      <c r="P87" s="5527"/>
      <c r="Q87" s="5527"/>
      <c r="R87" s="5527"/>
      <c r="S87" s="5527"/>
      <c r="T87" s="5527"/>
      <c r="U87" s="5527"/>
      <c r="V87" s="5762"/>
    </row>
    <row r="88" spans="1:22" s="937" customFormat="1" ht="39.75" customHeight="1" x14ac:dyDescent="0.25">
      <c r="A88" s="5735"/>
      <c r="B88" s="5736"/>
      <c r="C88" s="5578" t="s">
        <v>1572</v>
      </c>
      <c r="D88" s="5579"/>
      <c r="E88" s="5579"/>
      <c r="F88" s="5579"/>
      <c r="G88" s="5579"/>
      <c r="H88" s="5579"/>
      <c r="I88" s="5579"/>
      <c r="J88" s="5579"/>
      <c r="K88" s="5579"/>
      <c r="L88" s="5579"/>
      <c r="M88" s="5579"/>
      <c r="N88" s="5579"/>
      <c r="O88" s="5579"/>
      <c r="P88" s="5579"/>
      <c r="Q88" s="5579"/>
      <c r="R88" s="5579"/>
      <c r="S88" s="5579"/>
      <c r="T88" s="5579"/>
      <c r="U88" s="5579"/>
      <c r="V88" s="5763"/>
    </row>
    <row r="89" spans="1:22" s="937" customFormat="1" ht="130.5" customHeight="1" x14ac:dyDescent="0.25">
      <c r="A89" s="5737"/>
      <c r="B89" s="5738"/>
      <c r="C89" s="5526" t="s">
        <v>1573</v>
      </c>
      <c r="D89" s="5527"/>
      <c r="E89" s="5527"/>
      <c r="F89" s="5527"/>
      <c r="G89" s="5527"/>
      <c r="H89" s="5527"/>
      <c r="I89" s="5527"/>
      <c r="J89" s="5527"/>
      <c r="K89" s="5527"/>
      <c r="L89" s="5527"/>
      <c r="M89" s="5527"/>
      <c r="N89" s="5527"/>
      <c r="O89" s="5527"/>
      <c r="P89" s="5527"/>
      <c r="Q89" s="5527"/>
      <c r="R89" s="5527"/>
      <c r="S89" s="5527"/>
      <c r="T89" s="5527"/>
      <c r="U89" s="5527"/>
      <c r="V89" s="5764"/>
    </row>
    <row r="90" spans="1:22" s="994" customFormat="1" ht="203.25" customHeight="1" x14ac:dyDescent="0.25">
      <c r="A90" s="5739"/>
      <c r="B90" s="5740"/>
      <c r="C90" s="5585" t="s">
        <v>1574</v>
      </c>
      <c r="D90" s="5765"/>
      <c r="E90" s="5766"/>
      <c r="F90" s="5767"/>
      <c r="G90" s="5768"/>
      <c r="H90" s="5769"/>
      <c r="I90" s="5770"/>
      <c r="J90" s="5771"/>
      <c r="K90" s="5772"/>
      <c r="L90" s="5773"/>
      <c r="M90" s="5774"/>
      <c r="N90" s="5775"/>
      <c r="O90" s="5776"/>
      <c r="P90" s="5777"/>
      <c r="Q90" s="5778"/>
      <c r="R90" s="5779"/>
      <c r="S90" s="5780"/>
      <c r="T90" s="5781"/>
      <c r="U90" s="5782"/>
      <c r="V90" s="5783"/>
    </row>
    <row r="91" spans="1:22" s="994" customFormat="1" ht="62.25" customHeight="1" x14ac:dyDescent="0.25">
      <c r="A91" s="5804"/>
      <c r="B91" s="5805"/>
      <c r="C91" s="5605" t="s">
        <v>1575</v>
      </c>
      <c r="D91" s="5784"/>
      <c r="E91" s="5785"/>
      <c r="F91" s="5786"/>
      <c r="G91" s="5787"/>
      <c r="H91" s="5788"/>
      <c r="I91" s="5789"/>
      <c r="J91" s="5790"/>
      <c r="K91" s="5791"/>
      <c r="L91" s="5792"/>
      <c r="M91" s="5793"/>
      <c r="N91" s="5794"/>
      <c r="O91" s="5795"/>
      <c r="P91" s="5796"/>
      <c r="Q91" s="5797"/>
      <c r="R91" s="5798"/>
      <c r="S91" s="5799"/>
      <c r="T91" s="5800"/>
      <c r="U91" s="5801"/>
      <c r="V91" s="5802"/>
    </row>
    <row r="92" spans="1:22" s="994" customFormat="1" ht="50.25" customHeight="1" x14ac:dyDescent="0.25">
      <c r="A92" s="5806"/>
      <c r="B92" s="5807"/>
      <c r="C92" s="5526" t="s">
        <v>1576</v>
      </c>
      <c r="D92" s="5527"/>
      <c r="E92" s="5527"/>
      <c r="F92" s="5527"/>
      <c r="G92" s="5527"/>
      <c r="H92" s="5527"/>
      <c r="I92" s="5527"/>
      <c r="J92" s="5527"/>
      <c r="K92" s="5527"/>
      <c r="L92" s="5527"/>
      <c r="M92" s="5527"/>
      <c r="N92" s="5527"/>
      <c r="O92" s="5527"/>
      <c r="P92" s="5527"/>
      <c r="Q92" s="5527"/>
      <c r="R92" s="5527"/>
      <c r="S92" s="5527"/>
      <c r="T92" s="5527"/>
      <c r="U92" s="5527"/>
      <c r="V92" s="5803"/>
    </row>
    <row r="93" spans="1:22" s="937" customFormat="1" ht="50.25" customHeight="1" x14ac:dyDescent="0.25">
      <c r="A93" s="5808"/>
      <c r="B93" s="5809"/>
      <c r="C93" s="5626" t="s">
        <v>1577</v>
      </c>
      <c r="D93" s="5810"/>
      <c r="E93" s="5811"/>
      <c r="F93" s="5812"/>
      <c r="G93" s="5813"/>
      <c r="H93" s="5814"/>
      <c r="I93" s="5815"/>
      <c r="J93" s="5816"/>
      <c r="K93" s="5817"/>
      <c r="L93" s="5818"/>
      <c r="M93" s="5819"/>
      <c r="N93" s="5820"/>
      <c r="O93" s="5821"/>
      <c r="P93" s="5822"/>
      <c r="Q93" s="5823"/>
      <c r="R93" s="5824"/>
      <c r="S93" s="5825"/>
      <c r="T93" s="5826"/>
      <c r="U93" s="5827"/>
      <c r="V93" s="5828"/>
    </row>
    <row r="94" spans="1:22" s="937" customFormat="1" ht="36" customHeight="1" x14ac:dyDescent="0.3">
      <c r="A94" s="5466"/>
      <c r="B94" s="5466"/>
      <c r="C94" s="110"/>
      <c r="D94" s="5466"/>
      <c r="E94" s="5466"/>
      <c r="F94" s="5466"/>
      <c r="G94" s="5466"/>
      <c r="H94" s="5466"/>
      <c r="I94" s="5466"/>
      <c r="J94" s="5466"/>
      <c r="K94" s="5466"/>
      <c r="L94" s="5466"/>
      <c r="M94" s="5466"/>
      <c r="N94" s="5466"/>
      <c r="O94" s="5466"/>
      <c r="P94" s="5466"/>
      <c r="Q94" s="5466"/>
      <c r="R94" s="5466"/>
      <c r="S94" s="5466"/>
      <c r="T94" s="5466"/>
      <c r="U94" s="5466"/>
      <c r="V94" s="939"/>
    </row>
    <row r="95" spans="1:22" s="996" customFormat="1" ht="38.1" customHeight="1" x14ac:dyDescent="0.25">
      <c r="A95" s="5646" t="s">
        <v>1578</v>
      </c>
      <c r="B95" s="5646"/>
      <c r="C95" s="5646"/>
      <c r="D95" s="5646"/>
      <c r="E95" s="5646"/>
      <c r="F95" s="5646"/>
      <c r="G95" s="5646"/>
      <c r="H95" s="5646"/>
      <c r="I95" s="5646"/>
      <c r="J95" s="5646"/>
      <c r="K95" s="5646"/>
      <c r="L95" s="5646"/>
      <c r="M95" s="5646"/>
      <c r="N95" s="5646"/>
      <c r="O95" s="5646"/>
      <c r="P95" s="5646"/>
      <c r="Q95" s="5646"/>
      <c r="R95" s="5646"/>
      <c r="S95" s="5646"/>
      <c r="T95" s="5646"/>
      <c r="U95" s="5646"/>
      <c r="V95" s="5646"/>
    </row>
    <row r="96" spans="1:22" s="996" customFormat="1" ht="33" customHeight="1" x14ac:dyDescent="0.25">
      <c r="A96" s="5646" t="s">
        <v>1579</v>
      </c>
      <c r="B96" s="5646"/>
      <c r="C96" s="5646"/>
      <c r="D96" s="5646"/>
      <c r="E96" s="5646"/>
      <c r="F96" s="5646"/>
      <c r="G96" s="5646"/>
      <c r="H96" s="5646"/>
      <c r="I96" s="5646"/>
      <c r="J96" s="5646"/>
      <c r="K96" s="5646"/>
      <c r="L96" s="5646"/>
      <c r="M96" s="5646"/>
      <c r="N96" s="5646"/>
      <c r="O96" s="5646"/>
      <c r="P96" s="5646"/>
      <c r="Q96" s="5646"/>
      <c r="R96" s="5646"/>
      <c r="S96" s="5646"/>
      <c r="T96" s="5646"/>
      <c r="U96" s="5646"/>
      <c r="V96" s="5646"/>
    </row>
    <row r="97" spans="1:22" s="996" customFormat="1" ht="30" customHeight="1" x14ac:dyDescent="0.25">
      <c r="A97" s="5646" t="s">
        <v>1580</v>
      </c>
      <c r="B97" s="5646"/>
      <c r="C97" s="5646"/>
      <c r="D97" s="5646"/>
      <c r="E97" s="5646"/>
      <c r="F97" s="5646"/>
      <c r="G97" s="5646"/>
      <c r="H97" s="5646"/>
      <c r="I97" s="5646"/>
      <c r="J97" s="5646"/>
      <c r="K97" s="5646"/>
      <c r="L97" s="5646"/>
      <c r="M97" s="5646"/>
      <c r="N97" s="5646"/>
      <c r="O97" s="5646"/>
      <c r="P97" s="5646"/>
      <c r="Q97" s="5646"/>
      <c r="R97" s="5646"/>
      <c r="S97" s="5646"/>
      <c r="T97" s="5646"/>
      <c r="U97" s="5646"/>
      <c r="V97" s="5646"/>
    </row>
    <row r="98" spans="1:22" s="996" customFormat="1" ht="32.25" customHeight="1" x14ac:dyDescent="0.25">
      <c r="A98" s="5646" t="s">
        <v>1581</v>
      </c>
      <c r="B98" s="5646"/>
      <c r="C98" s="5646"/>
      <c r="D98" s="5646"/>
      <c r="E98" s="5646"/>
      <c r="F98" s="5646"/>
      <c r="G98" s="5646"/>
      <c r="H98" s="5646"/>
      <c r="I98" s="5646"/>
      <c r="J98" s="5646"/>
      <c r="K98" s="5646"/>
      <c r="L98" s="5646"/>
      <c r="M98" s="5646"/>
      <c r="N98" s="5646"/>
      <c r="O98" s="5646"/>
      <c r="P98" s="5646"/>
      <c r="Q98" s="5646"/>
      <c r="R98" s="5646"/>
      <c r="S98" s="5646"/>
      <c r="T98" s="5646"/>
      <c r="U98" s="5646"/>
      <c r="V98" s="5646"/>
    </row>
    <row r="99" spans="1:22" s="996" customFormat="1" ht="30.75" customHeight="1" x14ac:dyDescent="0.25">
      <c r="A99" s="5646" t="s">
        <v>1582</v>
      </c>
      <c r="B99" s="5646"/>
      <c r="C99" s="5646"/>
      <c r="D99" s="5646"/>
      <c r="E99" s="5646"/>
      <c r="F99" s="5646"/>
      <c r="G99" s="5646"/>
      <c r="H99" s="5646"/>
      <c r="I99" s="5646"/>
      <c r="J99" s="5646"/>
      <c r="K99" s="5646"/>
      <c r="L99" s="5646"/>
      <c r="M99" s="5646"/>
      <c r="N99" s="5646"/>
      <c r="O99" s="5646"/>
      <c r="P99" s="5646"/>
      <c r="Q99" s="5646"/>
      <c r="R99" s="5646"/>
      <c r="S99" s="5646"/>
      <c r="T99" s="5646"/>
      <c r="U99" s="5646"/>
      <c r="V99" s="5646"/>
    </row>
    <row r="100" spans="1:22" s="996" customFormat="1" ht="30.75" customHeight="1" x14ac:dyDescent="0.25">
      <c r="A100" s="5646" t="s">
        <v>1583</v>
      </c>
      <c r="B100" s="5646"/>
      <c r="C100" s="5646"/>
      <c r="D100" s="5646"/>
      <c r="E100" s="5646"/>
      <c r="F100" s="5646"/>
      <c r="G100" s="5646"/>
      <c r="H100" s="5646"/>
      <c r="I100" s="5646"/>
      <c r="J100" s="5646"/>
      <c r="K100" s="5646"/>
      <c r="L100" s="5646"/>
      <c r="M100" s="5646"/>
      <c r="N100" s="5646"/>
      <c r="O100" s="5646"/>
      <c r="P100" s="5646"/>
      <c r="Q100" s="5646"/>
      <c r="R100" s="5646"/>
      <c r="S100" s="5646"/>
      <c r="T100" s="5646"/>
      <c r="U100" s="5646"/>
      <c r="V100" s="5646"/>
    </row>
    <row r="101" spans="1:22" s="996" customFormat="1" ht="29.25" customHeight="1" x14ac:dyDescent="0.25">
      <c r="A101" s="5646" t="s">
        <v>1584</v>
      </c>
      <c r="B101" s="5646"/>
      <c r="C101" s="5646"/>
      <c r="D101" s="5646"/>
      <c r="E101" s="5646"/>
      <c r="F101" s="5646"/>
      <c r="G101" s="5646"/>
      <c r="H101" s="5646"/>
      <c r="I101" s="5646"/>
      <c r="J101" s="5646"/>
      <c r="K101" s="5646"/>
      <c r="L101" s="5646"/>
      <c r="M101" s="5646"/>
      <c r="N101" s="5646"/>
      <c r="O101" s="5646"/>
      <c r="P101" s="5646"/>
      <c r="Q101" s="5646"/>
      <c r="R101" s="5646"/>
      <c r="S101" s="5646"/>
      <c r="T101" s="5646"/>
      <c r="U101" s="5646"/>
      <c r="V101" s="5646"/>
    </row>
    <row r="102" spans="1:22" s="996" customFormat="1" ht="48" customHeight="1" x14ac:dyDescent="0.25">
      <c r="A102" s="5646" t="s">
        <v>1585</v>
      </c>
      <c r="B102" s="5646"/>
      <c r="C102" s="5646"/>
      <c r="D102" s="5646"/>
      <c r="E102" s="5646"/>
      <c r="F102" s="5646"/>
      <c r="G102" s="5646"/>
      <c r="H102" s="5646"/>
      <c r="I102" s="5646"/>
      <c r="J102" s="5646"/>
      <c r="K102" s="5646"/>
      <c r="L102" s="5646"/>
      <c r="M102" s="5646"/>
      <c r="N102" s="5646"/>
      <c r="O102" s="5646"/>
      <c r="P102" s="5646"/>
      <c r="Q102" s="5646"/>
      <c r="R102" s="5646"/>
      <c r="S102" s="5646"/>
      <c r="T102" s="5646"/>
      <c r="U102" s="5646"/>
      <c r="V102" s="5646"/>
    </row>
    <row r="103" spans="1:22" ht="28.5" customHeight="1" x14ac:dyDescent="0.25">
      <c r="A103" s="5647" t="s">
        <v>1586</v>
      </c>
      <c r="B103" s="5647"/>
      <c r="C103" s="5647"/>
      <c r="D103" s="5647"/>
      <c r="E103" s="5647"/>
      <c r="F103" s="5647"/>
      <c r="G103" s="5647"/>
      <c r="H103" s="5647"/>
      <c r="I103" s="5647"/>
      <c r="J103" s="5647"/>
      <c r="K103" s="5647"/>
      <c r="L103" s="5647"/>
      <c r="M103" s="5647"/>
      <c r="N103" s="5647"/>
      <c r="O103" s="5647"/>
      <c r="P103" s="5647"/>
      <c r="Q103" s="5647"/>
      <c r="R103" s="5647"/>
      <c r="S103" s="5647"/>
      <c r="T103" s="5647"/>
      <c r="U103" s="5647"/>
      <c r="V103" s="5647"/>
    </row>
    <row r="104" spans="1:22" ht="28.5" customHeight="1" x14ac:dyDescent="0.25">
      <c r="A104" s="5647" t="s">
        <v>1587</v>
      </c>
      <c r="B104" s="5647"/>
      <c r="C104" s="5647"/>
      <c r="D104" s="5647"/>
      <c r="E104" s="5647"/>
      <c r="F104" s="5647"/>
      <c r="G104" s="5647"/>
      <c r="H104" s="5647"/>
      <c r="I104" s="5647"/>
      <c r="J104" s="5647"/>
      <c r="K104" s="5647"/>
      <c r="L104" s="5647"/>
      <c r="M104" s="5647"/>
      <c r="N104" s="5647"/>
      <c r="O104" s="5647"/>
      <c r="P104" s="5647"/>
      <c r="Q104" s="5647"/>
      <c r="R104" s="5647"/>
      <c r="S104" s="5647"/>
      <c r="T104" s="5647"/>
      <c r="U104" s="5647"/>
      <c r="V104" s="5647"/>
    </row>
    <row r="105" spans="1:22" ht="28.5" customHeight="1" x14ac:dyDescent="0.25">
      <c r="A105" s="5647" t="s">
        <v>1588</v>
      </c>
      <c r="B105" s="5647"/>
      <c r="C105" s="5647"/>
      <c r="D105" s="5647"/>
      <c r="E105" s="5647"/>
      <c r="F105" s="5647"/>
      <c r="G105" s="5647"/>
      <c r="H105" s="5647"/>
      <c r="I105" s="5647"/>
      <c r="J105" s="5647"/>
      <c r="K105" s="5647"/>
      <c r="L105" s="5647"/>
      <c r="M105" s="5647"/>
      <c r="N105" s="5647"/>
      <c r="O105" s="5647"/>
      <c r="P105" s="5647"/>
      <c r="Q105" s="5647"/>
      <c r="R105" s="5647"/>
      <c r="S105" s="5647"/>
      <c r="T105" s="5647"/>
      <c r="U105" s="5647"/>
      <c r="V105" s="5647"/>
    </row>
  </sheetData>
  <mergeCells count="113">
    <mergeCell ref="A105:V105"/>
    <mergeCell ref="A104:V104"/>
    <mergeCell ref="A98:V98"/>
    <mergeCell ref="A97:V97"/>
    <mergeCell ref="A99:V99"/>
    <mergeCell ref="A100:V100"/>
    <mergeCell ref="A101:V101"/>
    <mergeCell ref="A102:V102"/>
    <mergeCell ref="A103:V103"/>
    <mergeCell ref="D94:U94"/>
    <mergeCell ref="A95:V95"/>
    <mergeCell ref="A96:V96"/>
    <mergeCell ref="B42:B43"/>
    <mergeCell ref="B40:B41"/>
    <mergeCell ref="B38:B39"/>
    <mergeCell ref="B36:B37"/>
    <mergeCell ref="B34:B35"/>
    <mergeCell ref="B32:B33"/>
    <mergeCell ref="C72:V72"/>
    <mergeCell ref="C73:V73"/>
    <mergeCell ref="C74:V74"/>
    <mergeCell ref="C75:V75"/>
    <mergeCell ref="C76:V76"/>
    <mergeCell ref="C77:V77"/>
    <mergeCell ref="C78:V78"/>
    <mergeCell ref="C79:V79"/>
    <mergeCell ref="C80:V80"/>
    <mergeCell ref="C81:V81"/>
    <mergeCell ref="C82:V82"/>
    <mergeCell ref="C83:V83"/>
    <mergeCell ref="C84:V84"/>
    <mergeCell ref="C85:V85"/>
    <mergeCell ref="C86:V86"/>
    <mergeCell ref="C87:V87"/>
    <mergeCell ref="C88:V88"/>
    <mergeCell ref="C89:V89"/>
    <mergeCell ref="C90:V90"/>
    <mergeCell ref="C91:V91"/>
    <mergeCell ref="C92:V92"/>
    <mergeCell ref="A91:B93"/>
    <mergeCell ref="C93:V93"/>
    <mergeCell ref="B44:B45"/>
    <mergeCell ref="B24:B25"/>
    <mergeCell ref="B62:B63"/>
    <mergeCell ref="B68:B69"/>
    <mergeCell ref="B58:B59"/>
    <mergeCell ref="B60:B61"/>
    <mergeCell ref="B52:B53"/>
    <mergeCell ref="B48:B49"/>
    <mergeCell ref="B26:B27"/>
    <mergeCell ref="B46:B47"/>
    <mergeCell ref="B64:B65"/>
    <mergeCell ref="B66:B67"/>
    <mergeCell ref="B56:B57"/>
    <mergeCell ref="B54:B55"/>
    <mergeCell ref="B50:B51"/>
    <mergeCell ref="B28:B29"/>
    <mergeCell ref="B30:B31"/>
    <mergeCell ref="A62:A63"/>
    <mergeCell ref="A64:A65"/>
    <mergeCell ref="A66:A67"/>
    <mergeCell ref="A68:A69"/>
    <mergeCell ref="A72:B81"/>
    <mergeCell ref="A94:B94"/>
    <mergeCell ref="A82:B90"/>
    <mergeCell ref="A70:A71"/>
    <mergeCell ref="A48:A49"/>
    <mergeCell ref="B70:B71"/>
    <mergeCell ref="A46:A47"/>
    <mergeCell ref="A30:A31"/>
    <mergeCell ref="A40:A41"/>
    <mergeCell ref="A50:A51"/>
    <mergeCell ref="A52:A53"/>
    <mergeCell ref="A54:A55"/>
    <mergeCell ref="A56:A57"/>
    <mergeCell ref="A58:A59"/>
    <mergeCell ref="A60:A61"/>
    <mergeCell ref="A24:A25"/>
    <mergeCell ref="A26:A27"/>
    <mergeCell ref="A28:A29"/>
    <mergeCell ref="A44:A45"/>
    <mergeCell ref="A42:A43"/>
    <mergeCell ref="A38:A39"/>
    <mergeCell ref="A36:A37"/>
    <mergeCell ref="A32:A33"/>
    <mergeCell ref="A34:A35"/>
    <mergeCell ref="D14:D16"/>
    <mergeCell ref="C14:C16"/>
    <mergeCell ref="B14:B16"/>
    <mergeCell ref="A1:V1"/>
    <mergeCell ref="K14:P14"/>
    <mergeCell ref="Q14:V14"/>
    <mergeCell ref="C3:V3"/>
    <mergeCell ref="C4:V4"/>
    <mergeCell ref="C5:V5"/>
    <mergeCell ref="C6:V6"/>
    <mergeCell ref="C7:V7"/>
    <mergeCell ref="C11:V11"/>
    <mergeCell ref="C12:V12"/>
    <mergeCell ref="D13:V13"/>
    <mergeCell ref="C8:V8"/>
    <mergeCell ref="C9:V9"/>
    <mergeCell ref="C10:V10"/>
    <mergeCell ref="A14:A16"/>
    <mergeCell ref="U15:V15"/>
    <mergeCell ref="S15:T15"/>
    <mergeCell ref="Q15:R15"/>
    <mergeCell ref="O15:P15"/>
    <mergeCell ref="M15:N15"/>
    <mergeCell ref="K15:L15"/>
    <mergeCell ref="I14:J15"/>
    <mergeCell ref="G14:H15"/>
    <mergeCell ref="E14:F15"/>
  </mergeCell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C67"/>
  <sheetViews>
    <sheetView workbookViewId="0"/>
  </sheetViews>
  <sheetFormatPr defaultColWidth="9.140625" defaultRowHeight="15" x14ac:dyDescent="0.25"/>
  <cols>
    <col min="2" max="2" width="7.5703125" customWidth="1"/>
  </cols>
  <sheetData>
    <row r="1" spans="1:16" ht="12.75" customHeight="1" x14ac:dyDescent="0.25">
      <c r="A1" s="15"/>
      <c r="B1" s="160"/>
      <c r="C1" s="16"/>
      <c r="D1" s="160"/>
      <c r="E1" s="160"/>
      <c r="F1" s="160"/>
      <c r="G1" s="160"/>
      <c r="H1" s="160"/>
      <c r="I1" s="160"/>
      <c r="J1" s="160"/>
      <c r="K1" s="160"/>
      <c r="L1" s="161"/>
      <c r="M1" s="161"/>
      <c r="N1" s="162"/>
    </row>
    <row r="2" spans="1:16" ht="12.75" customHeight="1" x14ac:dyDescent="0.25">
      <c r="A2" s="15"/>
      <c r="B2" s="160"/>
      <c r="C2" s="16"/>
      <c r="D2" s="160"/>
      <c r="E2" s="160"/>
      <c r="F2" s="160"/>
      <c r="G2" s="160"/>
      <c r="H2" s="160"/>
      <c r="I2" s="160"/>
      <c r="J2" s="160"/>
      <c r="K2" s="160"/>
      <c r="L2" s="161"/>
      <c r="M2" s="161"/>
      <c r="N2" s="162"/>
    </row>
    <row r="3" spans="1:16" ht="12.75" customHeight="1" x14ac:dyDescent="0.25">
      <c r="A3" s="15"/>
      <c r="B3" s="160"/>
      <c r="C3" s="16"/>
      <c r="D3" s="160"/>
      <c r="E3" s="160"/>
      <c r="F3" s="160"/>
      <c r="G3" s="160"/>
      <c r="H3" s="160"/>
      <c r="I3" s="160"/>
      <c r="J3" s="160"/>
      <c r="K3" s="160"/>
      <c r="L3" s="161"/>
      <c r="M3" s="161"/>
      <c r="N3" s="162"/>
    </row>
    <row r="4" spans="1:16" ht="12" customHeight="1" x14ac:dyDescent="0.25">
      <c r="A4" s="163" t="s">
        <v>292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1"/>
      <c r="M4" s="161"/>
      <c r="N4" s="162"/>
    </row>
    <row r="5" spans="1:16" ht="12" customHeight="1" x14ac:dyDescent="0.25">
      <c r="A5" s="16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1"/>
      <c r="M5" s="161"/>
      <c r="N5" s="162"/>
    </row>
    <row r="6" spans="1:16" ht="12" customHeight="1" x14ac:dyDescent="0.25">
      <c r="A6" s="17"/>
      <c r="B6" s="18"/>
      <c r="C6" s="16"/>
      <c r="D6" s="16"/>
      <c r="E6" s="18"/>
      <c r="F6" s="16"/>
      <c r="G6" s="16"/>
      <c r="H6" s="161"/>
      <c r="I6" s="161"/>
      <c r="J6" s="18"/>
      <c r="K6" s="165"/>
      <c r="L6" s="161"/>
      <c r="M6" s="161"/>
      <c r="N6" s="162"/>
    </row>
    <row r="7" spans="1:16" ht="20.25" customHeight="1" x14ac:dyDescent="0.25">
      <c r="A7" s="166" t="s">
        <v>293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7"/>
      <c r="M7" s="167"/>
      <c r="N7" s="91"/>
    </row>
    <row r="8" spans="1:16" ht="39.75" customHeight="1" x14ac:dyDescent="0.25">
      <c r="A8" s="42" t="s">
        <v>294</v>
      </c>
      <c r="B8" s="168" t="s">
        <v>67</v>
      </c>
      <c r="C8" s="1820" t="s">
        <v>295</v>
      </c>
      <c r="D8" s="1821"/>
      <c r="E8" s="168" t="s">
        <v>69</v>
      </c>
      <c r="F8" s="1822" t="s">
        <v>70</v>
      </c>
      <c r="G8" s="1823"/>
      <c r="H8" s="1824" t="s">
        <v>296</v>
      </c>
      <c r="I8" s="1825"/>
      <c r="J8" s="1822" t="s">
        <v>297</v>
      </c>
      <c r="K8" s="1826"/>
      <c r="L8" s="167"/>
      <c r="M8" s="167"/>
      <c r="N8" s="91"/>
    </row>
    <row r="9" spans="1:16" ht="12" customHeight="1" x14ac:dyDescent="0.25">
      <c r="A9" s="15"/>
      <c r="B9" s="18"/>
      <c r="C9" s="16"/>
      <c r="D9" s="16"/>
      <c r="E9" s="18"/>
      <c r="F9" s="16"/>
      <c r="G9" s="16"/>
      <c r="H9" s="44"/>
      <c r="I9" s="44"/>
      <c r="J9" s="18"/>
      <c r="K9" s="45"/>
      <c r="L9" s="161"/>
      <c r="M9" s="161"/>
      <c r="N9" s="162"/>
    </row>
    <row r="10" spans="1:16" ht="14.25" customHeight="1" x14ac:dyDescent="0.25">
      <c r="A10" s="169"/>
      <c r="B10" s="170"/>
      <c r="C10" s="48" t="s">
        <v>298</v>
      </c>
      <c r="D10" s="171"/>
      <c r="E10" s="170"/>
      <c r="F10" s="171"/>
      <c r="G10" s="171"/>
      <c r="H10" s="172"/>
      <c r="I10" s="173"/>
      <c r="J10" s="170"/>
      <c r="K10" s="174"/>
      <c r="L10" s="169"/>
      <c r="M10" s="84"/>
      <c r="N10" s="84"/>
      <c r="P10" t="s">
        <v>299</v>
      </c>
    </row>
    <row r="11" spans="1:16" ht="15" customHeight="1" x14ac:dyDescent="0.25">
      <c r="A11" s="175"/>
      <c r="B11" s="176" t="s">
        <v>300</v>
      </c>
      <c r="C11" s="177"/>
      <c r="D11" s="178"/>
      <c r="E11" s="84"/>
      <c r="F11" s="178"/>
      <c r="G11" s="178"/>
      <c r="H11" s="179"/>
      <c r="I11" s="173"/>
      <c r="J11" s="178"/>
      <c r="K11" s="180"/>
      <c r="L11" s="181"/>
      <c r="M11" s="182" t="s">
        <v>301</v>
      </c>
      <c r="N11" s="84" t="s">
        <v>302</v>
      </c>
      <c r="P11" s="183" t="s">
        <v>303</v>
      </c>
    </row>
    <row r="12" spans="1:16" ht="15" customHeight="1" x14ac:dyDescent="0.25">
      <c r="A12" s="175"/>
      <c r="C12" s="177"/>
      <c r="D12" s="184" t="s">
        <v>304</v>
      </c>
      <c r="E12" s="185">
        <f>INT(A13/10)</f>
        <v>0</v>
      </c>
      <c r="F12" s="178"/>
      <c r="G12" s="178"/>
      <c r="H12" s="179"/>
      <c r="I12" s="173"/>
      <c r="J12" s="178"/>
      <c r="K12" s="180"/>
      <c r="L12" s="181"/>
    </row>
    <row r="13" spans="1:16" ht="15" customHeight="1" x14ac:dyDescent="0.25">
      <c r="A13" s="175">
        <v>1</v>
      </c>
      <c r="B13" s="84"/>
      <c r="C13" s="177"/>
      <c r="D13" s="178"/>
      <c r="E13" s="84"/>
      <c r="F13" s="178"/>
      <c r="G13" s="178"/>
      <c r="H13" s="179"/>
      <c r="I13" s="173"/>
      <c r="J13" s="178"/>
      <c r="K13" s="180"/>
      <c r="L13" s="181"/>
      <c r="M13" s="84">
        <f t="shared" ref="M13:M24" si="0">IF(MOD($A13, 6)=1, 6, IF(MOD($A13, 6)=2, 1, IF(MOD($A13, 6)=3, 5, IF(MOD($A13, 6)=4, 2, IF(MOD($A13, 6)=5, 4, IF(MOD($A13, 6)=0, 3))))))</f>
        <v>6</v>
      </c>
      <c r="N13" s="84">
        <f t="shared" ref="N13:N18" si="1">M13+10</f>
        <v>16</v>
      </c>
      <c r="P13" s="186">
        <f t="shared" ref="P13:P23" si="2">IF(MOD($A13, 10)&lt;10, MOD($A13, 10), IF($A13/10&gt;8, MOD($A13, 80), IF($A13/10&gt;7, MOD($A13, 70), IF($A13/10&gt;6, MOD($A13, 60), IF($A13/10&gt;5, MOD($A13, 50), IF($A13/10&gt;4, MOD($A13, 40), IF($A13/10&gt;3, MOD($A13, 30), IF($A13/10&gt;2, MOD($A13, 20), MOD($A13, 100)))))))))</f>
        <v>1</v>
      </c>
    </row>
    <row r="14" spans="1:16" ht="15" customHeight="1" x14ac:dyDescent="0.25">
      <c r="A14" s="187">
        <f t="shared" ref="A14:A24" si="3">A13+1</f>
        <v>2</v>
      </c>
      <c r="B14" s="84"/>
      <c r="C14" s="177"/>
      <c r="D14" s="184"/>
      <c r="E14" s="84"/>
      <c r="F14" s="178"/>
      <c r="G14" s="178"/>
      <c r="H14" s="179"/>
      <c r="I14" s="173"/>
      <c r="J14" s="178"/>
      <c r="K14" s="180"/>
      <c r="L14" s="181"/>
      <c r="M14" s="84">
        <f t="shared" si="0"/>
        <v>1</v>
      </c>
      <c r="N14" s="84">
        <f t="shared" si="1"/>
        <v>11</v>
      </c>
      <c r="P14" s="186">
        <f t="shared" si="2"/>
        <v>2</v>
      </c>
    </row>
    <row r="15" spans="1:16" ht="12" customHeight="1" x14ac:dyDescent="0.25">
      <c r="A15" s="187">
        <f t="shared" si="3"/>
        <v>3</v>
      </c>
      <c r="B15" s="188" t="s">
        <v>79</v>
      </c>
      <c r="C15" s="189" t="s">
        <v>305</v>
      </c>
      <c r="D15" s="16"/>
      <c r="E15" s="190">
        <v>2002</v>
      </c>
      <c r="F15" s="95" t="s">
        <v>306</v>
      </c>
      <c r="G15" s="191"/>
      <c r="H15" s="191">
        <v>30</v>
      </c>
      <c r="I15" s="16"/>
      <c r="J15" s="188"/>
      <c r="K15" s="16"/>
      <c r="L15" s="16"/>
      <c r="M15" s="84">
        <f t="shared" si="0"/>
        <v>5</v>
      </c>
      <c r="N15" s="84">
        <f t="shared" si="1"/>
        <v>15</v>
      </c>
      <c r="P15" s="186">
        <f t="shared" si="2"/>
        <v>3</v>
      </c>
    </row>
    <row r="16" spans="1:16" ht="12" customHeight="1" x14ac:dyDescent="0.25">
      <c r="A16" s="187">
        <f t="shared" si="3"/>
        <v>4</v>
      </c>
      <c r="B16" s="84" t="s">
        <v>100</v>
      </c>
      <c r="C16" s="189" t="s">
        <v>307</v>
      </c>
      <c r="D16" s="16"/>
      <c r="E16" s="190">
        <v>2002</v>
      </c>
      <c r="F16" s="95" t="s">
        <v>306</v>
      </c>
      <c r="G16" s="191"/>
      <c r="H16" s="191">
        <v>30</v>
      </c>
      <c r="I16" s="16"/>
      <c r="J16" s="188"/>
      <c r="K16" s="16"/>
      <c r="L16" s="16"/>
      <c r="M16" s="84">
        <f t="shared" si="0"/>
        <v>2</v>
      </c>
      <c r="N16" s="84">
        <f t="shared" si="1"/>
        <v>12</v>
      </c>
      <c r="P16" s="186">
        <f t="shared" si="2"/>
        <v>4</v>
      </c>
    </row>
    <row r="17" spans="1:16" ht="12" customHeight="1" x14ac:dyDescent="0.25">
      <c r="A17" s="187">
        <f t="shared" si="3"/>
        <v>5</v>
      </c>
      <c r="B17" s="84" t="s">
        <v>158</v>
      </c>
      <c r="C17" s="189" t="s">
        <v>308</v>
      </c>
      <c r="D17" s="16"/>
      <c r="E17" s="190">
        <v>2000</v>
      </c>
      <c r="F17" s="95" t="s">
        <v>306</v>
      </c>
      <c r="G17" s="191"/>
      <c r="H17" s="191">
        <v>29.8</v>
      </c>
      <c r="I17" s="16"/>
      <c r="J17" s="188"/>
      <c r="K17" s="16"/>
      <c r="L17" s="16"/>
      <c r="M17" s="84">
        <f t="shared" si="0"/>
        <v>4</v>
      </c>
      <c r="N17" s="84">
        <f t="shared" si="1"/>
        <v>14</v>
      </c>
      <c r="P17" s="186">
        <f t="shared" si="2"/>
        <v>5</v>
      </c>
    </row>
    <row r="18" spans="1:16" ht="12" customHeight="1" x14ac:dyDescent="0.25">
      <c r="A18" s="187">
        <f t="shared" si="3"/>
        <v>6</v>
      </c>
      <c r="B18" s="188" t="s">
        <v>260</v>
      </c>
      <c r="C18" s="189" t="s">
        <v>309</v>
      </c>
      <c r="D18" s="16"/>
      <c r="E18" s="190">
        <v>1999</v>
      </c>
      <c r="F18" s="95" t="s">
        <v>306</v>
      </c>
      <c r="G18" s="191"/>
      <c r="H18" s="191">
        <v>29.7</v>
      </c>
      <c r="I18" s="16"/>
      <c r="J18" s="188"/>
      <c r="K18" s="16" t="s">
        <v>310</v>
      </c>
      <c r="L18" s="16"/>
      <c r="M18" s="84">
        <f t="shared" si="0"/>
        <v>3</v>
      </c>
      <c r="N18" s="84">
        <f t="shared" si="1"/>
        <v>13</v>
      </c>
      <c r="P18" s="186">
        <f t="shared" si="2"/>
        <v>6</v>
      </c>
    </row>
    <row r="19" spans="1:16" ht="12" customHeight="1" x14ac:dyDescent="0.25">
      <c r="A19" s="187">
        <f t="shared" si="3"/>
        <v>7</v>
      </c>
      <c r="B19" s="84" t="s">
        <v>117</v>
      </c>
      <c r="C19" s="189" t="s">
        <v>311</v>
      </c>
      <c r="D19" s="16"/>
      <c r="E19" s="190">
        <v>1999</v>
      </c>
      <c r="F19" s="95" t="s">
        <v>306</v>
      </c>
      <c r="G19" s="191"/>
      <c r="H19" s="191">
        <v>29.7</v>
      </c>
      <c r="I19" s="16"/>
      <c r="J19" s="188"/>
      <c r="K19" s="16" t="s">
        <v>310</v>
      </c>
      <c r="L19" s="16"/>
      <c r="M19" s="84">
        <f t="shared" si="0"/>
        <v>6</v>
      </c>
      <c r="N19" s="18">
        <f t="shared" ref="N19:N24" si="4">N13+10</f>
        <v>26</v>
      </c>
      <c r="O19" t="s">
        <v>312</v>
      </c>
      <c r="P19" s="186">
        <f t="shared" si="2"/>
        <v>7</v>
      </c>
    </row>
    <row r="20" spans="1:16" ht="12" customHeight="1" x14ac:dyDescent="0.25">
      <c r="A20" s="187">
        <f t="shared" si="3"/>
        <v>8</v>
      </c>
      <c r="B20" s="188" t="s">
        <v>260</v>
      </c>
      <c r="C20" s="189" t="s">
        <v>313</v>
      </c>
      <c r="D20" s="16"/>
      <c r="E20" s="190">
        <v>1999</v>
      </c>
      <c r="F20" s="95" t="s">
        <v>306</v>
      </c>
      <c r="G20" s="191"/>
      <c r="H20" s="191">
        <v>29.5</v>
      </c>
      <c r="I20" s="16"/>
      <c r="J20" s="188"/>
      <c r="K20" s="192"/>
      <c r="L20" s="16"/>
      <c r="M20" s="84">
        <f t="shared" si="0"/>
        <v>1</v>
      </c>
      <c r="N20" s="18">
        <f t="shared" si="4"/>
        <v>21</v>
      </c>
      <c r="P20" s="186">
        <f t="shared" si="2"/>
        <v>8</v>
      </c>
    </row>
    <row r="21" spans="1:16" ht="12" customHeight="1" x14ac:dyDescent="0.25">
      <c r="A21" s="187">
        <f t="shared" si="3"/>
        <v>9</v>
      </c>
      <c r="B21" s="188" t="s">
        <v>84</v>
      </c>
      <c r="C21" s="189" t="s">
        <v>314</v>
      </c>
      <c r="D21" s="16"/>
      <c r="E21" s="190">
        <v>2003</v>
      </c>
      <c r="F21" s="95" t="s">
        <v>306</v>
      </c>
      <c r="G21" s="191"/>
      <c r="H21" s="191">
        <v>27.5</v>
      </c>
      <c r="I21" s="16"/>
      <c r="J21" s="188"/>
      <c r="K21" s="16"/>
      <c r="L21" s="16"/>
      <c r="M21" s="84">
        <f t="shared" si="0"/>
        <v>5</v>
      </c>
      <c r="N21" s="18">
        <f t="shared" si="4"/>
        <v>25</v>
      </c>
      <c r="P21" s="186">
        <f t="shared" si="2"/>
        <v>9</v>
      </c>
    </row>
    <row r="22" spans="1:16" ht="12" customHeight="1" x14ac:dyDescent="0.25">
      <c r="A22" s="187">
        <f t="shared" si="3"/>
        <v>10</v>
      </c>
      <c r="B22" s="84" t="s">
        <v>100</v>
      </c>
      <c r="C22" s="189" t="s">
        <v>315</v>
      </c>
      <c r="D22" s="16"/>
      <c r="E22" s="190">
        <v>1996</v>
      </c>
      <c r="F22" s="95" t="s">
        <v>306</v>
      </c>
      <c r="G22" s="191"/>
      <c r="H22" s="191">
        <v>20.399999999999999</v>
      </c>
      <c r="I22" s="16"/>
      <c r="J22" s="188"/>
      <c r="K22" s="16"/>
      <c r="L22" s="16"/>
      <c r="M22" s="84">
        <f t="shared" si="0"/>
        <v>2</v>
      </c>
      <c r="N22" s="18">
        <f t="shared" si="4"/>
        <v>22</v>
      </c>
      <c r="P22" s="186">
        <f t="shared" si="2"/>
        <v>0</v>
      </c>
    </row>
    <row r="23" spans="1:16" ht="12" customHeight="1" x14ac:dyDescent="0.25">
      <c r="A23" s="187">
        <f t="shared" si="3"/>
        <v>11</v>
      </c>
      <c r="B23" s="188" t="s">
        <v>76</v>
      </c>
      <c r="C23" s="189" t="s">
        <v>316</v>
      </c>
      <c r="D23" s="16"/>
      <c r="E23" s="190">
        <v>2001</v>
      </c>
      <c r="F23" s="95" t="s">
        <v>306</v>
      </c>
      <c r="G23" s="191"/>
      <c r="H23" s="191">
        <v>20</v>
      </c>
      <c r="I23" s="16"/>
      <c r="J23" s="188"/>
      <c r="K23" s="16"/>
      <c r="L23" s="16"/>
      <c r="M23" s="84">
        <f t="shared" si="0"/>
        <v>4</v>
      </c>
      <c r="N23" s="18">
        <f t="shared" si="4"/>
        <v>24</v>
      </c>
      <c r="P23" s="186">
        <f t="shared" si="2"/>
        <v>1</v>
      </c>
    </row>
    <row r="24" spans="1:16" ht="12" customHeight="1" x14ac:dyDescent="0.25">
      <c r="A24" s="187">
        <f t="shared" si="3"/>
        <v>12</v>
      </c>
      <c r="B24" s="188" t="s">
        <v>79</v>
      </c>
      <c r="C24" s="189" t="s">
        <v>317</v>
      </c>
      <c r="D24" s="16"/>
      <c r="E24" s="190">
        <v>2004</v>
      </c>
      <c r="F24" s="95" t="s">
        <v>306</v>
      </c>
      <c r="G24" s="191"/>
      <c r="H24" s="191">
        <v>18.7</v>
      </c>
      <c r="I24" s="16"/>
      <c r="J24" s="188"/>
      <c r="K24" s="16"/>
      <c r="L24" s="16"/>
      <c r="M24" s="84">
        <f t="shared" si="0"/>
        <v>3</v>
      </c>
      <c r="N24" s="18">
        <f t="shared" si="4"/>
        <v>23</v>
      </c>
    </row>
    <row r="25" spans="1:16" ht="12.75" customHeight="1" x14ac:dyDescent="0.25">
      <c r="A25" s="193"/>
      <c r="B25" s="176" t="s">
        <v>318</v>
      </c>
      <c r="C25" s="87"/>
      <c r="D25" s="87"/>
      <c r="E25" s="96"/>
      <c r="F25" s="87"/>
      <c r="G25" s="87"/>
      <c r="H25" s="194"/>
      <c r="I25" s="194"/>
      <c r="J25" s="96"/>
      <c r="K25" s="37"/>
      <c r="L25" s="112"/>
      <c r="M25" s="112"/>
      <c r="N25" s="195"/>
    </row>
    <row r="26" spans="1:16" ht="15" customHeight="1" x14ac:dyDescent="0.25">
      <c r="A26" s="175"/>
      <c r="C26" s="177"/>
      <c r="D26" s="184" t="s">
        <v>304</v>
      </c>
      <c r="E26" s="185">
        <f>INT(A27/10)</f>
        <v>0</v>
      </c>
      <c r="F26" s="178"/>
      <c r="G26" s="178"/>
      <c r="H26" s="179"/>
      <c r="I26" s="173"/>
      <c r="J26" s="178"/>
      <c r="K26" s="180"/>
      <c r="L26" s="181"/>
      <c r="M26" s="84"/>
      <c r="N26" s="84"/>
    </row>
    <row r="27" spans="1:16" ht="15" customHeight="1" x14ac:dyDescent="0.25">
      <c r="A27" s="175">
        <v>1</v>
      </c>
      <c r="B27" s="84"/>
      <c r="C27" s="177"/>
      <c r="D27" s="178"/>
      <c r="E27" s="84"/>
      <c r="F27" s="178"/>
      <c r="G27" s="178"/>
      <c r="H27" s="179"/>
      <c r="I27" s="173"/>
      <c r="J27" s="178"/>
      <c r="K27" s="180"/>
      <c r="L27" s="181"/>
      <c r="M27" s="84">
        <f t="shared" ref="M27:M42" si="5">IF(MOD($A27, 8)=1, 8, IF(MOD($A27, 8)=2, 1, IF(MOD($A27, 8)=3, 7, IF(MOD($A27, 8)=4, 2, IF(MOD($A27, 8)=5, 6, IF(MOD($A27, 8)=6, 3, IF(MOD($A27, 8)=7, 5, IF(MOD($A27, 8)=0, 4))))))))</f>
        <v>8</v>
      </c>
      <c r="N27" s="84">
        <f t="shared" ref="N27:N34" si="6">M27+10</f>
        <v>18</v>
      </c>
    </row>
    <row r="28" spans="1:16" ht="15" customHeight="1" x14ac:dyDescent="0.25">
      <c r="A28" s="187">
        <f t="shared" ref="A28:A42" si="7">A27+1</f>
        <v>2</v>
      </c>
      <c r="B28" s="84"/>
      <c r="C28" s="177"/>
      <c r="D28" s="184"/>
      <c r="E28" s="84"/>
      <c r="F28" s="178"/>
      <c r="G28" s="178"/>
      <c r="H28" s="179"/>
      <c r="I28" s="173"/>
      <c r="J28" s="178"/>
      <c r="K28" s="180"/>
      <c r="L28" s="181"/>
      <c r="M28" s="84">
        <f t="shared" si="5"/>
        <v>1</v>
      </c>
      <c r="N28" s="84">
        <f t="shared" si="6"/>
        <v>11</v>
      </c>
    </row>
    <row r="29" spans="1:16" ht="15" customHeight="1" x14ac:dyDescent="0.25">
      <c r="A29" s="187">
        <f t="shared" si="7"/>
        <v>3</v>
      </c>
      <c r="B29" s="84"/>
      <c r="C29" s="177"/>
      <c r="D29" s="184"/>
      <c r="E29" s="84"/>
      <c r="F29" s="178"/>
      <c r="G29" s="178"/>
      <c r="H29" s="179"/>
      <c r="I29" s="173"/>
      <c r="J29" s="178"/>
      <c r="K29" s="180"/>
      <c r="L29" s="181"/>
      <c r="M29" s="84">
        <f t="shared" si="5"/>
        <v>7</v>
      </c>
      <c r="N29" s="84">
        <f t="shared" si="6"/>
        <v>17</v>
      </c>
    </row>
    <row r="30" spans="1:16" ht="12" customHeight="1" x14ac:dyDescent="0.25">
      <c r="A30" s="187">
        <f t="shared" si="7"/>
        <v>4</v>
      </c>
      <c r="B30" s="188" t="s">
        <v>79</v>
      </c>
      <c r="C30" s="189" t="s">
        <v>305</v>
      </c>
      <c r="D30" s="16"/>
      <c r="E30" s="190">
        <v>2002</v>
      </c>
      <c r="F30" s="95" t="s">
        <v>306</v>
      </c>
      <c r="G30" s="191"/>
      <c r="H30" s="191">
        <v>30</v>
      </c>
      <c r="I30" s="16"/>
      <c r="J30" s="188"/>
      <c r="K30" s="16"/>
      <c r="L30" s="16"/>
      <c r="M30" s="84">
        <f t="shared" si="5"/>
        <v>2</v>
      </c>
      <c r="N30" s="84">
        <f t="shared" si="6"/>
        <v>12</v>
      </c>
    </row>
    <row r="31" spans="1:16" ht="12" customHeight="1" x14ac:dyDescent="0.25">
      <c r="A31" s="187">
        <f t="shared" si="7"/>
        <v>5</v>
      </c>
      <c r="B31" s="84" t="s">
        <v>100</v>
      </c>
      <c r="C31" s="189" t="s">
        <v>307</v>
      </c>
      <c r="D31" s="16"/>
      <c r="E31" s="190">
        <v>2002</v>
      </c>
      <c r="F31" s="95" t="s">
        <v>306</v>
      </c>
      <c r="G31" s="191"/>
      <c r="H31" s="191">
        <v>30</v>
      </c>
      <c r="I31" s="16"/>
      <c r="J31" s="188"/>
      <c r="K31" s="16"/>
      <c r="L31" s="16"/>
      <c r="M31" s="84">
        <f t="shared" si="5"/>
        <v>6</v>
      </c>
      <c r="N31" s="84">
        <f t="shared" si="6"/>
        <v>16</v>
      </c>
    </row>
    <row r="32" spans="1:16" ht="12" customHeight="1" x14ac:dyDescent="0.25">
      <c r="A32" s="187">
        <f t="shared" si="7"/>
        <v>6</v>
      </c>
      <c r="B32" s="84" t="s">
        <v>117</v>
      </c>
      <c r="C32" s="189" t="s">
        <v>319</v>
      </c>
      <c r="D32" s="16"/>
      <c r="E32" s="190">
        <v>1998</v>
      </c>
      <c r="F32" s="95" t="s">
        <v>306</v>
      </c>
      <c r="G32" s="191"/>
      <c r="H32" s="191">
        <v>30</v>
      </c>
      <c r="I32" s="16"/>
      <c r="J32" s="188"/>
      <c r="K32" s="16"/>
      <c r="L32" s="16"/>
      <c r="M32" s="84">
        <f t="shared" si="5"/>
        <v>3</v>
      </c>
      <c r="N32" s="84">
        <f t="shared" si="6"/>
        <v>13</v>
      </c>
    </row>
    <row r="33" spans="1:103" ht="12" customHeight="1" x14ac:dyDescent="0.25">
      <c r="A33" s="187">
        <f t="shared" si="7"/>
        <v>7</v>
      </c>
      <c r="B33" s="188" t="s">
        <v>76</v>
      </c>
      <c r="C33" s="189" t="s">
        <v>320</v>
      </c>
      <c r="D33" s="16"/>
      <c r="E33" s="190">
        <v>2002</v>
      </c>
      <c r="F33" s="95" t="s">
        <v>306</v>
      </c>
      <c r="G33" s="191"/>
      <c r="H33" s="191">
        <v>30</v>
      </c>
      <c r="I33" s="16"/>
      <c r="J33" s="188"/>
      <c r="K33" s="16"/>
      <c r="L33" s="16"/>
      <c r="M33" s="84">
        <f t="shared" si="5"/>
        <v>5</v>
      </c>
      <c r="N33" s="84">
        <f t="shared" si="6"/>
        <v>15</v>
      </c>
    </row>
    <row r="34" spans="1:103" ht="12" customHeight="1" x14ac:dyDescent="0.25">
      <c r="A34" s="187">
        <f t="shared" si="7"/>
        <v>8</v>
      </c>
      <c r="B34" s="188" t="s">
        <v>262</v>
      </c>
      <c r="C34" s="189" t="s">
        <v>321</v>
      </c>
      <c r="D34" s="16"/>
      <c r="E34" s="190">
        <v>2001</v>
      </c>
      <c r="F34" s="95" t="s">
        <v>306</v>
      </c>
      <c r="G34" s="191"/>
      <c r="H34" s="191">
        <v>30</v>
      </c>
      <c r="I34" s="16"/>
      <c r="J34" s="188"/>
      <c r="K34" s="16"/>
      <c r="L34" s="16"/>
      <c r="M34" s="84">
        <f t="shared" si="5"/>
        <v>4</v>
      </c>
      <c r="N34" s="84">
        <f t="shared" si="6"/>
        <v>14</v>
      </c>
    </row>
    <row r="35" spans="1:103" ht="12" customHeight="1" x14ac:dyDescent="0.25">
      <c r="A35" s="187">
        <f t="shared" si="7"/>
        <v>9</v>
      </c>
      <c r="B35" s="188" t="s">
        <v>79</v>
      </c>
      <c r="C35" s="189" t="s">
        <v>322</v>
      </c>
      <c r="D35" s="16"/>
      <c r="E35" s="190">
        <v>2006</v>
      </c>
      <c r="F35" s="95" t="s">
        <v>306</v>
      </c>
      <c r="G35" s="191"/>
      <c r="H35" s="191">
        <v>30</v>
      </c>
      <c r="I35" s="16"/>
      <c r="J35" s="188"/>
      <c r="K35" s="16"/>
      <c r="L35" s="16"/>
      <c r="M35" s="84">
        <f t="shared" si="5"/>
        <v>8</v>
      </c>
      <c r="N35" s="84">
        <f t="shared" ref="N35:N42" si="8">N27+10</f>
        <v>28</v>
      </c>
      <c r="O35" t="s">
        <v>312</v>
      </c>
    </row>
    <row r="36" spans="1:103" ht="12" customHeight="1" x14ac:dyDescent="0.25">
      <c r="A36" s="187">
        <f t="shared" si="7"/>
        <v>10</v>
      </c>
      <c r="B36" s="84" t="s">
        <v>100</v>
      </c>
      <c r="C36" s="189" t="s">
        <v>323</v>
      </c>
      <c r="D36" s="16"/>
      <c r="E36" s="190">
        <v>2001</v>
      </c>
      <c r="F36" s="95" t="s">
        <v>306</v>
      </c>
      <c r="G36" s="191"/>
      <c r="H36" s="191">
        <v>30</v>
      </c>
      <c r="I36" s="16"/>
      <c r="J36" s="188"/>
      <c r="K36" s="16"/>
      <c r="L36" s="16"/>
      <c r="M36" s="84">
        <f t="shared" si="5"/>
        <v>1</v>
      </c>
      <c r="N36" s="84">
        <f t="shared" si="8"/>
        <v>21</v>
      </c>
    </row>
    <row r="37" spans="1:103" ht="12" customHeight="1" x14ac:dyDescent="0.25">
      <c r="A37" s="187">
        <f t="shared" si="7"/>
        <v>11</v>
      </c>
      <c r="B37" s="84" t="s">
        <v>158</v>
      </c>
      <c r="C37" s="189" t="s">
        <v>308</v>
      </c>
      <c r="D37" s="16"/>
      <c r="E37" s="190">
        <v>2000</v>
      </c>
      <c r="F37" s="95" t="s">
        <v>306</v>
      </c>
      <c r="G37" s="191"/>
      <c r="H37" s="191">
        <v>29.8</v>
      </c>
      <c r="I37" s="16"/>
      <c r="J37" s="188"/>
      <c r="K37" s="16"/>
      <c r="L37" s="16"/>
      <c r="M37" s="84">
        <f t="shared" si="5"/>
        <v>7</v>
      </c>
      <c r="N37" s="84">
        <f t="shared" si="8"/>
        <v>27</v>
      </c>
    </row>
    <row r="38" spans="1:103" ht="12" customHeight="1" x14ac:dyDescent="0.25">
      <c r="A38" s="187">
        <f t="shared" si="7"/>
        <v>12</v>
      </c>
      <c r="B38" s="188" t="s">
        <v>260</v>
      </c>
      <c r="C38" s="189" t="s">
        <v>309</v>
      </c>
      <c r="D38" s="16"/>
      <c r="E38" s="190">
        <v>1999</v>
      </c>
      <c r="F38" s="95" t="s">
        <v>306</v>
      </c>
      <c r="G38" s="191"/>
      <c r="H38" s="191">
        <v>29.7</v>
      </c>
      <c r="I38" s="16"/>
      <c r="J38" s="188"/>
      <c r="K38" s="16" t="s">
        <v>310</v>
      </c>
      <c r="L38" s="16"/>
      <c r="M38" s="84">
        <f t="shared" si="5"/>
        <v>2</v>
      </c>
      <c r="N38" s="84">
        <f t="shared" si="8"/>
        <v>22</v>
      </c>
    </row>
    <row r="39" spans="1:103" ht="12" customHeight="1" x14ac:dyDescent="0.25">
      <c r="A39" s="187">
        <f t="shared" si="7"/>
        <v>13</v>
      </c>
      <c r="B39" s="84" t="s">
        <v>117</v>
      </c>
      <c r="C39" s="189" t="s">
        <v>311</v>
      </c>
      <c r="D39" s="16"/>
      <c r="E39" s="190">
        <v>1999</v>
      </c>
      <c r="F39" s="95" t="s">
        <v>306</v>
      </c>
      <c r="G39" s="191"/>
      <c r="H39" s="191">
        <v>29.7</v>
      </c>
      <c r="I39" s="16"/>
      <c r="J39" s="188"/>
      <c r="K39" s="16" t="s">
        <v>310</v>
      </c>
      <c r="L39" s="16"/>
      <c r="M39" s="84">
        <f t="shared" si="5"/>
        <v>6</v>
      </c>
      <c r="N39" s="84">
        <f t="shared" si="8"/>
        <v>26</v>
      </c>
    </row>
    <row r="40" spans="1:103" ht="12" customHeight="1" x14ac:dyDescent="0.25">
      <c r="A40" s="187">
        <f t="shared" si="7"/>
        <v>14</v>
      </c>
      <c r="B40" s="188" t="s">
        <v>76</v>
      </c>
      <c r="C40" s="189" t="s">
        <v>324</v>
      </c>
      <c r="D40" s="16"/>
      <c r="E40" s="190">
        <v>1998</v>
      </c>
      <c r="F40" s="95" t="s">
        <v>306</v>
      </c>
      <c r="G40" s="191"/>
      <c r="H40" s="191">
        <v>25.2</v>
      </c>
      <c r="I40" s="16"/>
      <c r="J40" s="188"/>
      <c r="K40" s="192"/>
      <c r="L40" s="16"/>
      <c r="M40" s="84">
        <f t="shared" si="5"/>
        <v>3</v>
      </c>
      <c r="N40" s="84">
        <f t="shared" si="8"/>
        <v>23</v>
      </c>
    </row>
    <row r="41" spans="1:103" ht="12" customHeight="1" x14ac:dyDescent="0.25">
      <c r="A41" s="187">
        <f t="shared" si="7"/>
        <v>15</v>
      </c>
      <c r="B41" s="84" t="s">
        <v>117</v>
      </c>
      <c r="C41" s="189" t="s">
        <v>325</v>
      </c>
      <c r="D41" s="16"/>
      <c r="E41" s="190">
        <v>2006</v>
      </c>
      <c r="F41" s="95" t="s">
        <v>306</v>
      </c>
      <c r="G41" s="191"/>
      <c r="H41" s="191">
        <v>23.2</v>
      </c>
      <c r="I41" s="16"/>
      <c r="J41" s="16"/>
      <c r="K41" s="16"/>
      <c r="L41" s="16"/>
      <c r="M41" s="84">
        <f t="shared" si="5"/>
        <v>5</v>
      </c>
      <c r="N41" s="84">
        <f t="shared" si="8"/>
        <v>25</v>
      </c>
    </row>
    <row r="42" spans="1:103" ht="12" customHeight="1" x14ac:dyDescent="0.25">
      <c r="A42" s="187">
        <f t="shared" si="7"/>
        <v>16</v>
      </c>
      <c r="B42" s="188" t="s">
        <v>76</v>
      </c>
      <c r="C42" s="189" t="s">
        <v>326</v>
      </c>
      <c r="D42" s="16"/>
      <c r="E42" s="190">
        <v>2000</v>
      </c>
      <c r="F42" s="95" t="s">
        <v>306</v>
      </c>
      <c r="G42" s="191"/>
      <c r="H42" s="191">
        <v>18.5</v>
      </c>
      <c r="I42" s="16"/>
      <c r="J42" s="188"/>
      <c r="K42" s="16"/>
      <c r="L42" s="16"/>
      <c r="M42" s="84">
        <f t="shared" si="5"/>
        <v>4</v>
      </c>
      <c r="N42" s="84">
        <f t="shared" si="8"/>
        <v>24</v>
      </c>
    </row>
    <row r="45" spans="1:103" x14ac:dyDescent="0.25">
      <c r="D45" t="s">
        <v>327</v>
      </c>
      <c r="L45" t="s">
        <v>328</v>
      </c>
      <c r="M45" t="s">
        <v>329</v>
      </c>
      <c r="O45" t="s">
        <v>328</v>
      </c>
      <c r="P45" t="s">
        <v>329</v>
      </c>
      <c r="R45" t="s">
        <v>328</v>
      </c>
      <c r="S45" t="s">
        <v>329</v>
      </c>
      <c r="U45" t="s">
        <v>299</v>
      </c>
    </row>
    <row r="46" spans="1:103" x14ac:dyDescent="0.25">
      <c r="L46" s="84" t="s">
        <v>330</v>
      </c>
      <c r="M46" s="178"/>
      <c r="N46" s="178"/>
      <c r="O46" s="84" t="s">
        <v>331</v>
      </c>
      <c r="P46" s="178"/>
      <c r="Q46" s="178"/>
      <c r="R46" s="84" t="s">
        <v>332</v>
      </c>
      <c r="U46" s="183" t="s">
        <v>303</v>
      </c>
    </row>
    <row r="47" spans="1:103" ht="15" customHeight="1" x14ac:dyDescent="0.25">
      <c r="A47" s="175"/>
      <c r="C47" s="177"/>
      <c r="D47" s="184" t="s">
        <v>304</v>
      </c>
      <c r="E47" s="185">
        <f>INT(A48/10)</f>
        <v>20</v>
      </c>
      <c r="F47" s="178"/>
      <c r="G47" s="178"/>
      <c r="H47" s="179"/>
      <c r="I47" s="173"/>
      <c r="J47" s="178"/>
      <c r="K47" s="180"/>
      <c r="L47" s="181"/>
      <c r="M47" s="84"/>
      <c r="U47" s="186"/>
    </row>
    <row r="48" spans="1:103" s="178" customFormat="1" ht="15.75" x14ac:dyDescent="0.2">
      <c r="A48" s="196">
        <f>A49</f>
        <v>203</v>
      </c>
      <c r="C48" s="63"/>
      <c r="F48" s="197" t="str">
        <f>F49</f>
        <v>Клуб 12</v>
      </c>
      <c r="H48" s="198">
        <f>H49</f>
        <v>2000</v>
      </c>
      <c r="I48" s="175"/>
      <c r="L48" s="84"/>
      <c r="O48" s="84"/>
      <c r="R48" s="84"/>
      <c r="U48" s="186">
        <f t="shared" ref="U48:U67" si="9">IF(MOD($A48, 10)&lt;10, MOD($A48, 10), IF($A48/10&gt;8, MOD($A48, 80), IF($A48/10&gt;7, MOD($A48, 70), IF($A48/10&gt;6, MOD($A48, 60), IF($A48/10&gt;5, MOD($A48, 50), IF($A48/10&gt;4, MOD($A48, 40), IF($A48/10&gt;3, MOD($A48, 30), IF($A48/10&gt;2, MOD($A48, 20), MOD($A48, 100)))))))))</f>
        <v>3</v>
      </c>
      <c r="CI48" s="199"/>
      <c r="CW48" s="200"/>
      <c r="CX48" s="200"/>
      <c r="CY48" s="200"/>
    </row>
    <row r="49" spans="1:523" s="178" customFormat="1" ht="12.75" x14ac:dyDescent="0.2">
      <c r="A49" s="15">
        <v>203</v>
      </c>
      <c r="B49" s="55" t="s">
        <v>84</v>
      </c>
      <c r="C49" s="189" t="s">
        <v>333</v>
      </c>
      <c r="D49" s="16"/>
      <c r="E49" s="201">
        <v>2001</v>
      </c>
      <c r="F49" s="74" t="s">
        <v>334</v>
      </c>
      <c r="G49" s="55"/>
      <c r="H49" s="44">
        <v>2000</v>
      </c>
      <c r="I49" s="202">
        <v>1</v>
      </c>
      <c r="J49" s="16"/>
      <c r="K49" s="16"/>
      <c r="L49" s="84" t="b">
        <f>IF($A49/4&lt;=1, 8, IF($A49/4&lt;=2, 1, IF($A49/4&lt;=3, 7, IF($A49/4&lt;=4, 2, IF($A49/4&lt;=5, 6, IF($A49/4&lt;=6, 3, IF($A49/4&lt;=7, 5, IF($A49/4&lt;=8, 4, IF($A49/4&lt;=9, 8, IF($A49/4&lt;=10, 1, IF($A49/4&lt;=11, 7, IF($A49/4&lt;=12, 2, IF($A49/4&lt;=13, 6, IF($A49/4&lt;=14, 3, IF($A49/4&lt;=15, 5, IF($A49/4&lt;=16, 4, IF($A49/4&lt;=17, 8, IF($A49/4&lt;=18, 1, IF($A49/4&lt;=19, 7, IF($A49/4&lt;=20, 2, IF($A49/4&lt;=21, 6, IF($A49/4&lt;=22, 3, IF($A49/4&lt;=23, 5, IF($A49/4&lt;=24, 4, IF($A49/4&lt;=25, 8, IF($A49/4&lt;=26, 1, IF($A49/4&lt;=27, 7, IF($A49/4&lt;=28, 2, IF($A49/4&lt;=29, 6, IF($A49/4&lt;=30, 3, IF($A49/4&lt;=31, 5, IF($A49/4&lt;=32, 4, IF($A49/4&lt;=33, 8, IF($A49/4&lt;=34, 1, IF($A49/4&lt;=35, 7, IF($A49/4&lt;=36, 2, IF($A49/4&lt;=37, 6, IF($A49/4&lt;=38, 3, IF($A49/4&lt;=39, 5, IF($A49/4&lt;=40, 4))))))))))))))))))))))))))))))))))))))))</f>
        <v>0</v>
      </c>
      <c r="M49" s="178">
        <f>L49+200</f>
        <v>200</v>
      </c>
      <c r="N49" s="16"/>
      <c r="O49" s="84" t="b">
        <f>IF($A49/4&lt;=1, 4, IF($A49/4&lt;=2, 1, IF($A49/4&lt;=3, 3, IF($A49/4&lt;=4, 2, IF($A49/4&lt;=5, 4, IF($A49/4&lt;=6, 1, IF($A49/4&lt;=7, 3, IF($A49/4&lt;=8, 2, IF($A49/4&lt;=9, 4, IF($A49/4&lt;=10, 1, IF($A49/4&lt;=11, 3, IF($A49/4&lt;=12, 2, IF($A49/4&lt;=13, 4, IF($A49/4&lt;=14, 1, IF($A49/4&lt;=15, 3, IF($A49/4&lt;=16, 2, IF($A49/4&lt;=17, 4, IF($A49/4&lt;=18, 1, IF($A49/4&lt;=19, 3, IF($A49/4&lt;=20, 2, IF($A49/4&lt;=21, 4, IF($A49/4&lt;=22, 1, IF($A49/4&lt;=23, 3, IF($A49/4&lt;=24, 2, IF($A49/4&lt;=25, 4, IF($A49/4&lt;=26, 1, IF($A49/4&lt;=27, 3, IF($A49/4&lt;=28, 2, IF($A49/4&lt;=29, 4, IF($A49/4&lt;=30, 1, IF($A49/4&lt;=31, 3, IF($A49/4&lt;=32, 2, IF($A49/4&lt;=33, 4, IF($A49/4&lt;=34, 1, IF($A49/4&lt;=35, 3, IF($A49/4&lt;=36, 2))))))))))))))))))))))))))))))))))))</f>
        <v>0</v>
      </c>
      <c r="P49" s="178">
        <f>P41+10</f>
        <v>10</v>
      </c>
      <c r="Q49" s="16"/>
      <c r="R49" s="84" t="b">
        <f>IF($A49/4&lt;=1, 6, IF($A49/4&lt;=2, 1, IF($A49/4&lt;=3, 5, IF($A49/4&lt;=4, 2, IF($A49/4&lt;=5, 4, IF($A49/4&lt;=6, 3, IF($A49/4&lt;=7, 6, IF($A49/4&lt;=8, 1, IF($A49/4&lt;=9, 5, IF($A49/4&lt;=10, 2, IF($A49/4&lt;=11, 4, IF($A49/4&lt;=12, 3, IF($A49/4&lt;=13, 6, IF($A49/4&lt;=14, 1, IF($A49/4&lt;=15, 5, IF($A49/4&lt;=16, 2, IF($A49/4&lt;=17, 4, IF($A49/4&lt;=18, 3, IF($A49/4&lt;=19, 6, IF($A49/4&lt;=20, 1, IF($A49/4&lt;=21, 5, IF($A49/4&lt;=22, 2, IF($A49/4&lt;=23, 4, IF($A49/4&lt;=24, 3, IF($A49/4&lt;=25, 6, IF($A49/4&lt;=26, 1, IF($A49/4&lt;=27, 5, IF($A49/4&lt;=28, 2, IF($A49/4&lt;=29, 4, IF($A49/4&lt;=30, 3, IF($A49/4&lt;=31, 6, IF($A49/4&lt;=32, 1, IF($A49/4&lt;=33, 5, IF($A49/4&lt;=34, 2, IF($A49/4&lt;=35, 4, IF($A49/4&lt;=36, 3))))))))))))))))))))))))))))))))))))</f>
        <v>0</v>
      </c>
      <c r="S49" s="178">
        <f>R49+200</f>
        <v>200</v>
      </c>
      <c r="T49" s="16"/>
      <c r="U49" s="186">
        <f t="shared" si="9"/>
        <v>3</v>
      </c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  <c r="ER49" s="16"/>
      <c r="ES49" s="16"/>
      <c r="ET49" s="16"/>
      <c r="EU49" s="16"/>
      <c r="EV49" s="16"/>
      <c r="EW49" s="16"/>
      <c r="EX49" s="16"/>
      <c r="EY49" s="16"/>
      <c r="EZ49" s="16"/>
      <c r="FA49" s="16"/>
      <c r="FB49" s="16"/>
      <c r="FC49" s="16"/>
      <c r="FD49" s="16"/>
      <c r="FE49" s="16"/>
      <c r="FF49" s="16"/>
      <c r="FG49" s="16"/>
      <c r="FH49" s="16"/>
      <c r="FI49" s="16"/>
      <c r="FJ49" s="16"/>
      <c r="FK49" s="16"/>
      <c r="FL49" s="16"/>
      <c r="FM49" s="16"/>
      <c r="FN49" s="16"/>
      <c r="FO49" s="16"/>
      <c r="FP49" s="16"/>
      <c r="FQ49" s="16"/>
      <c r="FR49" s="16"/>
      <c r="FS49" s="16"/>
      <c r="FT49" s="16"/>
      <c r="FU49" s="16"/>
      <c r="FV49" s="16"/>
      <c r="FW49" s="16"/>
      <c r="FX49" s="16"/>
      <c r="FY49" s="16"/>
      <c r="FZ49" s="16"/>
      <c r="GA49" s="16"/>
      <c r="GB49" s="16"/>
      <c r="GC49" s="16"/>
      <c r="GD49" s="16"/>
      <c r="GE49" s="16"/>
      <c r="GF49" s="16"/>
      <c r="GG49" s="16"/>
      <c r="GH49" s="16"/>
      <c r="GI49" s="16"/>
      <c r="GJ49" s="16"/>
      <c r="GK49" s="16"/>
      <c r="GL49" s="16"/>
      <c r="GM49" s="16"/>
      <c r="GN49" s="16"/>
      <c r="GO49" s="16"/>
      <c r="GP49" s="16"/>
      <c r="GQ49" s="16"/>
      <c r="GR49" s="16"/>
      <c r="GS49" s="16"/>
      <c r="GT49" s="16"/>
      <c r="GU49" s="16"/>
      <c r="GV49" s="16"/>
      <c r="GW49" s="16"/>
      <c r="GX49" s="16"/>
      <c r="GY49" s="16"/>
      <c r="GZ49" s="16"/>
      <c r="HA49" s="16"/>
      <c r="HB49" s="16"/>
      <c r="HC49" s="16"/>
      <c r="HD49" s="16"/>
      <c r="HE49" s="16"/>
      <c r="HF49" s="16"/>
      <c r="HG49" s="16"/>
      <c r="HH49" s="16"/>
      <c r="HI49" s="16"/>
      <c r="HJ49" s="16"/>
      <c r="HK49" s="16"/>
      <c r="HL49" s="16"/>
      <c r="HM49" s="16"/>
      <c r="HN49" s="16"/>
      <c r="HO49" s="16"/>
      <c r="HP49" s="16"/>
      <c r="HQ49" s="16"/>
      <c r="HR49" s="16"/>
      <c r="HS49" s="16"/>
      <c r="HT49" s="16"/>
      <c r="HU49" s="16"/>
      <c r="HV49" s="16"/>
      <c r="HW49" s="16"/>
      <c r="HX49" s="16"/>
      <c r="HY49" s="16"/>
      <c r="HZ49" s="16"/>
      <c r="IA49" s="16"/>
      <c r="IB49" s="16"/>
      <c r="IC49" s="16"/>
      <c r="ID49" s="16"/>
      <c r="IE49" s="16"/>
      <c r="IF49" s="16"/>
      <c r="IG49" s="16"/>
      <c r="IH49" s="16"/>
      <c r="II49" s="16"/>
      <c r="IJ49" s="16"/>
      <c r="IK49" s="16"/>
      <c r="IL49" s="16"/>
      <c r="IM49" s="16"/>
      <c r="IN49" s="16"/>
      <c r="IO49" s="16"/>
      <c r="IP49" s="16"/>
      <c r="IQ49" s="16"/>
      <c r="IR49" s="16"/>
      <c r="IS49" s="16"/>
      <c r="IT49" s="16"/>
      <c r="IU49" s="16"/>
      <c r="IV49" s="16"/>
      <c r="IW49" s="16"/>
      <c r="IX49" s="16"/>
      <c r="IY49" s="16"/>
      <c r="IZ49" s="16"/>
      <c r="JA49" s="16"/>
      <c r="JB49" s="16"/>
      <c r="JC49" s="16"/>
      <c r="JD49" s="16"/>
      <c r="JE49" s="16"/>
      <c r="JF49" s="16"/>
      <c r="JG49" s="16"/>
      <c r="JH49" s="16"/>
      <c r="JI49" s="16"/>
      <c r="JJ49" s="16"/>
      <c r="JK49" s="16"/>
      <c r="JL49" s="16"/>
      <c r="JM49" s="16"/>
      <c r="JN49" s="16"/>
      <c r="JO49" s="16"/>
      <c r="JP49" s="16"/>
      <c r="JQ49" s="16"/>
      <c r="JR49" s="16"/>
      <c r="JS49" s="16"/>
      <c r="JT49" s="16"/>
      <c r="JU49" s="16"/>
      <c r="JV49" s="16"/>
      <c r="JW49" s="16"/>
      <c r="JX49" s="16"/>
      <c r="JY49" s="16"/>
      <c r="JZ49" s="16"/>
      <c r="KA49" s="16"/>
      <c r="KB49" s="16"/>
      <c r="KC49" s="16"/>
      <c r="KD49" s="16"/>
      <c r="KE49" s="16"/>
      <c r="KF49" s="16"/>
      <c r="KG49" s="16"/>
      <c r="KH49" s="16"/>
      <c r="KI49" s="16"/>
      <c r="KJ49" s="16"/>
      <c r="KK49" s="16"/>
      <c r="KL49" s="16"/>
      <c r="KM49" s="16"/>
      <c r="KN49" s="16"/>
      <c r="KO49" s="16"/>
      <c r="KP49" s="16"/>
      <c r="KQ49" s="16"/>
      <c r="KR49" s="16"/>
      <c r="KS49" s="16"/>
      <c r="KT49" s="16"/>
      <c r="KU49" s="16"/>
      <c r="KV49" s="16"/>
      <c r="KW49" s="16"/>
      <c r="KX49" s="16"/>
      <c r="KY49" s="16"/>
      <c r="KZ49" s="16"/>
      <c r="LA49" s="16"/>
      <c r="LB49" s="16"/>
      <c r="LC49" s="16"/>
      <c r="LD49" s="16"/>
      <c r="LE49" s="16"/>
      <c r="LF49" s="16"/>
      <c r="LG49" s="16"/>
      <c r="LH49" s="16"/>
      <c r="LI49" s="16"/>
      <c r="LJ49" s="16"/>
      <c r="LK49" s="16"/>
      <c r="LL49" s="16"/>
      <c r="LM49" s="16"/>
      <c r="LN49" s="16"/>
      <c r="LO49" s="16"/>
      <c r="LP49" s="16"/>
      <c r="LQ49" s="16"/>
      <c r="LR49" s="16"/>
      <c r="LS49" s="16"/>
      <c r="LT49" s="16"/>
      <c r="LU49" s="16"/>
      <c r="LV49" s="16"/>
      <c r="LW49" s="16"/>
      <c r="LX49" s="16"/>
      <c r="LY49" s="16"/>
      <c r="LZ49" s="16"/>
      <c r="MA49" s="16"/>
      <c r="MB49" s="16"/>
      <c r="MC49" s="16"/>
      <c r="MD49" s="16"/>
      <c r="ME49" s="16"/>
      <c r="MF49" s="16"/>
      <c r="MG49" s="16"/>
      <c r="MH49" s="16"/>
      <c r="MI49" s="16"/>
      <c r="MJ49" s="16"/>
      <c r="MK49" s="16"/>
      <c r="ML49" s="16"/>
      <c r="MM49" s="16"/>
      <c r="MN49" s="16"/>
      <c r="MO49" s="16"/>
      <c r="MP49" s="16"/>
      <c r="MQ49" s="16"/>
      <c r="MR49" s="16"/>
      <c r="MS49" s="16"/>
      <c r="MT49" s="16"/>
      <c r="MU49" s="16"/>
      <c r="MV49" s="16"/>
      <c r="MW49" s="16"/>
      <c r="MX49" s="16"/>
      <c r="MY49" s="16"/>
      <c r="MZ49" s="16"/>
      <c r="NA49" s="16"/>
      <c r="NB49" s="16"/>
      <c r="NC49" s="16"/>
      <c r="ND49" s="16"/>
      <c r="NE49" s="16"/>
      <c r="NF49" s="16"/>
      <c r="NG49" s="16"/>
      <c r="NH49" s="16"/>
      <c r="NI49" s="16"/>
      <c r="NJ49" s="16"/>
      <c r="NK49" s="16"/>
      <c r="NL49" s="16"/>
      <c r="NM49" s="16"/>
      <c r="NN49" s="16"/>
      <c r="NO49" s="16"/>
      <c r="NP49" s="16"/>
      <c r="NQ49" s="16"/>
      <c r="NR49" s="16"/>
      <c r="NS49" s="16"/>
      <c r="NT49" s="16"/>
      <c r="NU49" s="16"/>
      <c r="NV49" s="16"/>
      <c r="NW49" s="16"/>
      <c r="NX49" s="16"/>
      <c r="NY49" s="16"/>
      <c r="NZ49" s="16"/>
      <c r="OA49" s="16"/>
      <c r="OB49" s="16"/>
      <c r="OC49" s="16"/>
      <c r="OD49" s="16"/>
      <c r="OE49" s="16"/>
      <c r="OF49" s="16"/>
      <c r="OG49" s="16"/>
      <c r="OH49" s="16"/>
      <c r="OI49" s="16"/>
      <c r="OJ49" s="16"/>
      <c r="OK49" s="16"/>
      <c r="OL49" s="16"/>
      <c r="OM49" s="16"/>
      <c r="ON49" s="16"/>
      <c r="OO49" s="16"/>
      <c r="OP49" s="16"/>
      <c r="OQ49" s="16"/>
      <c r="OR49" s="16"/>
      <c r="OS49" s="16"/>
      <c r="OT49" s="16"/>
      <c r="OU49" s="16"/>
      <c r="OV49" s="16"/>
      <c r="OW49" s="16"/>
      <c r="OX49" s="16"/>
      <c r="OY49" s="16"/>
      <c r="OZ49" s="16"/>
      <c r="PA49" s="16"/>
      <c r="PB49" s="16"/>
      <c r="PC49" s="16"/>
      <c r="PD49" s="16"/>
      <c r="PE49" s="16"/>
      <c r="PF49" s="16"/>
      <c r="PG49" s="16"/>
      <c r="PH49" s="16"/>
      <c r="PI49" s="16"/>
      <c r="PJ49" s="16"/>
      <c r="PK49" s="16"/>
      <c r="PL49" s="16"/>
      <c r="PM49" s="16"/>
      <c r="PN49" s="16"/>
      <c r="PO49" s="16"/>
      <c r="PP49" s="16"/>
      <c r="PQ49" s="16"/>
      <c r="PR49" s="16"/>
      <c r="PS49" s="16"/>
      <c r="PT49" s="16"/>
      <c r="PU49" s="16"/>
      <c r="PV49" s="16"/>
      <c r="PW49" s="16"/>
      <c r="PX49" s="16"/>
      <c r="PY49" s="16"/>
      <c r="PZ49" s="16"/>
      <c r="QA49" s="16"/>
      <c r="QB49" s="16"/>
      <c r="QC49" s="16"/>
      <c r="QD49" s="16"/>
      <c r="QE49" s="16"/>
      <c r="QF49" s="16"/>
      <c r="QG49" s="16"/>
      <c r="QH49" s="16"/>
      <c r="QI49" s="16"/>
      <c r="QJ49" s="16"/>
      <c r="QK49" s="16"/>
      <c r="QL49" s="16"/>
      <c r="QM49" s="16"/>
      <c r="QN49" s="16"/>
      <c r="QO49" s="16"/>
      <c r="QP49" s="16"/>
      <c r="QQ49" s="16"/>
      <c r="QR49" s="16"/>
      <c r="QS49" s="16"/>
      <c r="QT49" s="16"/>
      <c r="QU49" s="16"/>
      <c r="QV49" s="16"/>
      <c r="QW49" s="16"/>
      <c r="QX49" s="16"/>
      <c r="QY49" s="16"/>
      <c r="QZ49" s="16"/>
      <c r="RA49" s="16"/>
      <c r="RB49" s="16"/>
      <c r="RC49" s="16"/>
      <c r="RD49" s="16"/>
      <c r="RE49" s="16"/>
      <c r="RF49" s="16"/>
      <c r="RG49" s="16"/>
      <c r="RH49" s="16"/>
      <c r="RI49" s="16"/>
      <c r="RJ49" s="16"/>
      <c r="RK49" s="16"/>
      <c r="RL49" s="16"/>
      <c r="RM49" s="16"/>
      <c r="RN49" s="16"/>
      <c r="RO49" s="16"/>
      <c r="RP49" s="16"/>
      <c r="RQ49" s="16"/>
      <c r="RR49" s="16"/>
      <c r="RS49" s="16"/>
      <c r="RT49" s="16"/>
      <c r="RU49" s="16"/>
      <c r="RV49" s="16"/>
      <c r="RW49" s="16"/>
      <c r="RX49" s="16"/>
      <c r="RY49" s="16"/>
      <c r="RZ49" s="16"/>
      <c r="SA49" s="16"/>
      <c r="SB49" s="16"/>
      <c r="SC49" s="16"/>
      <c r="SD49" s="16"/>
      <c r="SE49" s="16"/>
      <c r="SF49" s="16"/>
      <c r="SG49" s="16"/>
      <c r="SH49" s="16"/>
      <c r="SI49" s="16"/>
      <c r="SJ49" s="16"/>
      <c r="SK49" s="16"/>
      <c r="SL49" s="16"/>
      <c r="SM49" s="16"/>
      <c r="SN49" s="16"/>
      <c r="SO49" s="16"/>
      <c r="SP49" s="16"/>
      <c r="SQ49" s="16"/>
      <c r="SR49" s="16"/>
      <c r="SS49" s="16"/>
      <c r="ST49" s="16"/>
      <c r="SU49" s="16"/>
      <c r="SV49" s="16"/>
      <c r="SW49" s="16"/>
      <c r="SX49" s="16"/>
      <c r="SY49" s="16"/>
      <c r="SZ49" s="16"/>
      <c r="TA49" s="16"/>
      <c r="TB49" s="16"/>
      <c r="TC49" s="16"/>
    </row>
    <row r="50" spans="1:523" s="178" customFormat="1" ht="12.75" x14ac:dyDescent="0.2">
      <c r="A50" s="15">
        <v>203</v>
      </c>
      <c r="B50" s="55" t="s">
        <v>94</v>
      </c>
      <c r="C50" s="189" t="s">
        <v>335</v>
      </c>
      <c r="D50" s="16"/>
      <c r="E50" s="201">
        <v>2001</v>
      </c>
      <c r="F50" s="74" t="s">
        <v>334</v>
      </c>
      <c r="G50" s="55"/>
      <c r="H50" s="44">
        <v>2000</v>
      </c>
      <c r="I50" s="202">
        <v>2</v>
      </c>
      <c r="J50" s="16"/>
      <c r="K50" s="16"/>
      <c r="L50" s="84" t="b">
        <f>IF($A50/4&lt;=1, 8, IF($A50/4&lt;=2, 1, IF($A50/4&lt;=3, 7, IF($A50/4&lt;=4, 2, IF($A50/4&lt;=5, 6, IF($A50/4&lt;=6, 3, IF($A50/4&lt;=7, 5, IF($A50/4&lt;=8, 4, IF($A50/4&lt;=9, 8, IF($A50/4&lt;=10, 1, IF($A50/4&lt;=11, 7, IF($A50/4&lt;=12, 2, IF($A50/4&lt;=13, 6, IF($A50/4&lt;=14, 3, IF($A50/4&lt;=15, 5, IF($A50/4&lt;=16, 4, IF($A50/4&lt;=17, 8, IF($A50/4&lt;=18, 1, IF($A50/4&lt;=19, 7, IF($A50/4&lt;=20, 2, IF($A50/4&lt;=21, 6, IF($A50/4&lt;=22, 3, IF($A50/4&lt;=23, 5, IF($A50/4&lt;=24, 4, IF($A50/4&lt;=25, 8, IF($A50/4&lt;=26, 1, IF($A50/4&lt;=27, 7, IF($A50/4&lt;=28, 2, IF($A50/4&lt;=29, 6, IF($A50/4&lt;=30, 3, IF($A50/4&lt;=31, 5, IF($A50/4&lt;=32, 4, IF($A50/4&lt;=33, 8, IF($A50/4&lt;=34, 1, IF($A50/4&lt;=35, 7, IF($A50/4&lt;=36, 2, IF($A50/4&lt;=37, 6, IF($A50/4&lt;=38, 3, IF($A50/4&lt;=39, 5, IF($A50/4&lt;=40, 4))))))))))))))))))))))))))))))))))))))))</f>
        <v>0</v>
      </c>
      <c r="M50" s="178">
        <f>L50+200</f>
        <v>200</v>
      </c>
      <c r="N50" s="16"/>
      <c r="O50" s="84" t="b">
        <f>IF($A50/4&lt;=1, 4, IF($A50/4&lt;=2, 1, IF($A50/4&lt;=3, 3, IF($A50/4&lt;=4, 2, IF($A50/4&lt;=5, 4, IF($A50/4&lt;=6, 1, IF($A50/4&lt;=7, 3, IF($A50/4&lt;=8, 2, IF($A50/4&lt;=9, 4, IF($A50/4&lt;=10, 1, IF($A50/4&lt;=11, 3, IF($A50/4&lt;=12, 2, IF($A50/4&lt;=13, 4, IF($A50/4&lt;=14, 1, IF($A50/4&lt;=15, 3, IF($A50/4&lt;=16, 2, IF($A50/4&lt;=17, 4, IF($A50/4&lt;=18, 1, IF($A50/4&lt;=19, 3, IF($A50/4&lt;=20, 2, IF($A50/4&lt;=21, 4, IF($A50/4&lt;=22, 1, IF($A50/4&lt;=23, 3, IF($A50/4&lt;=24, 2, IF($A50/4&lt;=25, 4, IF($A50/4&lt;=26, 1, IF($A50/4&lt;=27, 3, IF($A50/4&lt;=28, 2, IF($A50/4&lt;=29, 4, IF($A50/4&lt;=30, 1, IF($A50/4&lt;=31, 3, IF($A50/4&lt;=32, 2, IF($A50/4&lt;=33, 4, IF($A50/4&lt;=34, 1, IF($A50/4&lt;=35, 3, IF($A50/4&lt;=36, 2))))))))))))))))))))))))))))))))))))</f>
        <v>0</v>
      </c>
      <c r="P50" s="178">
        <f>P42+10</f>
        <v>10</v>
      </c>
      <c r="Q50" s="16"/>
      <c r="R50" s="84" t="b">
        <f>IF($A50/4&lt;=1, 6, IF($A50/4&lt;=2, 1, IF($A50/4&lt;=3, 5, IF($A50/4&lt;=4, 2, IF($A50/4&lt;=5, 4, IF($A50/4&lt;=6, 3, IF($A50/4&lt;=7, 6, IF($A50/4&lt;=8, 1, IF($A50/4&lt;=9, 5, IF($A50/4&lt;=10, 2, IF($A50/4&lt;=11, 4, IF($A50/4&lt;=12, 3, IF($A50/4&lt;=13, 6, IF($A50/4&lt;=14, 1, IF($A50/4&lt;=15, 5, IF($A50/4&lt;=16, 2, IF($A50/4&lt;=17, 4, IF($A50/4&lt;=18, 3, IF($A50/4&lt;=19, 6, IF($A50/4&lt;=20, 1, IF($A50/4&lt;=21, 5, IF($A50/4&lt;=22, 2, IF($A50/4&lt;=23, 4, IF($A50/4&lt;=24, 3, IF($A50/4&lt;=25, 6, IF($A50/4&lt;=26, 1, IF($A50/4&lt;=27, 5, IF($A50/4&lt;=28, 2, IF($A50/4&lt;=29, 4, IF($A50/4&lt;=30, 3, IF($A50/4&lt;=31, 6, IF($A50/4&lt;=32, 1, IF($A50/4&lt;=33, 5, IF($A50/4&lt;=34, 2, IF($A50/4&lt;=35, 4, IF($A50/4&lt;=36, 3))))))))))))))))))))))))))))))))))))</f>
        <v>0</v>
      </c>
      <c r="S50" s="178">
        <f>R50+200</f>
        <v>200</v>
      </c>
      <c r="T50" s="16"/>
      <c r="U50" s="186">
        <f t="shared" si="9"/>
        <v>3</v>
      </c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16"/>
      <c r="DB50" s="16"/>
      <c r="DC50" s="16"/>
      <c r="DD50" s="16"/>
      <c r="DE50" s="16"/>
      <c r="DF50" s="16"/>
      <c r="DG50" s="16"/>
      <c r="DH50" s="16"/>
      <c r="DI50" s="16"/>
      <c r="DJ50" s="16"/>
      <c r="DK50" s="16"/>
      <c r="DL50" s="16"/>
      <c r="DM50" s="16"/>
      <c r="DN50" s="16"/>
      <c r="DO50" s="16"/>
      <c r="DP50" s="16"/>
      <c r="DQ50" s="16"/>
      <c r="DR50" s="16"/>
      <c r="DS50" s="16"/>
      <c r="DT50" s="16"/>
      <c r="DU50" s="16"/>
      <c r="DV50" s="16"/>
      <c r="DW50" s="16"/>
      <c r="DX50" s="16"/>
      <c r="DY50" s="16"/>
      <c r="DZ50" s="16"/>
      <c r="EA50" s="16"/>
      <c r="EB50" s="16"/>
      <c r="EC50" s="16"/>
      <c r="ED50" s="16"/>
      <c r="EE50" s="16"/>
      <c r="EF50" s="16"/>
      <c r="EG50" s="16"/>
      <c r="EH50" s="16"/>
      <c r="EI50" s="16"/>
      <c r="EJ50" s="16"/>
      <c r="EK50" s="16"/>
      <c r="EL50" s="16"/>
      <c r="EM50" s="16"/>
      <c r="EN50" s="16"/>
      <c r="EO50" s="16"/>
      <c r="EP50" s="16"/>
      <c r="EQ50" s="16"/>
      <c r="ER50" s="16"/>
      <c r="ES50" s="16"/>
      <c r="ET50" s="16"/>
      <c r="EU50" s="16"/>
      <c r="EV50" s="16"/>
      <c r="EW50" s="16"/>
      <c r="EX50" s="16"/>
      <c r="EY50" s="16"/>
      <c r="EZ50" s="16"/>
      <c r="FA50" s="16"/>
      <c r="FB50" s="16"/>
      <c r="FC50" s="16"/>
      <c r="FD50" s="16"/>
      <c r="FE50" s="16"/>
      <c r="FF50" s="16"/>
      <c r="FG50" s="16"/>
      <c r="FH50" s="16"/>
      <c r="FI50" s="16"/>
      <c r="FJ50" s="16"/>
      <c r="FK50" s="16"/>
      <c r="FL50" s="16"/>
      <c r="FM50" s="16"/>
      <c r="FN50" s="16"/>
      <c r="FO50" s="16"/>
      <c r="FP50" s="16"/>
      <c r="FQ50" s="16"/>
      <c r="FR50" s="16"/>
      <c r="FS50" s="16"/>
      <c r="FT50" s="16"/>
      <c r="FU50" s="16"/>
      <c r="FV50" s="16"/>
      <c r="FW50" s="16"/>
      <c r="FX50" s="16"/>
      <c r="FY50" s="16"/>
      <c r="FZ50" s="16"/>
      <c r="GA50" s="16"/>
      <c r="GB50" s="16"/>
      <c r="GC50" s="16"/>
      <c r="GD50" s="16"/>
      <c r="GE50" s="16"/>
      <c r="GF50" s="16"/>
      <c r="GG50" s="16"/>
      <c r="GH50" s="16"/>
      <c r="GI50" s="16"/>
      <c r="GJ50" s="16"/>
      <c r="GK50" s="16"/>
      <c r="GL50" s="16"/>
      <c r="GM50" s="16"/>
      <c r="GN50" s="16"/>
      <c r="GO50" s="16"/>
      <c r="GP50" s="16"/>
      <c r="GQ50" s="16"/>
      <c r="GR50" s="16"/>
      <c r="GS50" s="16"/>
      <c r="GT50" s="16"/>
      <c r="GU50" s="16"/>
      <c r="GV50" s="16"/>
      <c r="GW50" s="16"/>
      <c r="GX50" s="16"/>
      <c r="GY50" s="16"/>
      <c r="GZ50" s="16"/>
      <c r="HA50" s="16"/>
      <c r="HB50" s="16"/>
      <c r="HC50" s="16"/>
      <c r="HD50" s="16"/>
      <c r="HE50" s="16"/>
      <c r="HF50" s="16"/>
      <c r="HG50" s="16"/>
      <c r="HH50" s="16"/>
      <c r="HI50" s="16"/>
      <c r="HJ50" s="16"/>
      <c r="HK50" s="16"/>
      <c r="HL50" s="16"/>
      <c r="HM50" s="16"/>
      <c r="HN50" s="16"/>
      <c r="HO50" s="16"/>
      <c r="HP50" s="16"/>
      <c r="HQ50" s="16"/>
      <c r="HR50" s="16"/>
      <c r="HS50" s="16"/>
      <c r="HT50" s="16"/>
      <c r="HU50" s="16"/>
      <c r="HV50" s="16"/>
      <c r="HW50" s="16"/>
      <c r="HX50" s="16"/>
      <c r="HY50" s="16"/>
      <c r="HZ50" s="16"/>
      <c r="IA50" s="16"/>
      <c r="IB50" s="16"/>
      <c r="IC50" s="16"/>
      <c r="ID50" s="16"/>
      <c r="IE50" s="16"/>
      <c r="IF50" s="16"/>
      <c r="IG50" s="16"/>
      <c r="IH50" s="16"/>
      <c r="II50" s="16"/>
      <c r="IJ50" s="16"/>
      <c r="IK50" s="16"/>
      <c r="IL50" s="16"/>
      <c r="IM50" s="16"/>
      <c r="IN50" s="16"/>
      <c r="IO50" s="16"/>
      <c r="IP50" s="16"/>
      <c r="IQ50" s="16"/>
      <c r="IR50" s="16"/>
      <c r="IS50" s="16"/>
      <c r="IT50" s="16"/>
      <c r="IU50" s="16"/>
      <c r="IV50" s="16"/>
      <c r="IW50" s="16"/>
      <c r="IX50" s="16"/>
      <c r="IY50" s="16"/>
      <c r="IZ50" s="16"/>
      <c r="JA50" s="16"/>
      <c r="JB50" s="16"/>
      <c r="JC50" s="16"/>
      <c r="JD50" s="16"/>
      <c r="JE50" s="16"/>
      <c r="JF50" s="16"/>
      <c r="JG50" s="16"/>
      <c r="JH50" s="16"/>
      <c r="JI50" s="16"/>
      <c r="JJ50" s="16"/>
      <c r="JK50" s="16"/>
      <c r="JL50" s="16"/>
      <c r="JM50" s="16"/>
      <c r="JN50" s="16"/>
      <c r="JO50" s="16"/>
      <c r="JP50" s="16"/>
      <c r="JQ50" s="16"/>
      <c r="JR50" s="16"/>
      <c r="JS50" s="16"/>
      <c r="JT50" s="16"/>
      <c r="JU50" s="16"/>
      <c r="JV50" s="16"/>
      <c r="JW50" s="16"/>
      <c r="JX50" s="16"/>
      <c r="JY50" s="16"/>
      <c r="JZ50" s="16"/>
      <c r="KA50" s="16"/>
      <c r="KB50" s="16"/>
      <c r="KC50" s="16"/>
      <c r="KD50" s="16"/>
      <c r="KE50" s="16"/>
      <c r="KF50" s="16"/>
      <c r="KG50" s="16"/>
      <c r="KH50" s="16"/>
      <c r="KI50" s="16"/>
      <c r="KJ50" s="16"/>
      <c r="KK50" s="16"/>
      <c r="KL50" s="16"/>
      <c r="KM50" s="16"/>
      <c r="KN50" s="16"/>
      <c r="KO50" s="16"/>
      <c r="KP50" s="16"/>
      <c r="KQ50" s="16"/>
      <c r="KR50" s="16"/>
      <c r="KS50" s="16"/>
      <c r="KT50" s="16"/>
      <c r="KU50" s="16"/>
      <c r="KV50" s="16"/>
      <c r="KW50" s="16"/>
      <c r="KX50" s="16"/>
      <c r="KY50" s="16"/>
      <c r="KZ50" s="16"/>
      <c r="LA50" s="16"/>
      <c r="LB50" s="16"/>
      <c r="LC50" s="16"/>
      <c r="LD50" s="16"/>
      <c r="LE50" s="16"/>
      <c r="LF50" s="16"/>
      <c r="LG50" s="16"/>
      <c r="LH50" s="16"/>
      <c r="LI50" s="16"/>
      <c r="LJ50" s="16"/>
      <c r="LK50" s="16"/>
      <c r="LL50" s="16"/>
      <c r="LM50" s="16"/>
      <c r="LN50" s="16"/>
      <c r="LO50" s="16"/>
      <c r="LP50" s="16"/>
      <c r="LQ50" s="16"/>
      <c r="LR50" s="16"/>
      <c r="LS50" s="16"/>
      <c r="LT50" s="16"/>
      <c r="LU50" s="16"/>
      <c r="LV50" s="16"/>
      <c r="LW50" s="16"/>
      <c r="LX50" s="16"/>
      <c r="LY50" s="16"/>
      <c r="LZ50" s="16"/>
      <c r="MA50" s="16"/>
      <c r="MB50" s="16"/>
      <c r="MC50" s="16"/>
      <c r="MD50" s="16"/>
      <c r="ME50" s="16"/>
      <c r="MF50" s="16"/>
      <c r="MG50" s="16"/>
      <c r="MH50" s="16"/>
      <c r="MI50" s="16"/>
      <c r="MJ50" s="16"/>
      <c r="MK50" s="16"/>
      <c r="ML50" s="16"/>
      <c r="MM50" s="16"/>
      <c r="MN50" s="16"/>
      <c r="MO50" s="16"/>
      <c r="MP50" s="16"/>
      <c r="MQ50" s="16"/>
      <c r="MR50" s="16"/>
      <c r="MS50" s="16"/>
      <c r="MT50" s="16"/>
      <c r="MU50" s="16"/>
      <c r="MV50" s="16"/>
      <c r="MW50" s="16"/>
      <c r="MX50" s="16"/>
      <c r="MY50" s="16"/>
      <c r="MZ50" s="16"/>
      <c r="NA50" s="16"/>
      <c r="NB50" s="16"/>
      <c r="NC50" s="16"/>
      <c r="ND50" s="16"/>
      <c r="NE50" s="16"/>
      <c r="NF50" s="16"/>
      <c r="NG50" s="16"/>
      <c r="NH50" s="16"/>
      <c r="NI50" s="16"/>
      <c r="NJ50" s="16"/>
      <c r="NK50" s="16"/>
      <c r="NL50" s="16"/>
      <c r="NM50" s="16"/>
      <c r="NN50" s="16"/>
      <c r="NO50" s="16"/>
      <c r="NP50" s="16"/>
      <c r="NQ50" s="16"/>
      <c r="NR50" s="16"/>
      <c r="NS50" s="16"/>
      <c r="NT50" s="16"/>
      <c r="NU50" s="16"/>
      <c r="NV50" s="16"/>
      <c r="NW50" s="16"/>
      <c r="NX50" s="16"/>
      <c r="NY50" s="16"/>
      <c r="NZ50" s="16"/>
      <c r="OA50" s="16"/>
      <c r="OB50" s="16"/>
      <c r="OC50" s="16"/>
      <c r="OD50" s="16"/>
      <c r="OE50" s="16"/>
      <c r="OF50" s="16"/>
      <c r="OG50" s="16"/>
      <c r="OH50" s="16"/>
      <c r="OI50" s="16"/>
      <c r="OJ50" s="16"/>
      <c r="OK50" s="16"/>
      <c r="OL50" s="16"/>
      <c r="OM50" s="16"/>
      <c r="ON50" s="16"/>
      <c r="OO50" s="16"/>
      <c r="OP50" s="16"/>
      <c r="OQ50" s="16"/>
      <c r="OR50" s="16"/>
      <c r="OS50" s="16"/>
      <c r="OT50" s="16"/>
      <c r="OU50" s="16"/>
      <c r="OV50" s="16"/>
      <c r="OW50" s="16"/>
      <c r="OX50" s="16"/>
      <c r="OY50" s="16"/>
      <c r="OZ50" s="16"/>
      <c r="PA50" s="16"/>
      <c r="PB50" s="16"/>
      <c r="PC50" s="16"/>
      <c r="PD50" s="16"/>
      <c r="PE50" s="16"/>
      <c r="PF50" s="16"/>
      <c r="PG50" s="16"/>
      <c r="PH50" s="16"/>
      <c r="PI50" s="16"/>
      <c r="PJ50" s="16"/>
      <c r="PK50" s="16"/>
      <c r="PL50" s="16"/>
      <c r="PM50" s="16"/>
      <c r="PN50" s="16"/>
      <c r="PO50" s="16"/>
      <c r="PP50" s="16"/>
      <c r="PQ50" s="16"/>
      <c r="PR50" s="16"/>
      <c r="PS50" s="16"/>
      <c r="PT50" s="16"/>
      <c r="PU50" s="16"/>
      <c r="PV50" s="16"/>
      <c r="PW50" s="16"/>
      <c r="PX50" s="16"/>
      <c r="PY50" s="16"/>
      <c r="PZ50" s="16"/>
      <c r="QA50" s="16"/>
      <c r="QB50" s="16"/>
      <c r="QC50" s="16"/>
      <c r="QD50" s="16"/>
      <c r="QE50" s="16"/>
      <c r="QF50" s="16"/>
      <c r="QG50" s="16"/>
      <c r="QH50" s="16"/>
      <c r="QI50" s="16"/>
      <c r="QJ50" s="16"/>
      <c r="QK50" s="16"/>
      <c r="QL50" s="16"/>
      <c r="QM50" s="16"/>
      <c r="QN50" s="16"/>
      <c r="QO50" s="16"/>
      <c r="QP50" s="16"/>
      <c r="QQ50" s="16"/>
      <c r="QR50" s="16"/>
      <c r="QS50" s="16"/>
      <c r="QT50" s="16"/>
      <c r="QU50" s="16"/>
      <c r="QV50" s="16"/>
      <c r="QW50" s="16"/>
      <c r="QX50" s="16"/>
      <c r="QY50" s="16"/>
      <c r="QZ50" s="16"/>
      <c r="RA50" s="16"/>
      <c r="RB50" s="16"/>
      <c r="RC50" s="16"/>
      <c r="RD50" s="16"/>
      <c r="RE50" s="16"/>
      <c r="RF50" s="16"/>
      <c r="RG50" s="16"/>
      <c r="RH50" s="16"/>
      <c r="RI50" s="16"/>
      <c r="RJ50" s="16"/>
      <c r="RK50" s="16"/>
      <c r="RL50" s="16"/>
      <c r="RM50" s="16"/>
      <c r="RN50" s="16"/>
      <c r="RO50" s="16"/>
      <c r="RP50" s="16"/>
      <c r="RQ50" s="16"/>
      <c r="RR50" s="16"/>
      <c r="RS50" s="16"/>
      <c r="RT50" s="16"/>
      <c r="RU50" s="16"/>
      <c r="RV50" s="16"/>
      <c r="RW50" s="16"/>
      <c r="RX50" s="16"/>
      <c r="RY50" s="16"/>
      <c r="RZ50" s="16"/>
      <c r="SA50" s="16"/>
      <c r="SB50" s="16"/>
      <c r="SC50" s="16"/>
      <c r="SD50" s="16"/>
      <c r="SE50" s="16"/>
      <c r="SF50" s="16"/>
      <c r="SG50" s="16"/>
      <c r="SH50" s="16"/>
      <c r="SI50" s="16"/>
      <c r="SJ50" s="16"/>
      <c r="SK50" s="16"/>
      <c r="SL50" s="16"/>
      <c r="SM50" s="16"/>
      <c r="SN50" s="16"/>
      <c r="SO50" s="16"/>
      <c r="SP50" s="16"/>
      <c r="SQ50" s="16"/>
      <c r="SR50" s="16"/>
      <c r="SS50" s="16"/>
      <c r="ST50" s="16"/>
      <c r="SU50" s="16"/>
      <c r="SV50" s="16"/>
      <c r="SW50" s="16"/>
      <c r="SX50" s="16"/>
      <c r="SY50" s="16"/>
      <c r="SZ50" s="16"/>
      <c r="TA50" s="16"/>
      <c r="TB50" s="16"/>
      <c r="TC50" s="16"/>
    </row>
    <row r="51" spans="1:523" s="178" customFormat="1" ht="12.75" x14ac:dyDescent="0.2">
      <c r="A51" s="15">
        <v>203</v>
      </c>
      <c r="B51" s="55" t="s">
        <v>100</v>
      </c>
      <c r="C51" s="189" t="s">
        <v>336</v>
      </c>
      <c r="E51" s="201">
        <v>2003</v>
      </c>
      <c r="F51" s="74" t="s">
        <v>334</v>
      </c>
      <c r="G51" s="55"/>
      <c r="H51" s="44">
        <v>2000</v>
      </c>
      <c r="I51" s="202">
        <v>3</v>
      </c>
      <c r="J51" s="16"/>
      <c r="K51" s="16"/>
      <c r="L51" s="84" t="b">
        <f>IF($A51/4&lt;=1, 8, IF($A51/4&lt;=2, 1, IF($A51/4&lt;=3, 7, IF($A51/4&lt;=4, 2, IF($A51/4&lt;=5, 6, IF($A51/4&lt;=6, 3, IF($A51/4&lt;=7, 5, IF($A51/4&lt;=8, 4, IF($A51/4&lt;=9, 8, IF($A51/4&lt;=10, 1, IF($A51/4&lt;=11, 7, IF($A51/4&lt;=12, 2, IF($A51/4&lt;=13, 6, IF($A51/4&lt;=14, 3, IF($A51/4&lt;=15, 5, IF($A51/4&lt;=16, 4, IF($A51/4&lt;=17, 8, IF($A51/4&lt;=18, 1, IF($A51/4&lt;=19, 7, IF($A51/4&lt;=20, 2, IF($A51/4&lt;=21, 6, IF($A51/4&lt;=22, 3, IF($A51/4&lt;=23, 5, IF($A51/4&lt;=24, 4, IF($A51/4&lt;=25, 8, IF($A51/4&lt;=26, 1, IF($A51/4&lt;=27, 7, IF($A51/4&lt;=28, 2, IF($A51/4&lt;=29, 6, IF($A51/4&lt;=30, 3, IF($A51/4&lt;=31, 5, IF($A51/4&lt;=32, 4, IF($A51/4&lt;=33, 8, IF($A51/4&lt;=34, 1, IF($A51/4&lt;=35, 7, IF($A51/4&lt;=36, 2, IF($A51/4&lt;=37, 6, IF($A51/4&lt;=38, 3, IF($A51/4&lt;=39, 5, IF($A51/4&lt;=40, 4))))))))))))))))))))))))))))))))))))))))</f>
        <v>0</v>
      </c>
      <c r="M51" s="178">
        <f>L51+200</f>
        <v>200</v>
      </c>
      <c r="N51" s="16"/>
      <c r="O51" s="84" t="b">
        <f>IF($A51/4&lt;=1, 4, IF($A51/4&lt;=2, 1, IF($A51/4&lt;=3, 3, IF($A51/4&lt;=4, 2, IF($A51/4&lt;=5, 4, IF($A51/4&lt;=6, 1, IF($A51/4&lt;=7, 3, IF($A51/4&lt;=8, 2, IF($A51/4&lt;=9, 4, IF($A51/4&lt;=10, 1, IF($A51/4&lt;=11, 3, IF($A51/4&lt;=12, 2, IF($A51/4&lt;=13, 4, IF($A51/4&lt;=14, 1, IF($A51/4&lt;=15, 3, IF($A51/4&lt;=16, 2, IF($A51/4&lt;=17, 4, IF($A51/4&lt;=18, 1, IF($A51/4&lt;=19, 3, IF($A51/4&lt;=20, 2, IF($A51/4&lt;=21, 4, IF($A51/4&lt;=22, 1, IF($A51/4&lt;=23, 3, IF($A51/4&lt;=24, 2, IF($A51/4&lt;=25, 4, IF($A51/4&lt;=26, 1, IF($A51/4&lt;=27, 3, IF($A51/4&lt;=28, 2, IF($A51/4&lt;=29, 4, IF($A51/4&lt;=30, 1, IF($A51/4&lt;=31, 3, IF($A51/4&lt;=32, 2, IF($A51/4&lt;=33, 4, IF($A51/4&lt;=34, 1, IF($A51/4&lt;=35, 3, IF($A51/4&lt;=36, 2))))))))))))))))))))))))))))))))))))</f>
        <v>0</v>
      </c>
      <c r="P51" s="178">
        <f>P43+10</f>
        <v>10</v>
      </c>
      <c r="Q51" s="16"/>
      <c r="R51" s="84" t="b">
        <f>IF($A51/4&lt;=1, 6, IF($A51/4&lt;=2, 1, IF($A51/4&lt;=3, 5, IF($A51/4&lt;=4, 2, IF($A51/4&lt;=5, 4, IF($A51/4&lt;=6, 3, IF($A51/4&lt;=7, 6, IF($A51/4&lt;=8, 1, IF($A51/4&lt;=9, 5, IF($A51/4&lt;=10, 2, IF($A51/4&lt;=11, 4, IF($A51/4&lt;=12, 3, IF($A51/4&lt;=13, 6, IF($A51/4&lt;=14, 1, IF($A51/4&lt;=15, 5, IF($A51/4&lt;=16, 2, IF($A51/4&lt;=17, 4, IF($A51/4&lt;=18, 3, IF($A51/4&lt;=19, 6, IF($A51/4&lt;=20, 1, IF($A51/4&lt;=21, 5, IF($A51/4&lt;=22, 2, IF($A51/4&lt;=23, 4, IF($A51/4&lt;=24, 3, IF($A51/4&lt;=25, 6, IF($A51/4&lt;=26, 1, IF($A51/4&lt;=27, 5, IF($A51/4&lt;=28, 2, IF($A51/4&lt;=29, 4, IF($A51/4&lt;=30, 3, IF($A51/4&lt;=31, 6, IF($A51/4&lt;=32, 1, IF($A51/4&lt;=33, 5, IF($A51/4&lt;=34, 2, IF($A51/4&lt;=35, 4, IF($A51/4&lt;=36, 3))))))))))))))))))))))))))))))))))))</f>
        <v>0</v>
      </c>
      <c r="S51" s="178">
        <f>R51+200</f>
        <v>200</v>
      </c>
      <c r="T51" s="16"/>
      <c r="U51" s="186">
        <f t="shared" si="9"/>
        <v>3</v>
      </c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16"/>
      <c r="DB51" s="16"/>
      <c r="DC51" s="16"/>
      <c r="DD51" s="16"/>
      <c r="DE51" s="16"/>
      <c r="DF51" s="16"/>
      <c r="DG51" s="16"/>
      <c r="DH51" s="16"/>
      <c r="DI51" s="16"/>
      <c r="DJ51" s="16"/>
      <c r="DK51" s="16"/>
      <c r="DL51" s="16"/>
      <c r="DM51" s="16"/>
      <c r="DN51" s="16"/>
      <c r="DO51" s="16"/>
      <c r="DP51" s="16"/>
      <c r="DQ51" s="16"/>
      <c r="DR51" s="16"/>
      <c r="DS51" s="16"/>
      <c r="DT51" s="16"/>
      <c r="DU51" s="16"/>
      <c r="DV51" s="16"/>
      <c r="DW51" s="16"/>
      <c r="DX51" s="16"/>
      <c r="DY51" s="16"/>
      <c r="DZ51" s="16"/>
      <c r="EA51" s="16"/>
      <c r="EB51" s="16"/>
      <c r="EC51" s="16"/>
      <c r="ED51" s="16"/>
      <c r="EE51" s="16"/>
      <c r="EF51" s="16"/>
      <c r="EG51" s="16"/>
      <c r="EH51" s="16"/>
      <c r="EI51" s="16"/>
      <c r="EJ51" s="16"/>
      <c r="EK51" s="16"/>
      <c r="EL51" s="16"/>
      <c r="EM51" s="16"/>
      <c r="EN51" s="16"/>
      <c r="EO51" s="16"/>
      <c r="EP51" s="16"/>
      <c r="EQ51" s="16"/>
      <c r="ER51" s="16"/>
      <c r="ES51" s="16"/>
      <c r="ET51" s="16"/>
      <c r="EU51" s="16"/>
      <c r="EV51" s="16"/>
      <c r="EW51" s="16"/>
      <c r="EX51" s="16"/>
      <c r="EY51" s="16"/>
      <c r="EZ51" s="16"/>
      <c r="FA51" s="16"/>
      <c r="FB51" s="16"/>
      <c r="FC51" s="16"/>
      <c r="FD51" s="16"/>
      <c r="FE51" s="16"/>
      <c r="FF51" s="16"/>
      <c r="FG51" s="16"/>
      <c r="FH51" s="16"/>
      <c r="FI51" s="16"/>
      <c r="FJ51" s="16"/>
      <c r="FK51" s="16"/>
      <c r="FL51" s="16"/>
      <c r="FM51" s="16"/>
      <c r="FN51" s="16"/>
      <c r="FO51" s="16"/>
      <c r="FP51" s="16"/>
      <c r="FQ51" s="16"/>
      <c r="FR51" s="16"/>
      <c r="FS51" s="16"/>
      <c r="FT51" s="16"/>
      <c r="FU51" s="16"/>
      <c r="FV51" s="16"/>
      <c r="FW51" s="16"/>
      <c r="FX51" s="16"/>
      <c r="FY51" s="16"/>
      <c r="FZ51" s="16"/>
      <c r="GA51" s="16"/>
      <c r="GB51" s="16"/>
      <c r="GC51" s="16"/>
      <c r="GD51" s="16"/>
      <c r="GE51" s="16"/>
      <c r="GF51" s="16"/>
      <c r="GG51" s="16"/>
      <c r="GH51" s="16"/>
      <c r="GI51" s="16"/>
      <c r="GJ51" s="16"/>
      <c r="GK51" s="16"/>
      <c r="GL51" s="16"/>
      <c r="GM51" s="16"/>
      <c r="GN51" s="16"/>
      <c r="GO51" s="16"/>
      <c r="GP51" s="16"/>
      <c r="GQ51" s="16"/>
      <c r="GR51" s="16"/>
      <c r="GS51" s="16"/>
      <c r="GT51" s="16"/>
      <c r="GU51" s="16"/>
      <c r="GV51" s="16"/>
      <c r="GW51" s="16"/>
      <c r="GX51" s="16"/>
      <c r="GY51" s="16"/>
      <c r="GZ51" s="16"/>
      <c r="HA51" s="16"/>
      <c r="HB51" s="16"/>
      <c r="HC51" s="16"/>
      <c r="HD51" s="16"/>
      <c r="HE51" s="16"/>
      <c r="HF51" s="16"/>
      <c r="HG51" s="16"/>
      <c r="HH51" s="16"/>
      <c r="HI51" s="16"/>
      <c r="HJ51" s="16"/>
      <c r="HK51" s="16"/>
      <c r="HL51" s="16"/>
      <c r="HM51" s="16"/>
      <c r="HN51" s="16"/>
      <c r="HO51" s="16"/>
      <c r="HP51" s="16"/>
      <c r="HQ51" s="16"/>
      <c r="HR51" s="16"/>
      <c r="HS51" s="16"/>
      <c r="HT51" s="16"/>
      <c r="HU51" s="16"/>
      <c r="HV51" s="16"/>
      <c r="HW51" s="16"/>
      <c r="HX51" s="16"/>
      <c r="HY51" s="16"/>
      <c r="HZ51" s="16"/>
      <c r="IA51" s="16"/>
      <c r="IB51" s="16"/>
      <c r="IC51" s="16"/>
      <c r="ID51" s="16"/>
      <c r="IE51" s="16"/>
      <c r="IF51" s="16"/>
      <c r="IG51" s="16"/>
      <c r="IH51" s="16"/>
      <c r="II51" s="16"/>
      <c r="IJ51" s="16"/>
      <c r="IK51" s="16"/>
      <c r="IL51" s="16"/>
      <c r="IM51" s="16"/>
      <c r="IN51" s="16"/>
      <c r="IO51" s="16"/>
      <c r="IP51" s="16"/>
      <c r="IQ51" s="16"/>
      <c r="IR51" s="16"/>
      <c r="IS51" s="16"/>
      <c r="IT51" s="16"/>
      <c r="IU51" s="16"/>
      <c r="IV51" s="16"/>
      <c r="IW51" s="16"/>
      <c r="IX51" s="16"/>
      <c r="IY51" s="16"/>
      <c r="IZ51" s="16"/>
      <c r="JA51" s="16"/>
      <c r="JB51" s="16"/>
      <c r="JC51" s="16"/>
      <c r="JD51" s="16"/>
      <c r="JE51" s="16"/>
      <c r="JF51" s="16"/>
      <c r="JG51" s="16"/>
      <c r="JH51" s="16"/>
      <c r="JI51" s="16"/>
      <c r="JJ51" s="16"/>
      <c r="JK51" s="16"/>
      <c r="JL51" s="16"/>
      <c r="JM51" s="16"/>
      <c r="JN51" s="16"/>
      <c r="JO51" s="16"/>
      <c r="JP51" s="16"/>
      <c r="JQ51" s="16"/>
      <c r="JR51" s="16"/>
      <c r="JS51" s="16"/>
      <c r="JT51" s="16"/>
      <c r="JU51" s="16"/>
      <c r="JV51" s="16"/>
      <c r="JW51" s="16"/>
      <c r="JX51" s="16"/>
      <c r="JY51" s="16"/>
      <c r="JZ51" s="16"/>
      <c r="KA51" s="16"/>
      <c r="KB51" s="16"/>
      <c r="KC51" s="16"/>
      <c r="KD51" s="16"/>
      <c r="KE51" s="16"/>
      <c r="KF51" s="16"/>
      <c r="KG51" s="16"/>
      <c r="KH51" s="16"/>
      <c r="KI51" s="16"/>
      <c r="KJ51" s="16"/>
      <c r="KK51" s="16"/>
      <c r="KL51" s="16"/>
      <c r="KM51" s="16"/>
      <c r="KN51" s="16"/>
      <c r="KO51" s="16"/>
      <c r="KP51" s="16"/>
      <c r="KQ51" s="16"/>
      <c r="KR51" s="16"/>
      <c r="KS51" s="16"/>
      <c r="KT51" s="16"/>
      <c r="KU51" s="16"/>
      <c r="KV51" s="16"/>
      <c r="KW51" s="16"/>
      <c r="KX51" s="16"/>
      <c r="KY51" s="16"/>
      <c r="KZ51" s="16"/>
      <c r="LA51" s="16"/>
      <c r="LB51" s="16"/>
      <c r="LC51" s="16"/>
      <c r="LD51" s="16"/>
      <c r="LE51" s="16"/>
      <c r="LF51" s="16"/>
      <c r="LG51" s="16"/>
      <c r="LH51" s="16"/>
      <c r="LI51" s="16"/>
      <c r="LJ51" s="16"/>
      <c r="LK51" s="16"/>
      <c r="LL51" s="16"/>
      <c r="LM51" s="16"/>
      <c r="LN51" s="16"/>
      <c r="LO51" s="16"/>
      <c r="LP51" s="16"/>
      <c r="LQ51" s="16"/>
      <c r="LR51" s="16"/>
      <c r="LS51" s="16"/>
      <c r="LT51" s="16"/>
      <c r="LU51" s="16"/>
      <c r="LV51" s="16"/>
      <c r="LW51" s="16"/>
      <c r="LX51" s="16"/>
      <c r="LY51" s="16"/>
      <c r="LZ51" s="16"/>
      <c r="MA51" s="16"/>
      <c r="MB51" s="16"/>
      <c r="MC51" s="16"/>
      <c r="MD51" s="16"/>
      <c r="ME51" s="16"/>
      <c r="MF51" s="16"/>
      <c r="MG51" s="16"/>
      <c r="MH51" s="16"/>
      <c r="MI51" s="16"/>
      <c r="MJ51" s="16"/>
      <c r="MK51" s="16"/>
      <c r="ML51" s="16"/>
      <c r="MM51" s="16"/>
      <c r="MN51" s="16"/>
      <c r="MO51" s="16"/>
      <c r="MP51" s="16"/>
      <c r="MQ51" s="16"/>
      <c r="MR51" s="16"/>
      <c r="MS51" s="16"/>
      <c r="MT51" s="16"/>
      <c r="MU51" s="16"/>
      <c r="MV51" s="16"/>
      <c r="MW51" s="16"/>
      <c r="MX51" s="16"/>
      <c r="MY51" s="16"/>
      <c r="MZ51" s="16"/>
      <c r="NA51" s="16"/>
      <c r="NB51" s="16"/>
      <c r="NC51" s="16"/>
      <c r="ND51" s="16"/>
      <c r="NE51" s="16"/>
      <c r="NF51" s="16"/>
      <c r="NG51" s="16"/>
      <c r="NH51" s="16"/>
      <c r="NI51" s="16"/>
      <c r="NJ51" s="16"/>
      <c r="NK51" s="16"/>
      <c r="NL51" s="16"/>
      <c r="NM51" s="16"/>
      <c r="NN51" s="16"/>
      <c r="NO51" s="16"/>
      <c r="NP51" s="16"/>
      <c r="NQ51" s="16"/>
      <c r="NR51" s="16"/>
      <c r="NS51" s="16"/>
      <c r="NT51" s="16"/>
      <c r="NU51" s="16"/>
      <c r="NV51" s="16"/>
      <c r="NW51" s="16"/>
      <c r="NX51" s="16"/>
      <c r="NY51" s="16"/>
      <c r="NZ51" s="16"/>
      <c r="OA51" s="16"/>
      <c r="OB51" s="16"/>
      <c r="OC51" s="16"/>
      <c r="OD51" s="16"/>
      <c r="OE51" s="16"/>
      <c r="OF51" s="16"/>
      <c r="OG51" s="16"/>
      <c r="OH51" s="16"/>
      <c r="OI51" s="16"/>
      <c r="OJ51" s="16"/>
      <c r="OK51" s="16"/>
      <c r="OL51" s="16"/>
      <c r="OM51" s="16"/>
      <c r="ON51" s="16"/>
      <c r="OO51" s="16"/>
      <c r="OP51" s="16"/>
      <c r="OQ51" s="16"/>
      <c r="OR51" s="16"/>
      <c r="OS51" s="16"/>
      <c r="OT51" s="16"/>
      <c r="OU51" s="16"/>
      <c r="OV51" s="16"/>
      <c r="OW51" s="16"/>
      <c r="OX51" s="16"/>
      <c r="OY51" s="16"/>
      <c r="OZ51" s="16"/>
      <c r="PA51" s="16"/>
      <c r="PB51" s="16"/>
      <c r="PC51" s="16"/>
      <c r="PD51" s="16"/>
      <c r="PE51" s="16"/>
      <c r="PF51" s="16"/>
      <c r="PG51" s="16"/>
      <c r="PH51" s="16"/>
      <c r="PI51" s="16"/>
      <c r="PJ51" s="16"/>
      <c r="PK51" s="16"/>
      <c r="PL51" s="16"/>
      <c r="PM51" s="16"/>
      <c r="PN51" s="16"/>
      <c r="PO51" s="16"/>
      <c r="PP51" s="16"/>
      <c r="PQ51" s="16"/>
      <c r="PR51" s="16"/>
      <c r="PS51" s="16"/>
      <c r="PT51" s="16"/>
      <c r="PU51" s="16"/>
      <c r="PV51" s="16"/>
      <c r="PW51" s="16"/>
      <c r="PX51" s="16"/>
      <c r="PY51" s="16"/>
      <c r="PZ51" s="16"/>
      <c r="QA51" s="16"/>
      <c r="QB51" s="16"/>
      <c r="QC51" s="16"/>
      <c r="QD51" s="16"/>
      <c r="QE51" s="16"/>
      <c r="QF51" s="16"/>
      <c r="QG51" s="16"/>
      <c r="QH51" s="16"/>
      <c r="QI51" s="16"/>
      <c r="QJ51" s="16"/>
      <c r="QK51" s="16"/>
      <c r="QL51" s="16"/>
      <c r="QM51" s="16"/>
      <c r="QN51" s="16"/>
      <c r="QO51" s="16"/>
      <c r="QP51" s="16"/>
      <c r="QQ51" s="16"/>
      <c r="QR51" s="16"/>
      <c r="QS51" s="16"/>
      <c r="QT51" s="16"/>
      <c r="QU51" s="16"/>
      <c r="QV51" s="16"/>
      <c r="QW51" s="16"/>
      <c r="QX51" s="16"/>
      <c r="QY51" s="16"/>
      <c r="QZ51" s="16"/>
      <c r="RA51" s="16"/>
      <c r="RB51" s="16"/>
      <c r="RC51" s="16"/>
      <c r="RD51" s="16"/>
      <c r="RE51" s="16"/>
      <c r="RF51" s="16"/>
      <c r="RG51" s="16"/>
      <c r="RH51" s="16"/>
      <c r="RI51" s="16"/>
      <c r="RJ51" s="16"/>
      <c r="RK51" s="16"/>
      <c r="RL51" s="16"/>
      <c r="RM51" s="16"/>
      <c r="RN51" s="16"/>
      <c r="RO51" s="16"/>
      <c r="RP51" s="16"/>
      <c r="RQ51" s="16"/>
      <c r="RR51" s="16"/>
      <c r="RS51" s="16"/>
      <c r="RT51" s="16"/>
      <c r="RU51" s="16"/>
      <c r="RV51" s="16"/>
      <c r="RW51" s="16"/>
      <c r="RX51" s="16"/>
      <c r="RY51" s="16"/>
      <c r="RZ51" s="16"/>
      <c r="SA51" s="16"/>
      <c r="SB51" s="16"/>
      <c r="SC51" s="16"/>
      <c r="SD51" s="16"/>
      <c r="SE51" s="16"/>
      <c r="SF51" s="16"/>
      <c r="SG51" s="16"/>
      <c r="SH51" s="16"/>
      <c r="SI51" s="16"/>
      <c r="SJ51" s="16"/>
      <c r="SK51" s="16"/>
      <c r="SL51" s="16"/>
      <c r="SM51" s="16"/>
      <c r="SN51" s="16"/>
      <c r="SO51" s="16"/>
      <c r="SP51" s="16"/>
      <c r="SQ51" s="16"/>
      <c r="SR51" s="16"/>
      <c r="SS51" s="16"/>
      <c r="ST51" s="16"/>
      <c r="SU51" s="16"/>
      <c r="SV51" s="16"/>
      <c r="SW51" s="16"/>
      <c r="SX51" s="16"/>
      <c r="SY51" s="16"/>
      <c r="SZ51" s="16"/>
      <c r="TA51" s="16"/>
      <c r="TB51" s="16"/>
      <c r="TC51" s="16"/>
    </row>
    <row r="52" spans="1:523" s="178" customFormat="1" ht="12.75" x14ac:dyDescent="0.2">
      <c r="A52" s="15">
        <v>203</v>
      </c>
      <c r="B52" s="55" t="s">
        <v>94</v>
      </c>
      <c r="C52" s="189" t="s">
        <v>337</v>
      </c>
      <c r="D52" s="203"/>
      <c r="E52" s="201">
        <v>2003</v>
      </c>
      <c r="F52" s="74" t="s">
        <v>334</v>
      </c>
      <c r="G52" s="55"/>
      <c r="H52" s="44">
        <v>2000</v>
      </c>
      <c r="I52" s="202">
        <v>4</v>
      </c>
      <c r="J52" s="16"/>
      <c r="K52" s="16"/>
      <c r="L52" s="84" t="b">
        <f>IF($A52/4&lt;=1, 8, IF($A52/4&lt;=2, 1, IF($A52/4&lt;=3, 7, IF($A52/4&lt;=4, 2, IF($A52/4&lt;=5, 6, IF($A52/4&lt;=6, 3, IF($A52/4&lt;=7, 5, IF($A52/4&lt;=8, 4, IF($A52/4&lt;=9, 8, IF($A52/4&lt;=10, 1, IF($A52/4&lt;=11, 7, IF($A52/4&lt;=12, 2, IF($A52/4&lt;=13, 6, IF($A52/4&lt;=14, 3, IF($A52/4&lt;=15, 5, IF($A52/4&lt;=16, 4, IF($A52/4&lt;=17, 8, IF($A52/4&lt;=18, 1, IF($A52/4&lt;=19, 7, IF($A52/4&lt;=20, 2, IF($A52/4&lt;=21, 6, IF($A52/4&lt;=22, 3, IF($A52/4&lt;=23, 5, IF($A52/4&lt;=24, 4, IF($A52/4&lt;=25, 8, IF($A52/4&lt;=26, 1, IF($A52/4&lt;=27, 7, IF($A52/4&lt;=28, 2, IF($A52/4&lt;=29, 6, IF($A52/4&lt;=30, 3, IF($A52/4&lt;=31, 5, IF($A52/4&lt;=32, 4, IF($A52/4&lt;=33, 8, IF($A52/4&lt;=34, 1, IF($A52/4&lt;=35, 7, IF($A52/4&lt;=36, 2, IF($A52/4&lt;=37, 6, IF($A52/4&lt;=38, 3, IF($A52/4&lt;=39, 5, IF($A52/4&lt;=40, 4))))))))))))))))))))))))))))))))))))))))</f>
        <v>0</v>
      </c>
      <c r="M52" s="178">
        <f>L52+200</f>
        <v>200</v>
      </c>
      <c r="N52" s="16"/>
      <c r="O52" s="84" t="b">
        <f>IF($A52/4&lt;=1, 4, IF($A52/4&lt;=2, 1, IF($A52/4&lt;=3, 3, IF($A52/4&lt;=4, 2, IF($A52/4&lt;=5, 4, IF($A52/4&lt;=6, 1, IF($A52/4&lt;=7, 3, IF($A52/4&lt;=8, 2, IF($A52/4&lt;=9, 4, IF($A52/4&lt;=10, 1, IF($A52/4&lt;=11, 3, IF($A52/4&lt;=12, 2, IF($A52/4&lt;=13, 4, IF($A52/4&lt;=14, 1, IF($A52/4&lt;=15, 3, IF($A52/4&lt;=16, 2, IF($A52/4&lt;=17, 4, IF($A52/4&lt;=18, 1, IF($A52/4&lt;=19, 3, IF($A52/4&lt;=20, 2, IF($A52/4&lt;=21, 4, IF($A52/4&lt;=22, 1, IF($A52/4&lt;=23, 3, IF($A52/4&lt;=24, 2, IF($A52/4&lt;=25, 4, IF($A52/4&lt;=26, 1, IF($A52/4&lt;=27, 3, IF($A52/4&lt;=28, 2, IF($A52/4&lt;=29, 4, IF($A52/4&lt;=30, 1, IF($A52/4&lt;=31, 3, IF($A52/4&lt;=32, 2, IF($A52/4&lt;=33, 4, IF($A52/4&lt;=34, 1, IF($A52/4&lt;=35, 3, IF($A52/4&lt;=36, 2))))))))))))))))))))))))))))))))))))</f>
        <v>0</v>
      </c>
      <c r="P52" s="178">
        <f>P44+10</f>
        <v>10</v>
      </c>
      <c r="Q52" s="16"/>
      <c r="R52" s="84" t="b">
        <f>IF($A52/4&lt;=1, 6, IF($A52/4&lt;=2, 1, IF($A52/4&lt;=3, 5, IF($A52/4&lt;=4, 2, IF($A52/4&lt;=5, 4, IF($A52/4&lt;=6, 3, IF($A52/4&lt;=7, 6, IF($A52/4&lt;=8, 1, IF($A52/4&lt;=9, 5, IF($A52/4&lt;=10, 2, IF($A52/4&lt;=11, 4, IF($A52/4&lt;=12, 3, IF($A52/4&lt;=13, 6, IF($A52/4&lt;=14, 1, IF($A52/4&lt;=15, 5, IF($A52/4&lt;=16, 2, IF($A52/4&lt;=17, 4, IF($A52/4&lt;=18, 3, IF($A52/4&lt;=19, 6, IF($A52/4&lt;=20, 1, IF($A52/4&lt;=21, 5, IF($A52/4&lt;=22, 2, IF($A52/4&lt;=23, 4, IF($A52/4&lt;=24, 3, IF($A52/4&lt;=25, 6, IF($A52/4&lt;=26, 1, IF($A52/4&lt;=27, 5, IF($A52/4&lt;=28, 2, IF($A52/4&lt;=29, 4, IF($A52/4&lt;=30, 3, IF($A52/4&lt;=31, 6, IF($A52/4&lt;=32, 1, IF($A52/4&lt;=33, 5, IF($A52/4&lt;=34, 2, IF($A52/4&lt;=35, 4, IF($A52/4&lt;=36, 3))))))))))))))))))))))))))))))))))))</f>
        <v>0</v>
      </c>
      <c r="S52" s="178">
        <f>R52+200</f>
        <v>200</v>
      </c>
      <c r="T52" s="16"/>
      <c r="U52" s="186">
        <f t="shared" si="9"/>
        <v>3</v>
      </c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16"/>
      <c r="DB52" s="16"/>
      <c r="DC52" s="16"/>
      <c r="DD52" s="16"/>
      <c r="DE52" s="16"/>
      <c r="DF52" s="16"/>
      <c r="DG52" s="16"/>
      <c r="DH52" s="16"/>
      <c r="DI52" s="16"/>
      <c r="DJ52" s="16"/>
      <c r="DK52" s="16"/>
      <c r="DL52" s="16"/>
      <c r="DM52" s="16"/>
      <c r="DN52" s="16"/>
      <c r="DO52" s="16"/>
      <c r="DP52" s="16"/>
      <c r="DQ52" s="16"/>
      <c r="DR52" s="16"/>
      <c r="DS52" s="16"/>
      <c r="DT52" s="16"/>
      <c r="DU52" s="16"/>
      <c r="DV52" s="16"/>
      <c r="DW52" s="16"/>
      <c r="DX52" s="16"/>
      <c r="DY52" s="16"/>
      <c r="DZ52" s="16"/>
      <c r="EA52" s="16"/>
      <c r="EB52" s="16"/>
      <c r="EC52" s="16"/>
      <c r="ED52" s="16"/>
      <c r="EE52" s="16"/>
      <c r="EF52" s="16"/>
      <c r="EG52" s="16"/>
      <c r="EH52" s="16"/>
      <c r="EI52" s="16"/>
      <c r="EJ52" s="16"/>
      <c r="EK52" s="16"/>
      <c r="EL52" s="16"/>
      <c r="EM52" s="16"/>
      <c r="EN52" s="16"/>
      <c r="EO52" s="16"/>
      <c r="EP52" s="16"/>
      <c r="EQ52" s="16"/>
      <c r="ER52" s="16"/>
      <c r="ES52" s="16"/>
      <c r="ET52" s="16"/>
      <c r="EU52" s="16"/>
      <c r="EV52" s="16"/>
      <c r="EW52" s="16"/>
      <c r="EX52" s="16"/>
      <c r="EY52" s="16"/>
      <c r="EZ52" s="16"/>
      <c r="FA52" s="16"/>
      <c r="FB52" s="16"/>
      <c r="FC52" s="16"/>
      <c r="FD52" s="16"/>
      <c r="FE52" s="16"/>
      <c r="FF52" s="16"/>
      <c r="FG52" s="16"/>
      <c r="FH52" s="16"/>
      <c r="FI52" s="16"/>
      <c r="FJ52" s="16"/>
      <c r="FK52" s="16"/>
      <c r="FL52" s="16"/>
      <c r="FM52" s="16"/>
      <c r="FN52" s="16"/>
      <c r="FO52" s="16"/>
      <c r="FP52" s="16"/>
      <c r="FQ52" s="16"/>
      <c r="FR52" s="16"/>
      <c r="FS52" s="16"/>
      <c r="FT52" s="16"/>
      <c r="FU52" s="16"/>
      <c r="FV52" s="16"/>
      <c r="FW52" s="16"/>
      <c r="FX52" s="16"/>
      <c r="FY52" s="16"/>
      <c r="FZ52" s="16"/>
      <c r="GA52" s="16"/>
      <c r="GB52" s="16"/>
      <c r="GC52" s="16"/>
      <c r="GD52" s="16"/>
      <c r="GE52" s="16"/>
      <c r="GF52" s="16"/>
      <c r="GG52" s="16"/>
      <c r="GH52" s="16"/>
      <c r="GI52" s="16"/>
      <c r="GJ52" s="16"/>
      <c r="GK52" s="16"/>
      <c r="GL52" s="16"/>
      <c r="GM52" s="16"/>
      <c r="GN52" s="16"/>
      <c r="GO52" s="16"/>
      <c r="GP52" s="16"/>
      <c r="GQ52" s="16"/>
      <c r="GR52" s="16"/>
      <c r="GS52" s="16"/>
      <c r="GT52" s="16"/>
      <c r="GU52" s="16"/>
      <c r="GV52" s="16"/>
      <c r="GW52" s="16"/>
      <c r="GX52" s="16"/>
      <c r="GY52" s="16"/>
      <c r="GZ52" s="16"/>
      <c r="HA52" s="16"/>
      <c r="HB52" s="16"/>
      <c r="HC52" s="16"/>
      <c r="HD52" s="16"/>
      <c r="HE52" s="16"/>
      <c r="HF52" s="16"/>
      <c r="HG52" s="16"/>
      <c r="HH52" s="16"/>
      <c r="HI52" s="16"/>
      <c r="HJ52" s="16"/>
      <c r="HK52" s="16"/>
      <c r="HL52" s="16"/>
      <c r="HM52" s="16"/>
      <c r="HN52" s="16"/>
      <c r="HO52" s="16"/>
      <c r="HP52" s="16"/>
      <c r="HQ52" s="16"/>
      <c r="HR52" s="16"/>
      <c r="HS52" s="16"/>
      <c r="HT52" s="16"/>
      <c r="HU52" s="16"/>
      <c r="HV52" s="16"/>
      <c r="HW52" s="16"/>
      <c r="HX52" s="16"/>
      <c r="HY52" s="16"/>
      <c r="HZ52" s="16"/>
      <c r="IA52" s="16"/>
      <c r="IB52" s="16"/>
      <c r="IC52" s="16"/>
      <c r="ID52" s="16"/>
      <c r="IE52" s="16"/>
      <c r="IF52" s="16"/>
      <c r="IG52" s="16"/>
      <c r="IH52" s="16"/>
      <c r="II52" s="16"/>
      <c r="IJ52" s="16"/>
      <c r="IK52" s="16"/>
      <c r="IL52" s="16"/>
      <c r="IM52" s="16"/>
      <c r="IN52" s="16"/>
      <c r="IO52" s="16"/>
      <c r="IP52" s="16"/>
      <c r="IQ52" s="16"/>
      <c r="IR52" s="16"/>
      <c r="IS52" s="16"/>
      <c r="IT52" s="16"/>
      <c r="IU52" s="16"/>
      <c r="IV52" s="16"/>
      <c r="IW52" s="16"/>
      <c r="IX52" s="16"/>
      <c r="IY52" s="16"/>
      <c r="IZ52" s="16"/>
      <c r="JA52" s="16"/>
      <c r="JB52" s="16"/>
      <c r="JC52" s="16"/>
      <c r="JD52" s="16"/>
      <c r="JE52" s="16"/>
      <c r="JF52" s="16"/>
      <c r="JG52" s="16"/>
      <c r="JH52" s="16"/>
      <c r="JI52" s="16"/>
      <c r="JJ52" s="16"/>
      <c r="JK52" s="16"/>
      <c r="JL52" s="16"/>
      <c r="JM52" s="16"/>
      <c r="JN52" s="16"/>
      <c r="JO52" s="16"/>
      <c r="JP52" s="16"/>
      <c r="JQ52" s="16"/>
      <c r="JR52" s="16"/>
      <c r="JS52" s="16"/>
      <c r="JT52" s="16"/>
      <c r="JU52" s="16"/>
      <c r="JV52" s="16"/>
      <c r="JW52" s="16"/>
      <c r="JX52" s="16"/>
      <c r="JY52" s="16"/>
      <c r="JZ52" s="16"/>
      <c r="KA52" s="16"/>
      <c r="KB52" s="16"/>
      <c r="KC52" s="16"/>
      <c r="KD52" s="16"/>
      <c r="KE52" s="16"/>
      <c r="KF52" s="16"/>
      <c r="KG52" s="16"/>
      <c r="KH52" s="16"/>
      <c r="KI52" s="16"/>
      <c r="KJ52" s="16"/>
      <c r="KK52" s="16"/>
      <c r="KL52" s="16"/>
      <c r="KM52" s="16"/>
      <c r="KN52" s="16"/>
      <c r="KO52" s="16"/>
      <c r="KP52" s="16"/>
      <c r="KQ52" s="16"/>
      <c r="KR52" s="16"/>
      <c r="KS52" s="16"/>
      <c r="KT52" s="16"/>
      <c r="KU52" s="16"/>
      <c r="KV52" s="16"/>
      <c r="KW52" s="16"/>
      <c r="KX52" s="16"/>
      <c r="KY52" s="16"/>
      <c r="KZ52" s="16"/>
      <c r="LA52" s="16"/>
      <c r="LB52" s="16"/>
      <c r="LC52" s="16"/>
      <c r="LD52" s="16"/>
      <c r="LE52" s="16"/>
      <c r="LF52" s="16"/>
      <c r="LG52" s="16"/>
      <c r="LH52" s="16"/>
      <c r="LI52" s="16"/>
      <c r="LJ52" s="16"/>
      <c r="LK52" s="16"/>
      <c r="LL52" s="16"/>
      <c r="LM52" s="16"/>
      <c r="LN52" s="16"/>
      <c r="LO52" s="16"/>
      <c r="LP52" s="16"/>
      <c r="LQ52" s="16"/>
      <c r="LR52" s="16"/>
      <c r="LS52" s="16"/>
      <c r="LT52" s="16"/>
      <c r="LU52" s="16"/>
      <c r="LV52" s="16"/>
      <c r="LW52" s="16"/>
      <c r="LX52" s="16"/>
      <c r="LY52" s="16"/>
      <c r="LZ52" s="16"/>
      <c r="MA52" s="16"/>
      <c r="MB52" s="16"/>
      <c r="MC52" s="16"/>
      <c r="MD52" s="16"/>
      <c r="ME52" s="16"/>
      <c r="MF52" s="16"/>
      <c r="MG52" s="16"/>
      <c r="MH52" s="16"/>
      <c r="MI52" s="16"/>
      <c r="MJ52" s="16"/>
      <c r="MK52" s="16"/>
      <c r="ML52" s="16"/>
      <c r="MM52" s="16"/>
      <c r="MN52" s="16"/>
      <c r="MO52" s="16"/>
      <c r="MP52" s="16"/>
      <c r="MQ52" s="16"/>
      <c r="MR52" s="16"/>
      <c r="MS52" s="16"/>
      <c r="MT52" s="16"/>
      <c r="MU52" s="16"/>
      <c r="MV52" s="16"/>
      <c r="MW52" s="16"/>
      <c r="MX52" s="16"/>
      <c r="MY52" s="16"/>
      <c r="MZ52" s="16"/>
      <c r="NA52" s="16"/>
      <c r="NB52" s="16"/>
      <c r="NC52" s="16"/>
      <c r="ND52" s="16"/>
      <c r="NE52" s="16"/>
      <c r="NF52" s="16"/>
      <c r="NG52" s="16"/>
      <c r="NH52" s="16"/>
      <c r="NI52" s="16"/>
      <c r="NJ52" s="16"/>
      <c r="NK52" s="16"/>
      <c r="NL52" s="16"/>
      <c r="NM52" s="16"/>
      <c r="NN52" s="16"/>
      <c r="NO52" s="16"/>
      <c r="NP52" s="16"/>
      <c r="NQ52" s="16"/>
      <c r="NR52" s="16"/>
      <c r="NS52" s="16"/>
      <c r="NT52" s="16"/>
      <c r="NU52" s="16"/>
      <c r="NV52" s="16"/>
      <c r="NW52" s="16"/>
      <c r="NX52" s="16"/>
      <c r="NY52" s="16"/>
      <c r="NZ52" s="16"/>
      <c r="OA52" s="16"/>
      <c r="OB52" s="16"/>
      <c r="OC52" s="16"/>
      <c r="OD52" s="16"/>
      <c r="OE52" s="16"/>
      <c r="OF52" s="16"/>
      <c r="OG52" s="16"/>
      <c r="OH52" s="16"/>
      <c r="OI52" s="16"/>
      <c r="OJ52" s="16"/>
      <c r="OK52" s="16"/>
      <c r="OL52" s="16"/>
      <c r="OM52" s="16"/>
      <c r="ON52" s="16"/>
      <c r="OO52" s="16"/>
      <c r="OP52" s="16"/>
      <c r="OQ52" s="16"/>
      <c r="OR52" s="16"/>
      <c r="OS52" s="16"/>
      <c r="OT52" s="16"/>
      <c r="OU52" s="16"/>
      <c r="OV52" s="16"/>
      <c r="OW52" s="16"/>
      <c r="OX52" s="16"/>
      <c r="OY52" s="16"/>
      <c r="OZ52" s="16"/>
      <c r="PA52" s="16"/>
      <c r="PB52" s="16"/>
      <c r="PC52" s="16"/>
      <c r="PD52" s="16"/>
      <c r="PE52" s="16"/>
      <c r="PF52" s="16"/>
      <c r="PG52" s="16"/>
      <c r="PH52" s="16"/>
      <c r="PI52" s="16"/>
      <c r="PJ52" s="16"/>
      <c r="PK52" s="16"/>
      <c r="PL52" s="16"/>
      <c r="PM52" s="16"/>
      <c r="PN52" s="16"/>
      <c r="PO52" s="16"/>
      <c r="PP52" s="16"/>
      <c r="PQ52" s="16"/>
      <c r="PR52" s="16"/>
      <c r="PS52" s="16"/>
      <c r="PT52" s="16"/>
      <c r="PU52" s="16"/>
      <c r="PV52" s="16"/>
      <c r="PW52" s="16"/>
      <c r="PX52" s="16"/>
      <c r="PY52" s="16"/>
      <c r="PZ52" s="16"/>
      <c r="QA52" s="16"/>
      <c r="QB52" s="16"/>
      <c r="QC52" s="16"/>
      <c r="QD52" s="16"/>
      <c r="QE52" s="16"/>
      <c r="QF52" s="16"/>
      <c r="QG52" s="16"/>
      <c r="QH52" s="16"/>
      <c r="QI52" s="16"/>
      <c r="QJ52" s="16"/>
      <c r="QK52" s="16"/>
      <c r="QL52" s="16"/>
      <c r="QM52" s="16"/>
      <c r="QN52" s="16"/>
      <c r="QO52" s="16"/>
      <c r="QP52" s="16"/>
      <c r="QQ52" s="16"/>
      <c r="QR52" s="16"/>
      <c r="QS52" s="16"/>
      <c r="QT52" s="16"/>
      <c r="QU52" s="16"/>
      <c r="QV52" s="16"/>
      <c r="QW52" s="16"/>
      <c r="QX52" s="16"/>
      <c r="QY52" s="16"/>
      <c r="QZ52" s="16"/>
      <c r="RA52" s="16"/>
      <c r="RB52" s="16"/>
      <c r="RC52" s="16"/>
      <c r="RD52" s="16"/>
      <c r="RE52" s="16"/>
      <c r="RF52" s="16"/>
      <c r="RG52" s="16"/>
      <c r="RH52" s="16"/>
      <c r="RI52" s="16"/>
      <c r="RJ52" s="16"/>
      <c r="RK52" s="16"/>
      <c r="RL52" s="16"/>
      <c r="RM52" s="16"/>
      <c r="RN52" s="16"/>
      <c r="RO52" s="16"/>
      <c r="RP52" s="16"/>
      <c r="RQ52" s="16"/>
      <c r="RR52" s="16"/>
      <c r="RS52" s="16"/>
      <c r="RT52" s="16"/>
      <c r="RU52" s="16"/>
      <c r="RV52" s="16"/>
      <c r="RW52" s="16"/>
      <c r="RX52" s="16"/>
      <c r="RY52" s="16"/>
      <c r="RZ52" s="16"/>
      <c r="SA52" s="16"/>
      <c r="SB52" s="16"/>
      <c r="SC52" s="16"/>
      <c r="SD52" s="16"/>
      <c r="SE52" s="16"/>
      <c r="SF52" s="16"/>
      <c r="SG52" s="16"/>
      <c r="SH52" s="16"/>
      <c r="SI52" s="16"/>
      <c r="SJ52" s="16"/>
      <c r="SK52" s="16"/>
      <c r="SL52" s="16"/>
      <c r="SM52" s="16"/>
      <c r="SN52" s="16"/>
      <c r="SO52" s="16"/>
      <c r="SP52" s="16"/>
      <c r="SQ52" s="16"/>
      <c r="SR52" s="16"/>
      <c r="SS52" s="16"/>
      <c r="ST52" s="16"/>
      <c r="SU52" s="16"/>
      <c r="SV52" s="16"/>
      <c r="SW52" s="16"/>
      <c r="SX52" s="16"/>
      <c r="SY52" s="16"/>
      <c r="SZ52" s="16"/>
      <c r="TA52" s="16"/>
      <c r="TB52" s="16"/>
      <c r="TC52" s="16"/>
    </row>
    <row r="53" spans="1:523" s="178" customFormat="1" ht="15.75" x14ac:dyDescent="0.2">
      <c r="A53" s="196">
        <f>A54</f>
        <v>204</v>
      </c>
      <c r="C53" s="63"/>
      <c r="F53" s="197" t="str">
        <f>F54</f>
        <v>Клуб 9</v>
      </c>
      <c r="H53" s="198">
        <f>H54</f>
        <v>350</v>
      </c>
      <c r="I53" s="175"/>
      <c r="L53" s="84"/>
      <c r="O53" s="84"/>
      <c r="R53" s="84"/>
      <c r="U53" s="186">
        <f t="shared" si="9"/>
        <v>4</v>
      </c>
      <c r="CI53" s="199"/>
      <c r="CW53" s="200"/>
      <c r="CX53" s="200"/>
      <c r="CY53" s="200"/>
    </row>
    <row r="54" spans="1:523" s="178" customFormat="1" ht="12.75" x14ac:dyDescent="0.2">
      <c r="A54" s="15">
        <v>204</v>
      </c>
      <c r="B54" s="55" t="s">
        <v>76</v>
      </c>
      <c r="C54" s="189" t="s">
        <v>338</v>
      </c>
      <c r="D54" s="16"/>
      <c r="E54" s="204">
        <v>2001</v>
      </c>
      <c r="F54" s="74" t="s">
        <v>339</v>
      </c>
      <c r="G54" s="55"/>
      <c r="H54" s="44">
        <v>350</v>
      </c>
      <c r="I54" s="202">
        <v>1</v>
      </c>
      <c r="J54" s="16"/>
      <c r="K54" s="16"/>
      <c r="L54" s="84" t="b">
        <f>IF($A54/4&lt;=1, 8, IF($A54/4&lt;=2, 1, IF($A54/4&lt;=3, 7, IF($A54/4&lt;=4, 2, IF($A54/4&lt;=5, 6, IF($A54/4&lt;=6, 3, IF($A54/4&lt;=7, 5, IF($A54/4&lt;=8, 4, IF($A54/4&lt;=9, 8, IF($A54/4&lt;=10, 1, IF($A54/4&lt;=11, 7, IF($A54/4&lt;=12, 2, IF($A54/4&lt;=13, 6, IF($A54/4&lt;=14, 3, IF($A54/4&lt;=15, 5, IF($A54/4&lt;=16, 4, IF($A54/4&lt;=17, 8, IF($A54/4&lt;=18, 1, IF($A54/4&lt;=19, 7, IF($A54/4&lt;=20, 2, IF($A54/4&lt;=21, 6, IF($A54/4&lt;=22, 3, IF($A54/4&lt;=23, 5, IF($A54/4&lt;=24, 4, IF($A54/4&lt;=25, 8, IF($A54/4&lt;=26, 1, IF($A54/4&lt;=27, 7, IF($A54/4&lt;=28, 2, IF($A54/4&lt;=29, 6, IF($A54/4&lt;=30, 3, IF($A54/4&lt;=31, 5, IF($A54/4&lt;=32, 4, IF($A54/4&lt;=33, 8, IF($A54/4&lt;=34, 1, IF($A54/4&lt;=35, 7, IF($A54/4&lt;=36, 2, IF($A54/4&lt;=37, 6, IF($A54/4&lt;=38, 3, IF($A54/4&lt;=39, 5, IF($A54/4&lt;=40, 4))))))))))))))))))))))))))))))))))))))))</f>
        <v>0</v>
      </c>
      <c r="M54" s="178">
        <f>L54+200</f>
        <v>200</v>
      </c>
      <c r="N54" s="16"/>
      <c r="O54" s="84" t="b">
        <f>IF($A54/4&lt;=1, 4, IF($A54/4&lt;=2, 1, IF($A54/4&lt;=3, 3, IF($A54/4&lt;=4, 2, IF($A54/4&lt;=5, 4, IF($A54/4&lt;=6, 1, IF($A54/4&lt;=7, 3, IF($A54/4&lt;=8, 2, IF($A54/4&lt;=9, 4, IF($A54/4&lt;=10, 1, IF($A54/4&lt;=11, 3, IF($A54/4&lt;=12, 2, IF($A54/4&lt;=13, 4, IF($A54/4&lt;=14, 1, IF($A54/4&lt;=15, 3, IF($A54/4&lt;=16, 2, IF($A54/4&lt;=17, 4, IF($A54/4&lt;=18, 1, IF($A54/4&lt;=19, 3, IF($A54/4&lt;=20, 2, IF($A54/4&lt;=21, 4, IF($A54/4&lt;=22, 1, IF($A54/4&lt;=23, 3, IF($A54/4&lt;=24, 2, IF($A54/4&lt;=25, 4, IF($A54/4&lt;=26, 1, IF($A54/4&lt;=27, 3, IF($A54/4&lt;=28, 2, IF($A54/4&lt;=29, 4, IF($A54/4&lt;=30, 1, IF($A54/4&lt;=31, 3, IF($A54/4&lt;=32, 2, IF($A54/4&lt;=33, 4, IF($A54/4&lt;=34, 1, IF($A54/4&lt;=35, 3, IF($A54/4&lt;=36, 2))))))))))))))))))))))))))))))))))))</f>
        <v>0</v>
      </c>
      <c r="P54" s="178" t="e">
        <f>#REF!+10</f>
        <v>#REF!</v>
      </c>
      <c r="Q54" s="16"/>
      <c r="R54" s="84" t="b">
        <f>IF($A54/4&lt;=1, 6, IF($A54/4&lt;=2, 1, IF($A54/4&lt;=3, 5, IF($A54/4&lt;=4, 2, IF($A54/4&lt;=5, 4, IF($A54/4&lt;=6, 3, IF($A54/4&lt;=7, 6, IF($A54/4&lt;=8, 1, IF($A54/4&lt;=9, 5, IF($A54/4&lt;=10, 2, IF($A54/4&lt;=11, 4, IF($A54/4&lt;=12, 3, IF($A54/4&lt;=13, 6, IF($A54/4&lt;=14, 1, IF($A54/4&lt;=15, 5, IF($A54/4&lt;=16, 2, IF($A54/4&lt;=17, 4, IF($A54/4&lt;=18, 3, IF($A54/4&lt;=19, 6, IF($A54/4&lt;=20, 1, IF($A54/4&lt;=21, 5, IF($A54/4&lt;=22, 2, IF($A54/4&lt;=23, 4, IF($A54/4&lt;=24, 3, IF($A54/4&lt;=25, 6, IF($A54/4&lt;=26, 1, IF($A54/4&lt;=27, 5, IF($A54/4&lt;=28, 2, IF($A54/4&lt;=29, 4, IF($A54/4&lt;=30, 3, IF($A54/4&lt;=31, 6, IF($A54/4&lt;=32, 1, IF($A54/4&lt;=33, 5, IF($A54/4&lt;=34, 2, IF($A54/4&lt;=35, 4, IF($A54/4&lt;=36, 3))))))))))))))))))))))))))))))))))))</f>
        <v>0</v>
      </c>
      <c r="S54" s="16">
        <f>S37+10</f>
        <v>10</v>
      </c>
      <c r="T54" s="16"/>
      <c r="U54" s="186">
        <f t="shared" si="9"/>
        <v>4</v>
      </c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16"/>
      <c r="DB54" s="16"/>
      <c r="DC54" s="16"/>
      <c r="DD54" s="16"/>
      <c r="DE54" s="16"/>
      <c r="DF54" s="16"/>
      <c r="DG54" s="16"/>
      <c r="DH54" s="16"/>
      <c r="DI54" s="16"/>
      <c r="DJ54" s="16"/>
      <c r="DK54" s="16"/>
      <c r="DL54" s="16"/>
      <c r="DM54" s="16"/>
      <c r="DN54" s="16"/>
      <c r="DO54" s="16"/>
      <c r="DP54" s="16"/>
      <c r="DQ54" s="16"/>
      <c r="DR54" s="16"/>
      <c r="DS54" s="16"/>
      <c r="DT54" s="16"/>
      <c r="DU54" s="16"/>
      <c r="DV54" s="16"/>
      <c r="DW54" s="16"/>
      <c r="DX54" s="16"/>
      <c r="DY54" s="16"/>
      <c r="DZ54" s="16"/>
      <c r="EA54" s="16"/>
      <c r="EB54" s="16"/>
      <c r="EC54" s="16"/>
      <c r="ED54" s="16"/>
      <c r="EE54" s="16"/>
      <c r="EF54" s="16"/>
      <c r="EG54" s="16"/>
      <c r="EH54" s="16"/>
      <c r="EI54" s="16"/>
      <c r="EJ54" s="16"/>
      <c r="EK54" s="16"/>
      <c r="EL54" s="16"/>
      <c r="EM54" s="16"/>
      <c r="EN54" s="16"/>
      <c r="EO54" s="16"/>
      <c r="EP54" s="16"/>
      <c r="EQ54" s="16"/>
      <c r="ER54" s="16"/>
      <c r="ES54" s="16"/>
      <c r="ET54" s="16"/>
      <c r="EU54" s="16"/>
      <c r="EV54" s="16"/>
      <c r="EW54" s="16"/>
      <c r="EX54" s="16"/>
      <c r="EY54" s="16"/>
      <c r="EZ54" s="16"/>
      <c r="FA54" s="16"/>
      <c r="FB54" s="16"/>
      <c r="FC54" s="16"/>
      <c r="FD54" s="16"/>
      <c r="FE54" s="16"/>
      <c r="FF54" s="16"/>
      <c r="FG54" s="16"/>
      <c r="FH54" s="16"/>
      <c r="FI54" s="16"/>
      <c r="FJ54" s="16"/>
      <c r="FK54" s="16"/>
      <c r="FL54" s="16"/>
      <c r="FM54" s="16"/>
      <c r="FN54" s="16"/>
      <c r="FO54" s="16"/>
      <c r="FP54" s="16"/>
      <c r="FQ54" s="16"/>
      <c r="FR54" s="16"/>
      <c r="FS54" s="16"/>
      <c r="FT54" s="16"/>
      <c r="FU54" s="16"/>
      <c r="FV54" s="16"/>
      <c r="FW54" s="16"/>
      <c r="FX54" s="16"/>
      <c r="FY54" s="16"/>
      <c r="FZ54" s="16"/>
      <c r="GA54" s="16"/>
      <c r="GB54" s="16"/>
      <c r="GC54" s="16"/>
      <c r="GD54" s="16"/>
      <c r="GE54" s="16"/>
      <c r="GF54" s="16"/>
      <c r="GG54" s="16"/>
      <c r="GH54" s="16"/>
      <c r="GI54" s="16"/>
      <c r="GJ54" s="16"/>
      <c r="GK54" s="16"/>
      <c r="GL54" s="16"/>
      <c r="GM54" s="16"/>
      <c r="GN54" s="16"/>
      <c r="GO54" s="16"/>
      <c r="GP54" s="16"/>
      <c r="GQ54" s="16"/>
      <c r="GR54" s="16"/>
      <c r="GS54" s="16"/>
      <c r="GT54" s="16"/>
      <c r="GU54" s="16"/>
      <c r="GV54" s="16"/>
      <c r="GW54" s="16"/>
      <c r="GX54" s="16"/>
      <c r="GY54" s="16"/>
      <c r="GZ54" s="16"/>
      <c r="HA54" s="16"/>
      <c r="HB54" s="16"/>
      <c r="HC54" s="16"/>
      <c r="HD54" s="16"/>
      <c r="HE54" s="16"/>
      <c r="HF54" s="16"/>
      <c r="HG54" s="16"/>
      <c r="HH54" s="16"/>
      <c r="HI54" s="16"/>
      <c r="HJ54" s="16"/>
      <c r="HK54" s="16"/>
      <c r="HL54" s="16"/>
      <c r="HM54" s="16"/>
      <c r="HN54" s="16"/>
      <c r="HO54" s="16"/>
      <c r="HP54" s="16"/>
      <c r="HQ54" s="16"/>
      <c r="HR54" s="16"/>
      <c r="HS54" s="16"/>
      <c r="HT54" s="16"/>
      <c r="HU54" s="16"/>
      <c r="HV54" s="16"/>
      <c r="HW54" s="16"/>
      <c r="HX54" s="16"/>
      <c r="HY54" s="16"/>
      <c r="HZ54" s="16"/>
      <c r="IA54" s="16"/>
      <c r="IB54" s="16"/>
      <c r="IC54" s="16"/>
      <c r="ID54" s="16"/>
      <c r="IE54" s="16"/>
      <c r="IF54" s="16"/>
      <c r="IG54" s="16"/>
      <c r="IH54" s="16"/>
      <c r="II54" s="16"/>
      <c r="IJ54" s="16"/>
      <c r="IK54" s="16"/>
      <c r="IL54" s="16"/>
      <c r="IM54" s="16"/>
      <c r="IN54" s="16"/>
      <c r="IO54" s="16"/>
      <c r="IP54" s="16"/>
      <c r="IQ54" s="16"/>
      <c r="IR54" s="16"/>
      <c r="IS54" s="16"/>
      <c r="IT54" s="16"/>
      <c r="IU54" s="16"/>
      <c r="IV54" s="16"/>
      <c r="IW54" s="16"/>
      <c r="IX54" s="16"/>
      <c r="IY54" s="16"/>
      <c r="IZ54" s="16"/>
      <c r="JA54" s="16"/>
      <c r="JB54" s="16"/>
      <c r="JC54" s="16"/>
      <c r="JD54" s="16"/>
      <c r="JE54" s="16"/>
      <c r="JF54" s="16"/>
      <c r="JG54" s="16"/>
      <c r="JH54" s="16"/>
      <c r="JI54" s="16"/>
      <c r="JJ54" s="16"/>
      <c r="JK54" s="16"/>
      <c r="JL54" s="16"/>
      <c r="JM54" s="16"/>
      <c r="JN54" s="16"/>
      <c r="JO54" s="16"/>
      <c r="JP54" s="16"/>
      <c r="JQ54" s="16"/>
      <c r="JR54" s="16"/>
      <c r="JS54" s="16"/>
      <c r="JT54" s="16"/>
      <c r="JU54" s="16"/>
      <c r="JV54" s="16"/>
      <c r="JW54" s="16"/>
      <c r="JX54" s="16"/>
      <c r="JY54" s="16"/>
      <c r="JZ54" s="16"/>
      <c r="KA54" s="16"/>
      <c r="KB54" s="16"/>
      <c r="KC54" s="16"/>
      <c r="KD54" s="16"/>
      <c r="KE54" s="16"/>
      <c r="KF54" s="16"/>
      <c r="KG54" s="16"/>
      <c r="KH54" s="16"/>
      <c r="KI54" s="16"/>
      <c r="KJ54" s="16"/>
      <c r="KK54" s="16"/>
      <c r="KL54" s="16"/>
      <c r="KM54" s="16"/>
      <c r="KN54" s="16"/>
      <c r="KO54" s="16"/>
      <c r="KP54" s="16"/>
      <c r="KQ54" s="16"/>
      <c r="KR54" s="16"/>
      <c r="KS54" s="16"/>
      <c r="KT54" s="16"/>
      <c r="KU54" s="16"/>
      <c r="KV54" s="16"/>
      <c r="KW54" s="16"/>
      <c r="KX54" s="16"/>
      <c r="KY54" s="16"/>
      <c r="KZ54" s="16"/>
      <c r="LA54" s="16"/>
      <c r="LB54" s="16"/>
      <c r="LC54" s="16"/>
      <c r="LD54" s="16"/>
      <c r="LE54" s="16"/>
      <c r="LF54" s="16"/>
      <c r="LG54" s="16"/>
      <c r="LH54" s="16"/>
      <c r="LI54" s="16"/>
      <c r="LJ54" s="16"/>
      <c r="LK54" s="16"/>
      <c r="LL54" s="16"/>
      <c r="LM54" s="16"/>
      <c r="LN54" s="16"/>
      <c r="LO54" s="16"/>
      <c r="LP54" s="16"/>
      <c r="LQ54" s="16"/>
      <c r="LR54" s="16"/>
      <c r="LS54" s="16"/>
      <c r="LT54" s="16"/>
      <c r="LU54" s="16"/>
      <c r="LV54" s="16"/>
      <c r="LW54" s="16"/>
      <c r="LX54" s="16"/>
      <c r="LY54" s="16"/>
      <c r="LZ54" s="16"/>
      <c r="MA54" s="16"/>
      <c r="MB54" s="16"/>
      <c r="MC54" s="16"/>
      <c r="MD54" s="16"/>
      <c r="ME54" s="16"/>
      <c r="MF54" s="16"/>
      <c r="MG54" s="16"/>
      <c r="MH54" s="16"/>
      <c r="MI54" s="16"/>
      <c r="MJ54" s="16"/>
      <c r="MK54" s="16"/>
      <c r="ML54" s="16"/>
      <c r="MM54" s="16"/>
      <c r="MN54" s="16"/>
      <c r="MO54" s="16"/>
      <c r="MP54" s="16"/>
      <c r="MQ54" s="16"/>
      <c r="MR54" s="16"/>
      <c r="MS54" s="16"/>
      <c r="MT54" s="16"/>
      <c r="MU54" s="16"/>
      <c r="MV54" s="16"/>
      <c r="MW54" s="16"/>
      <c r="MX54" s="16"/>
      <c r="MY54" s="16"/>
      <c r="MZ54" s="16"/>
      <c r="NA54" s="16"/>
      <c r="NB54" s="16"/>
      <c r="NC54" s="16"/>
      <c r="ND54" s="16"/>
      <c r="NE54" s="16"/>
      <c r="NF54" s="16"/>
      <c r="NG54" s="16"/>
      <c r="NH54" s="16"/>
      <c r="NI54" s="16"/>
      <c r="NJ54" s="16"/>
      <c r="NK54" s="16"/>
      <c r="NL54" s="16"/>
      <c r="NM54" s="16"/>
      <c r="NN54" s="16"/>
      <c r="NO54" s="16"/>
      <c r="NP54" s="16"/>
      <c r="NQ54" s="16"/>
      <c r="NR54" s="16"/>
      <c r="NS54" s="16"/>
      <c r="NT54" s="16"/>
      <c r="NU54" s="16"/>
      <c r="NV54" s="16"/>
      <c r="NW54" s="16"/>
      <c r="NX54" s="16"/>
      <c r="NY54" s="16"/>
      <c r="NZ54" s="16"/>
      <c r="OA54" s="16"/>
      <c r="OB54" s="16"/>
      <c r="OC54" s="16"/>
      <c r="OD54" s="16"/>
      <c r="OE54" s="16"/>
      <c r="OF54" s="16"/>
      <c r="OG54" s="16"/>
      <c r="OH54" s="16"/>
      <c r="OI54" s="16"/>
      <c r="OJ54" s="16"/>
      <c r="OK54" s="16"/>
      <c r="OL54" s="16"/>
      <c r="OM54" s="16"/>
      <c r="ON54" s="16"/>
      <c r="OO54" s="16"/>
      <c r="OP54" s="16"/>
      <c r="OQ54" s="16"/>
      <c r="OR54" s="16"/>
      <c r="OS54" s="16"/>
      <c r="OT54" s="16"/>
      <c r="OU54" s="16"/>
      <c r="OV54" s="16"/>
      <c r="OW54" s="16"/>
      <c r="OX54" s="16"/>
      <c r="OY54" s="16"/>
      <c r="OZ54" s="16"/>
      <c r="PA54" s="16"/>
      <c r="PB54" s="16"/>
      <c r="PC54" s="16"/>
      <c r="PD54" s="16"/>
      <c r="PE54" s="16"/>
      <c r="PF54" s="16"/>
      <c r="PG54" s="16"/>
      <c r="PH54" s="16"/>
      <c r="PI54" s="16"/>
      <c r="PJ54" s="16"/>
      <c r="PK54" s="16"/>
      <c r="PL54" s="16"/>
      <c r="PM54" s="16"/>
      <c r="PN54" s="16"/>
      <c r="PO54" s="16"/>
      <c r="PP54" s="16"/>
      <c r="PQ54" s="16"/>
      <c r="PR54" s="16"/>
      <c r="PS54" s="16"/>
      <c r="PT54" s="16"/>
      <c r="PU54" s="16"/>
      <c r="PV54" s="16"/>
      <c r="PW54" s="16"/>
      <c r="PX54" s="16"/>
      <c r="PY54" s="16"/>
      <c r="PZ54" s="16"/>
      <c r="QA54" s="16"/>
      <c r="QB54" s="16"/>
      <c r="QC54" s="16"/>
      <c r="QD54" s="16"/>
      <c r="QE54" s="16"/>
      <c r="QF54" s="16"/>
      <c r="QG54" s="16"/>
      <c r="QH54" s="16"/>
      <c r="QI54" s="16"/>
      <c r="QJ54" s="16"/>
      <c r="QK54" s="16"/>
      <c r="QL54" s="16"/>
      <c r="QM54" s="16"/>
      <c r="QN54" s="16"/>
      <c r="QO54" s="16"/>
      <c r="QP54" s="16"/>
      <c r="QQ54" s="16"/>
      <c r="QR54" s="16"/>
      <c r="QS54" s="16"/>
      <c r="QT54" s="16"/>
      <c r="QU54" s="16"/>
      <c r="QV54" s="16"/>
      <c r="QW54" s="16"/>
      <c r="QX54" s="16"/>
      <c r="QY54" s="16"/>
      <c r="QZ54" s="16"/>
      <c r="RA54" s="16"/>
      <c r="RB54" s="16"/>
      <c r="RC54" s="16"/>
      <c r="RD54" s="16"/>
      <c r="RE54" s="16"/>
      <c r="RF54" s="16"/>
      <c r="RG54" s="16"/>
      <c r="RH54" s="16"/>
      <c r="RI54" s="16"/>
      <c r="RJ54" s="16"/>
      <c r="RK54" s="16"/>
      <c r="RL54" s="16"/>
      <c r="RM54" s="16"/>
      <c r="RN54" s="16"/>
      <c r="RO54" s="16"/>
      <c r="RP54" s="16"/>
      <c r="RQ54" s="16"/>
      <c r="RR54" s="16"/>
      <c r="RS54" s="16"/>
      <c r="RT54" s="16"/>
      <c r="RU54" s="16"/>
      <c r="RV54" s="16"/>
      <c r="RW54" s="16"/>
      <c r="RX54" s="16"/>
      <c r="RY54" s="16"/>
      <c r="RZ54" s="16"/>
      <c r="SA54" s="16"/>
      <c r="SB54" s="16"/>
      <c r="SC54" s="16"/>
      <c r="SD54" s="16"/>
      <c r="SE54" s="16"/>
      <c r="SF54" s="16"/>
      <c r="SG54" s="16"/>
      <c r="SH54" s="16"/>
      <c r="SI54" s="16"/>
      <c r="SJ54" s="16"/>
      <c r="SK54" s="16"/>
      <c r="SL54" s="16"/>
      <c r="SM54" s="16"/>
      <c r="SN54" s="16"/>
      <c r="SO54" s="16"/>
      <c r="SP54" s="16"/>
      <c r="SQ54" s="16"/>
      <c r="SR54" s="16"/>
      <c r="SS54" s="16"/>
      <c r="ST54" s="16"/>
      <c r="SU54" s="16"/>
      <c r="SV54" s="16"/>
      <c r="SW54" s="16"/>
      <c r="SX54" s="16"/>
      <c r="SY54" s="16"/>
      <c r="SZ54" s="16"/>
      <c r="TA54" s="16"/>
      <c r="TB54" s="16"/>
      <c r="TC54" s="16"/>
    </row>
    <row r="55" spans="1:523" s="178" customFormat="1" ht="12.75" x14ac:dyDescent="0.2">
      <c r="A55" s="15">
        <v>204</v>
      </c>
      <c r="B55" s="55" t="s">
        <v>76</v>
      </c>
      <c r="C55" s="189" t="s">
        <v>340</v>
      </c>
      <c r="D55" s="16"/>
      <c r="E55" s="204">
        <v>2001</v>
      </c>
      <c r="F55" s="74" t="s">
        <v>339</v>
      </c>
      <c r="G55" s="55"/>
      <c r="H55" s="44">
        <v>350</v>
      </c>
      <c r="I55" s="202">
        <v>2</v>
      </c>
      <c r="J55" s="16"/>
      <c r="K55" s="16"/>
      <c r="L55" s="84" t="b">
        <f>IF($A55/4&lt;=1, 8, IF($A55/4&lt;=2, 1, IF($A55/4&lt;=3, 7, IF($A55/4&lt;=4, 2, IF($A55/4&lt;=5, 6, IF($A55/4&lt;=6, 3, IF($A55/4&lt;=7, 5, IF($A55/4&lt;=8, 4, IF($A55/4&lt;=9, 8, IF($A55/4&lt;=10, 1, IF($A55/4&lt;=11, 7, IF($A55/4&lt;=12, 2, IF($A55/4&lt;=13, 6, IF($A55/4&lt;=14, 3, IF($A55/4&lt;=15, 5, IF($A55/4&lt;=16, 4, IF($A55/4&lt;=17, 8, IF($A55/4&lt;=18, 1, IF($A55/4&lt;=19, 7, IF($A55/4&lt;=20, 2, IF($A55/4&lt;=21, 6, IF($A55/4&lt;=22, 3, IF($A55/4&lt;=23, 5, IF($A55/4&lt;=24, 4, IF($A55/4&lt;=25, 8, IF($A55/4&lt;=26, 1, IF($A55/4&lt;=27, 7, IF($A55/4&lt;=28, 2, IF($A55/4&lt;=29, 6, IF($A55/4&lt;=30, 3, IF($A55/4&lt;=31, 5, IF($A55/4&lt;=32, 4, IF($A55/4&lt;=33, 8, IF($A55/4&lt;=34, 1, IF($A55/4&lt;=35, 7, IF($A55/4&lt;=36, 2, IF($A55/4&lt;=37, 6, IF($A55/4&lt;=38, 3, IF($A55/4&lt;=39, 5, IF($A55/4&lt;=40, 4))))))))))))))))))))))))))))))))))))))))</f>
        <v>0</v>
      </c>
      <c r="M55" s="178">
        <f>L55+200</f>
        <v>200</v>
      </c>
      <c r="N55" s="16"/>
      <c r="O55" s="84" t="b">
        <f>IF($A55/4&lt;=1, 4, IF($A55/4&lt;=2, 1, IF($A55/4&lt;=3, 3, IF($A55/4&lt;=4, 2, IF($A55/4&lt;=5, 4, IF($A55/4&lt;=6, 1, IF($A55/4&lt;=7, 3, IF($A55/4&lt;=8, 2, IF($A55/4&lt;=9, 4, IF($A55/4&lt;=10, 1, IF($A55/4&lt;=11, 3, IF($A55/4&lt;=12, 2, IF($A55/4&lt;=13, 4, IF($A55/4&lt;=14, 1, IF($A55/4&lt;=15, 3, IF($A55/4&lt;=16, 2, IF($A55/4&lt;=17, 4, IF($A55/4&lt;=18, 1, IF($A55/4&lt;=19, 3, IF($A55/4&lt;=20, 2, IF($A55/4&lt;=21, 4, IF($A55/4&lt;=22, 1, IF($A55/4&lt;=23, 3, IF($A55/4&lt;=24, 2, IF($A55/4&lt;=25, 4, IF($A55/4&lt;=26, 1, IF($A55/4&lt;=27, 3, IF($A55/4&lt;=28, 2, IF($A55/4&lt;=29, 4, IF($A55/4&lt;=30, 1, IF($A55/4&lt;=31, 3, IF($A55/4&lt;=32, 2, IF($A55/4&lt;=33, 4, IF($A55/4&lt;=34, 1, IF($A55/4&lt;=35, 3, IF($A55/4&lt;=36, 2))))))))))))))))))))))))))))))))))))</f>
        <v>0</v>
      </c>
      <c r="P55" s="178" t="e">
        <f>P45+10</f>
        <v>#VALUE!</v>
      </c>
      <c r="Q55" s="16"/>
      <c r="R55" s="84" t="b">
        <f>IF($A55/4&lt;=1, 6, IF($A55/4&lt;=2, 1, IF($A55/4&lt;=3, 5, IF($A55/4&lt;=4, 2, IF($A55/4&lt;=5, 4, IF($A55/4&lt;=6, 3, IF($A55/4&lt;=7, 6, IF($A55/4&lt;=8, 1, IF($A55/4&lt;=9, 5, IF($A55/4&lt;=10, 2, IF($A55/4&lt;=11, 4, IF($A55/4&lt;=12, 3, IF($A55/4&lt;=13, 6, IF($A55/4&lt;=14, 1, IF($A55/4&lt;=15, 5, IF($A55/4&lt;=16, 2, IF($A55/4&lt;=17, 4, IF($A55/4&lt;=18, 3, IF($A55/4&lt;=19, 6, IF($A55/4&lt;=20, 1, IF($A55/4&lt;=21, 5, IF($A55/4&lt;=22, 2, IF($A55/4&lt;=23, 4, IF($A55/4&lt;=24, 3, IF($A55/4&lt;=25, 6, IF($A55/4&lt;=26, 1, IF($A55/4&lt;=27, 5, IF($A55/4&lt;=28, 2, IF($A55/4&lt;=29, 4, IF($A55/4&lt;=30, 3, IF($A55/4&lt;=31, 6, IF($A55/4&lt;=32, 1, IF($A55/4&lt;=33, 5, IF($A55/4&lt;=34, 2, IF($A55/4&lt;=35, 4, IF($A55/4&lt;=36, 3))))))))))))))))))))))))))))))))))))</f>
        <v>0</v>
      </c>
      <c r="S55" s="16">
        <f>S38+10</f>
        <v>10</v>
      </c>
      <c r="T55" s="16"/>
      <c r="U55" s="186">
        <f t="shared" si="9"/>
        <v>4</v>
      </c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16"/>
      <c r="DB55" s="16"/>
      <c r="DC55" s="16"/>
      <c r="DD55" s="16"/>
      <c r="DE55" s="16"/>
      <c r="DF55" s="16"/>
      <c r="DG55" s="16"/>
      <c r="DH55" s="16"/>
      <c r="DI55" s="16"/>
      <c r="DJ55" s="16"/>
      <c r="DK55" s="16"/>
      <c r="DL55" s="16"/>
      <c r="DM55" s="16"/>
      <c r="DN55" s="16"/>
      <c r="DO55" s="16"/>
      <c r="DP55" s="16"/>
      <c r="DQ55" s="16"/>
      <c r="DR55" s="16"/>
      <c r="DS55" s="16"/>
      <c r="DT55" s="16"/>
      <c r="DU55" s="16"/>
      <c r="DV55" s="16"/>
      <c r="DW55" s="16"/>
      <c r="DX55" s="16"/>
      <c r="DY55" s="16"/>
      <c r="DZ55" s="16"/>
      <c r="EA55" s="16"/>
      <c r="EB55" s="16"/>
      <c r="EC55" s="16"/>
      <c r="ED55" s="16"/>
      <c r="EE55" s="16"/>
      <c r="EF55" s="16"/>
      <c r="EG55" s="16"/>
      <c r="EH55" s="16"/>
      <c r="EI55" s="16"/>
      <c r="EJ55" s="16"/>
      <c r="EK55" s="16"/>
      <c r="EL55" s="16"/>
      <c r="EM55" s="16"/>
      <c r="EN55" s="16"/>
      <c r="EO55" s="16"/>
      <c r="EP55" s="16"/>
      <c r="EQ55" s="16"/>
      <c r="ER55" s="16"/>
      <c r="ES55" s="16"/>
      <c r="ET55" s="16"/>
      <c r="EU55" s="16"/>
      <c r="EV55" s="16"/>
      <c r="EW55" s="16"/>
      <c r="EX55" s="16"/>
      <c r="EY55" s="16"/>
      <c r="EZ55" s="16"/>
      <c r="FA55" s="16"/>
      <c r="FB55" s="16"/>
      <c r="FC55" s="16"/>
      <c r="FD55" s="16"/>
      <c r="FE55" s="16"/>
      <c r="FF55" s="16"/>
      <c r="FG55" s="16"/>
      <c r="FH55" s="16"/>
      <c r="FI55" s="16"/>
      <c r="FJ55" s="16"/>
      <c r="FK55" s="16"/>
      <c r="FL55" s="16"/>
      <c r="FM55" s="16"/>
      <c r="FN55" s="16"/>
      <c r="FO55" s="16"/>
      <c r="FP55" s="16"/>
      <c r="FQ55" s="16"/>
      <c r="FR55" s="16"/>
      <c r="FS55" s="16"/>
      <c r="FT55" s="16"/>
      <c r="FU55" s="16"/>
      <c r="FV55" s="16"/>
      <c r="FW55" s="16"/>
      <c r="FX55" s="16"/>
      <c r="FY55" s="16"/>
      <c r="FZ55" s="16"/>
      <c r="GA55" s="16"/>
      <c r="GB55" s="16"/>
      <c r="GC55" s="16"/>
      <c r="GD55" s="16"/>
      <c r="GE55" s="16"/>
      <c r="GF55" s="16"/>
      <c r="GG55" s="16"/>
      <c r="GH55" s="16"/>
      <c r="GI55" s="16"/>
      <c r="GJ55" s="16"/>
      <c r="GK55" s="16"/>
      <c r="GL55" s="16"/>
      <c r="GM55" s="16"/>
      <c r="GN55" s="16"/>
      <c r="GO55" s="16"/>
      <c r="GP55" s="16"/>
      <c r="GQ55" s="16"/>
      <c r="GR55" s="16"/>
      <c r="GS55" s="16"/>
      <c r="GT55" s="16"/>
      <c r="GU55" s="16"/>
      <c r="GV55" s="16"/>
      <c r="GW55" s="16"/>
      <c r="GX55" s="16"/>
      <c r="GY55" s="16"/>
      <c r="GZ55" s="16"/>
      <c r="HA55" s="16"/>
      <c r="HB55" s="16"/>
      <c r="HC55" s="16"/>
      <c r="HD55" s="16"/>
      <c r="HE55" s="16"/>
      <c r="HF55" s="16"/>
      <c r="HG55" s="16"/>
      <c r="HH55" s="16"/>
      <c r="HI55" s="16"/>
      <c r="HJ55" s="16"/>
      <c r="HK55" s="16"/>
      <c r="HL55" s="16"/>
      <c r="HM55" s="16"/>
      <c r="HN55" s="16"/>
      <c r="HO55" s="16"/>
      <c r="HP55" s="16"/>
      <c r="HQ55" s="16"/>
      <c r="HR55" s="16"/>
      <c r="HS55" s="16"/>
      <c r="HT55" s="16"/>
      <c r="HU55" s="16"/>
      <c r="HV55" s="16"/>
      <c r="HW55" s="16"/>
      <c r="HX55" s="16"/>
      <c r="HY55" s="16"/>
      <c r="HZ55" s="16"/>
      <c r="IA55" s="16"/>
      <c r="IB55" s="16"/>
      <c r="IC55" s="16"/>
      <c r="ID55" s="16"/>
      <c r="IE55" s="16"/>
      <c r="IF55" s="16"/>
      <c r="IG55" s="16"/>
      <c r="IH55" s="16"/>
      <c r="II55" s="16"/>
      <c r="IJ55" s="16"/>
      <c r="IK55" s="16"/>
      <c r="IL55" s="16"/>
      <c r="IM55" s="16"/>
      <c r="IN55" s="16"/>
      <c r="IO55" s="16"/>
      <c r="IP55" s="16"/>
      <c r="IQ55" s="16"/>
      <c r="IR55" s="16"/>
      <c r="IS55" s="16"/>
      <c r="IT55" s="16"/>
      <c r="IU55" s="16"/>
      <c r="IV55" s="16"/>
      <c r="IW55" s="16"/>
      <c r="IX55" s="16"/>
      <c r="IY55" s="16"/>
      <c r="IZ55" s="16"/>
      <c r="JA55" s="16"/>
      <c r="JB55" s="16"/>
      <c r="JC55" s="16"/>
      <c r="JD55" s="16"/>
      <c r="JE55" s="16"/>
      <c r="JF55" s="16"/>
      <c r="JG55" s="16"/>
      <c r="JH55" s="16"/>
      <c r="JI55" s="16"/>
      <c r="JJ55" s="16"/>
      <c r="JK55" s="16"/>
      <c r="JL55" s="16"/>
      <c r="JM55" s="16"/>
      <c r="JN55" s="16"/>
      <c r="JO55" s="16"/>
      <c r="JP55" s="16"/>
      <c r="JQ55" s="16"/>
      <c r="JR55" s="16"/>
      <c r="JS55" s="16"/>
      <c r="JT55" s="16"/>
      <c r="JU55" s="16"/>
      <c r="JV55" s="16"/>
      <c r="JW55" s="16"/>
      <c r="JX55" s="16"/>
      <c r="JY55" s="16"/>
      <c r="JZ55" s="16"/>
      <c r="KA55" s="16"/>
      <c r="KB55" s="16"/>
      <c r="KC55" s="16"/>
      <c r="KD55" s="16"/>
      <c r="KE55" s="16"/>
      <c r="KF55" s="16"/>
      <c r="KG55" s="16"/>
      <c r="KH55" s="16"/>
      <c r="KI55" s="16"/>
      <c r="KJ55" s="16"/>
      <c r="KK55" s="16"/>
      <c r="KL55" s="16"/>
      <c r="KM55" s="16"/>
      <c r="KN55" s="16"/>
      <c r="KO55" s="16"/>
      <c r="KP55" s="16"/>
      <c r="KQ55" s="16"/>
      <c r="KR55" s="16"/>
      <c r="KS55" s="16"/>
      <c r="KT55" s="16"/>
      <c r="KU55" s="16"/>
      <c r="KV55" s="16"/>
      <c r="KW55" s="16"/>
      <c r="KX55" s="16"/>
      <c r="KY55" s="16"/>
      <c r="KZ55" s="16"/>
      <c r="LA55" s="16"/>
      <c r="LB55" s="16"/>
      <c r="LC55" s="16"/>
      <c r="LD55" s="16"/>
      <c r="LE55" s="16"/>
      <c r="LF55" s="16"/>
      <c r="LG55" s="16"/>
      <c r="LH55" s="16"/>
      <c r="LI55" s="16"/>
      <c r="LJ55" s="16"/>
      <c r="LK55" s="16"/>
      <c r="LL55" s="16"/>
      <c r="LM55" s="16"/>
      <c r="LN55" s="16"/>
      <c r="LO55" s="16"/>
      <c r="LP55" s="16"/>
      <c r="LQ55" s="16"/>
      <c r="LR55" s="16"/>
      <c r="LS55" s="16"/>
      <c r="LT55" s="16"/>
      <c r="LU55" s="16"/>
      <c r="LV55" s="16"/>
      <c r="LW55" s="16"/>
      <c r="LX55" s="16"/>
      <c r="LY55" s="16"/>
      <c r="LZ55" s="16"/>
      <c r="MA55" s="16"/>
      <c r="MB55" s="16"/>
      <c r="MC55" s="16"/>
      <c r="MD55" s="16"/>
      <c r="ME55" s="16"/>
      <c r="MF55" s="16"/>
      <c r="MG55" s="16"/>
      <c r="MH55" s="16"/>
      <c r="MI55" s="16"/>
      <c r="MJ55" s="16"/>
      <c r="MK55" s="16"/>
      <c r="ML55" s="16"/>
      <c r="MM55" s="16"/>
      <c r="MN55" s="16"/>
      <c r="MO55" s="16"/>
      <c r="MP55" s="16"/>
      <c r="MQ55" s="16"/>
      <c r="MR55" s="16"/>
      <c r="MS55" s="16"/>
      <c r="MT55" s="16"/>
      <c r="MU55" s="16"/>
      <c r="MV55" s="16"/>
      <c r="MW55" s="16"/>
      <c r="MX55" s="16"/>
      <c r="MY55" s="16"/>
      <c r="MZ55" s="16"/>
      <c r="NA55" s="16"/>
      <c r="NB55" s="16"/>
      <c r="NC55" s="16"/>
      <c r="ND55" s="16"/>
      <c r="NE55" s="16"/>
      <c r="NF55" s="16"/>
      <c r="NG55" s="16"/>
      <c r="NH55" s="16"/>
      <c r="NI55" s="16"/>
      <c r="NJ55" s="16"/>
      <c r="NK55" s="16"/>
      <c r="NL55" s="16"/>
      <c r="NM55" s="16"/>
      <c r="NN55" s="16"/>
      <c r="NO55" s="16"/>
      <c r="NP55" s="16"/>
      <c r="NQ55" s="16"/>
      <c r="NR55" s="16"/>
      <c r="NS55" s="16"/>
      <c r="NT55" s="16"/>
      <c r="NU55" s="16"/>
      <c r="NV55" s="16"/>
      <c r="NW55" s="16"/>
      <c r="NX55" s="16"/>
      <c r="NY55" s="16"/>
      <c r="NZ55" s="16"/>
      <c r="OA55" s="16"/>
      <c r="OB55" s="16"/>
      <c r="OC55" s="16"/>
      <c r="OD55" s="16"/>
      <c r="OE55" s="16"/>
      <c r="OF55" s="16"/>
      <c r="OG55" s="16"/>
      <c r="OH55" s="16"/>
      <c r="OI55" s="16"/>
      <c r="OJ55" s="16"/>
      <c r="OK55" s="16"/>
      <c r="OL55" s="16"/>
      <c r="OM55" s="16"/>
      <c r="ON55" s="16"/>
      <c r="OO55" s="16"/>
      <c r="OP55" s="16"/>
      <c r="OQ55" s="16"/>
      <c r="OR55" s="16"/>
      <c r="OS55" s="16"/>
      <c r="OT55" s="16"/>
      <c r="OU55" s="16"/>
      <c r="OV55" s="16"/>
      <c r="OW55" s="16"/>
      <c r="OX55" s="16"/>
      <c r="OY55" s="16"/>
      <c r="OZ55" s="16"/>
      <c r="PA55" s="16"/>
      <c r="PB55" s="16"/>
      <c r="PC55" s="16"/>
      <c r="PD55" s="16"/>
      <c r="PE55" s="16"/>
      <c r="PF55" s="16"/>
      <c r="PG55" s="16"/>
      <c r="PH55" s="16"/>
      <c r="PI55" s="16"/>
      <c r="PJ55" s="16"/>
      <c r="PK55" s="16"/>
      <c r="PL55" s="16"/>
      <c r="PM55" s="16"/>
      <c r="PN55" s="16"/>
      <c r="PO55" s="16"/>
      <c r="PP55" s="16"/>
      <c r="PQ55" s="16"/>
      <c r="PR55" s="16"/>
      <c r="PS55" s="16"/>
      <c r="PT55" s="16"/>
      <c r="PU55" s="16"/>
      <c r="PV55" s="16"/>
      <c r="PW55" s="16"/>
      <c r="PX55" s="16"/>
      <c r="PY55" s="16"/>
      <c r="PZ55" s="16"/>
      <c r="QA55" s="16"/>
      <c r="QB55" s="16"/>
      <c r="QC55" s="16"/>
      <c r="QD55" s="16"/>
      <c r="QE55" s="16"/>
      <c r="QF55" s="16"/>
      <c r="QG55" s="16"/>
      <c r="QH55" s="16"/>
      <c r="QI55" s="16"/>
      <c r="QJ55" s="16"/>
      <c r="QK55" s="16"/>
      <c r="QL55" s="16"/>
      <c r="QM55" s="16"/>
      <c r="QN55" s="16"/>
      <c r="QO55" s="16"/>
      <c r="QP55" s="16"/>
      <c r="QQ55" s="16"/>
      <c r="QR55" s="16"/>
      <c r="QS55" s="16"/>
      <c r="QT55" s="16"/>
      <c r="QU55" s="16"/>
      <c r="QV55" s="16"/>
      <c r="QW55" s="16"/>
      <c r="QX55" s="16"/>
      <c r="QY55" s="16"/>
      <c r="QZ55" s="16"/>
      <c r="RA55" s="16"/>
      <c r="RB55" s="16"/>
      <c r="RC55" s="16"/>
      <c r="RD55" s="16"/>
      <c r="RE55" s="16"/>
      <c r="RF55" s="16"/>
      <c r="RG55" s="16"/>
      <c r="RH55" s="16"/>
      <c r="RI55" s="16"/>
      <c r="RJ55" s="16"/>
      <c r="RK55" s="16"/>
      <c r="RL55" s="16"/>
      <c r="RM55" s="16"/>
      <c r="RN55" s="16"/>
      <c r="RO55" s="16"/>
      <c r="RP55" s="16"/>
      <c r="RQ55" s="16"/>
      <c r="RR55" s="16"/>
      <c r="RS55" s="16"/>
      <c r="RT55" s="16"/>
      <c r="RU55" s="16"/>
      <c r="RV55" s="16"/>
      <c r="RW55" s="16"/>
      <c r="RX55" s="16"/>
      <c r="RY55" s="16"/>
      <c r="RZ55" s="16"/>
      <c r="SA55" s="16"/>
      <c r="SB55" s="16"/>
      <c r="SC55" s="16"/>
      <c r="SD55" s="16"/>
      <c r="SE55" s="16"/>
      <c r="SF55" s="16"/>
      <c r="SG55" s="16"/>
      <c r="SH55" s="16"/>
      <c r="SI55" s="16"/>
      <c r="SJ55" s="16"/>
      <c r="SK55" s="16"/>
      <c r="SL55" s="16"/>
      <c r="SM55" s="16"/>
      <c r="SN55" s="16"/>
      <c r="SO55" s="16"/>
      <c r="SP55" s="16"/>
      <c r="SQ55" s="16"/>
      <c r="SR55" s="16"/>
      <c r="SS55" s="16"/>
      <c r="ST55" s="16"/>
      <c r="SU55" s="16"/>
      <c r="SV55" s="16"/>
      <c r="SW55" s="16"/>
      <c r="SX55" s="16"/>
      <c r="SY55" s="16"/>
      <c r="SZ55" s="16"/>
      <c r="TA55" s="16"/>
      <c r="TB55" s="16"/>
      <c r="TC55" s="16"/>
    </row>
    <row r="56" spans="1:523" s="178" customFormat="1" ht="12.75" x14ac:dyDescent="0.2">
      <c r="A56" s="15">
        <v>204</v>
      </c>
      <c r="B56" s="55" t="s">
        <v>76</v>
      </c>
      <c r="C56" s="189" t="s">
        <v>341</v>
      </c>
      <c r="D56" s="16"/>
      <c r="E56" s="204">
        <v>2001</v>
      </c>
      <c r="F56" s="74" t="s">
        <v>339</v>
      </c>
      <c r="G56" s="55"/>
      <c r="H56" s="44">
        <v>350</v>
      </c>
      <c r="I56" s="202">
        <v>3</v>
      </c>
      <c r="J56" s="16"/>
      <c r="K56" s="16"/>
      <c r="L56" s="84" t="b">
        <f>IF($A56/4&lt;=1, 8, IF($A56/4&lt;=2, 1, IF($A56/4&lt;=3, 7, IF($A56/4&lt;=4, 2, IF($A56/4&lt;=5, 6, IF($A56/4&lt;=6, 3, IF($A56/4&lt;=7, 5, IF($A56/4&lt;=8, 4, IF($A56/4&lt;=9, 8, IF($A56/4&lt;=10, 1, IF($A56/4&lt;=11, 7, IF($A56/4&lt;=12, 2, IF($A56/4&lt;=13, 6, IF($A56/4&lt;=14, 3, IF($A56/4&lt;=15, 5, IF($A56/4&lt;=16, 4, IF($A56/4&lt;=17, 8, IF($A56/4&lt;=18, 1, IF($A56/4&lt;=19, 7, IF($A56/4&lt;=20, 2, IF($A56/4&lt;=21, 6, IF($A56/4&lt;=22, 3, IF($A56/4&lt;=23, 5, IF($A56/4&lt;=24, 4, IF($A56/4&lt;=25, 8, IF($A56/4&lt;=26, 1, IF($A56/4&lt;=27, 7, IF($A56/4&lt;=28, 2, IF($A56/4&lt;=29, 6, IF($A56/4&lt;=30, 3, IF($A56/4&lt;=31, 5, IF($A56/4&lt;=32, 4, IF($A56/4&lt;=33, 8, IF($A56/4&lt;=34, 1, IF($A56/4&lt;=35, 7, IF($A56/4&lt;=36, 2, IF($A56/4&lt;=37, 6, IF($A56/4&lt;=38, 3, IF($A56/4&lt;=39, 5, IF($A56/4&lt;=40, 4))))))))))))))))))))))))))))))))))))))))</f>
        <v>0</v>
      </c>
      <c r="M56" s="178">
        <f>L56+200</f>
        <v>200</v>
      </c>
      <c r="N56" s="16"/>
      <c r="O56" s="84" t="b">
        <f>IF($A56/4&lt;=1, 4, IF($A56/4&lt;=2, 1, IF($A56/4&lt;=3, 3, IF($A56/4&lt;=4, 2, IF($A56/4&lt;=5, 4, IF($A56/4&lt;=6, 1, IF($A56/4&lt;=7, 3, IF($A56/4&lt;=8, 2, IF($A56/4&lt;=9, 4, IF($A56/4&lt;=10, 1, IF($A56/4&lt;=11, 3, IF($A56/4&lt;=12, 2, IF($A56/4&lt;=13, 4, IF($A56/4&lt;=14, 1, IF($A56/4&lt;=15, 3, IF($A56/4&lt;=16, 2, IF($A56/4&lt;=17, 4, IF($A56/4&lt;=18, 1, IF($A56/4&lt;=19, 3, IF($A56/4&lt;=20, 2, IF($A56/4&lt;=21, 4, IF($A56/4&lt;=22, 1, IF($A56/4&lt;=23, 3, IF($A56/4&lt;=24, 2, IF($A56/4&lt;=25, 4, IF($A56/4&lt;=26, 1, IF($A56/4&lt;=27, 3, IF($A56/4&lt;=28, 2, IF($A56/4&lt;=29, 4, IF($A56/4&lt;=30, 1, IF($A56/4&lt;=31, 3, IF($A56/4&lt;=32, 2, IF($A56/4&lt;=33, 4, IF($A56/4&lt;=34, 1, IF($A56/4&lt;=35, 3, IF($A56/4&lt;=36, 2))))))))))))))))))))))))))))))))))))</f>
        <v>0</v>
      </c>
      <c r="P56" s="178">
        <f>P47+10</f>
        <v>10</v>
      </c>
      <c r="Q56" s="16"/>
      <c r="R56" s="84" t="b">
        <f>IF($A56/4&lt;=1, 6, IF($A56/4&lt;=2, 1, IF($A56/4&lt;=3, 5, IF($A56/4&lt;=4, 2, IF($A56/4&lt;=5, 4, IF($A56/4&lt;=6, 3, IF($A56/4&lt;=7, 6, IF($A56/4&lt;=8, 1, IF($A56/4&lt;=9, 5, IF($A56/4&lt;=10, 2, IF($A56/4&lt;=11, 4, IF($A56/4&lt;=12, 3, IF($A56/4&lt;=13, 6, IF($A56/4&lt;=14, 1, IF($A56/4&lt;=15, 5, IF($A56/4&lt;=16, 2, IF($A56/4&lt;=17, 4, IF($A56/4&lt;=18, 3, IF($A56/4&lt;=19, 6, IF($A56/4&lt;=20, 1, IF($A56/4&lt;=21, 5, IF($A56/4&lt;=22, 2, IF($A56/4&lt;=23, 4, IF($A56/4&lt;=24, 3, IF($A56/4&lt;=25, 6, IF($A56/4&lt;=26, 1, IF($A56/4&lt;=27, 5, IF($A56/4&lt;=28, 2, IF($A56/4&lt;=29, 4, IF($A56/4&lt;=30, 3, IF($A56/4&lt;=31, 6, IF($A56/4&lt;=32, 1, IF($A56/4&lt;=33, 5, IF($A56/4&lt;=34, 2, IF($A56/4&lt;=35, 4, IF($A56/4&lt;=36, 3))))))))))))))))))))))))))))))))))))</f>
        <v>0</v>
      </c>
      <c r="S56" s="16">
        <f>S39+10</f>
        <v>10</v>
      </c>
      <c r="T56" s="16"/>
      <c r="U56" s="186">
        <f t="shared" si="9"/>
        <v>4</v>
      </c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16"/>
      <c r="DB56" s="16"/>
      <c r="DC56" s="16"/>
      <c r="DD56" s="16"/>
      <c r="DE56" s="16"/>
      <c r="DF56" s="16"/>
      <c r="DG56" s="16"/>
      <c r="DH56" s="16"/>
      <c r="DI56" s="16"/>
      <c r="DJ56" s="16"/>
      <c r="DK56" s="16"/>
      <c r="DL56" s="16"/>
      <c r="DM56" s="16"/>
      <c r="DN56" s="16"/>
      <c r="DO56" s="16"/>
      <c r="DP56" s="16"/>
      <c r="DQ56" s="16"/>
      <c r="DR56" s="16"/>
      <c r="DS56" s="16"/>
      <c r="DT56" s="16"/>
      <c r="DU56" s="16"/>
      <c r="DV56" s="16"/>
      <c r="DW56" s="16"/>
      <c r="DX56" s="16"/>
      <c r="DY56" s="16"/>
      <c r="DZ56" s="16"/>
      <c r="EA56" s="16"/>
      <c r="EB56" s="16"/>
      <c r="EC56" s="16"/>
      <c r="ED56" s="16"/>
      <c r="EE56" s="16"/>
      <c r="EF56" s="16"/>
      <c r="EG56" s="16"/>
      <c r="EH56" s="16"/>
      <c r="EI56" s="16"/>
      <c r="EJ56" s="16"/>
      <c r="EK56" s="16"/>
      <c r="EL56" s="16"/>
      <c r="EM56" s="16"/>
      <c r="EN56" s="16"/>
      <c r="EO56" s="16"/>
      <c r="EP56" s="16"/>
      <c r="EQ56" s="16"/>
      <c r="ER56" s="16"/>
      <c r="ES56" s="16"/>
      <c r="ET56" s="16"/>
      <c r="EU56" s="16"/>
      <c r="EV56" s="16"/>
      <c r="EW56" s="16"/>
      <c r="EX56" s="16"/>
      <c r="EY56" s="16"/>
      <c r="EZ56" s="16"/>
      <c r="FA56" s="16"/>
      <c r="FB56" s="16"/>
      <c r="FC56" s="16"/>
      <c r="FD56" s="16"/>
      <c r="FE56" s="16"/>
      <c r="FF56" s="16"/>
      <c r="FG56" s="16"/>
      <c r="FH56" s="16"/>
      <c r="FI56" s="16"/>
      <c r="FJ56" s="16"/>
      <c r="FK56" s="16"/>
      <c r="FL56" s="16"/>
      <c r="FM56" s="16"/>
      <c r="FN56" s="16"/>
      <c r="FO56" s="16"/>
      <c r="FP56" s="16"/>
      <c r="FQ56" s="16"/>
      <c r="FR56" s="16"/>
      <c r="FS56" s="16"/>
      <c r="FT56" s="16"/>
      <c r="FU56" s="16"/>
      <c r="FV56" s="16"/>
      <c r="FW56" s="16"/>
      <c r="FX56" s="16"/>
      <c r="FY56" s="16"/>
      <c r="FZ56" s="16"/>
      <c r="GA56" s="16"/>
      <c r="GB56" s="16"/>
      <c r="GC56" s="16"/>
      <c r="GD56" s="16"/>
      <c r="GE56" s="16"/>
      <c r="GF56" s="16"/>
      <c r="GG56" s="16"/>
      <c r="GH56" s="16"/>
      <c r="GI56" s="16"/>
      <c r="GJ56" s="16"/>
      <c r="GK56" s="16"/>
      <c r="GL56" s="16"/>
      <c r="GM56" s="16"/>
      <c r="GN56" s="16"/>
      <c r="GO56" s="16"/>
      <c r="GP56" s="16"/>
      <c r="GQ56" s="16"/>
      <c r="GR56" s="16"/>
      <c r="GS56" s="16"/>
      <c r="GT56" s="16"/>
      <c r="GU56" s="16"/>
      <c r="GV56" s="16"/>
      <c r="GW56" s="16"/>
      <c r="GX56" s="16"/>
      <c r="GY56" s="16"/>
      <c r="GZ56" s="16"/>
      <c r="HA56" s="16"/>
      <c r="HB56" s="16"/>
      <c r="HC56" s="16"/>
      <c r="HD56" s="16"/>
      <c r="HE56" s="16"/>
      <c r="HF56" s="16"/>
      <c r="HG56" s="16"/>
      <c r="HH56" s="16"/>
      <c r="HI56" s="16"/>
      <c r="HJ56" s="16"/>
      <c r="HK56" s="16"/>
      <c r="HL56" s="16"/>
      <c r="HM56" s="16"/>
      <c r="HN56" s="16"/>
      <c r="HO56" s="16"/>
      <c r="HP56" s="16"/>
      <c r="HQ56" s="16"/>
      <c r="HR56" s="16"/>
      <c r="HS56" s="16"/>
      <c r="HT56" s="16"/>
      <c r="HU56" s="16"/>
      <c r="HV56" s="16"/>
      <c r="HW56" s="16"/>
      <c r="HX56" s="16"/>
      <c r="HY56" s="16"/>
      <c r="HZ56" s="16"/>
      <c r="IA56" s="16"/>
      <c r="IB56" s="16"/>
      <c r="IC56" s="16"/>
      <c r="ID56" s="16"/>
      <c r="IE56" s="16"/>
      <c r="IF56" s="16"/>
      <c r="IG56" s="16"/>
      <c r="IH56" s="16"/>
      <c r="II56" s="16"/>
      <c r="IJ56" s="16"/>
      <c r="IK56" s="16"/>
      <c r="IL56" s="16"/>
      <c r="IM56" s="16"/>
      <c r="IN56" s="16"/>
      <c r="IO56" s="16"/>
      <c r="IP56" s="16"/>
      <c r="IQ56" s="16"/>
      <c r="IR56" s="16"/>
      <c r="IS56" s="16"/>
      <c r="IT56" s="16"/>
      <c r="IU56" s="16"/>
      <c r="IV56" s="16"/>
      <c r="IW56" s="16"/>
      <c r="IX56" s="16"/>
      <c r="IY56" s="16"/>
      <c r="IZ56" s="16"/>
      <c r="JA56" s="16"/>
      <c r="JB56" s="16"/>
      <c r="JC56" s="16"/>
      <c r="JD56" s="16"/>
      <c r="JE56" s="16"/>
      <c r="JF56" s="16"/>
      <c r="JG56" s="16"/>
      <c r="JH56" s="16"/>
      <c r="JI56" s="16"/>
      <c r="JJ56" s="16"/>
      <c r="JK56" s="16"/>
      <c r="JL56" s="16"/>
      <c r="JM56" s="16"/>
      <c r="JN56" s="16"/>
      <c r="JO56" s="16"/>
      <c r="JP56" s="16"/>
      <c r="JQ56" s="16"/>
      <c r="JR56" s="16"/>
      <c r="JS56" s="16"/>
      <c r="JT56" s="16"/>
      <c r="JU56" s="16"/>
      <c r="JV56" s="16"/>
      <c r="JW56" s="16"/>
      <c r="JX56" s="16"/>
      <c r="JY56" s="16"/>
      <c r="JZ56" s="16"/>
      <c r="KA56" s="16"/>
      <c r="KB56" s="16"/>
      <c r="KC56" s="16"/>
      <c r="KD56" s="16"/>
      <c r="KE56" s="16"/>
      <c r="KF56" s="16"/>
      <c r="KG56" s="16"/>
      <c r="KH56" s="16"/>
      <c r="KI56" s="16"/>
      <c r="KJ56" s="16"/>
      <c r="KK56" s="16"/>
      <c r="KL56" s="16"/>
      <c r="KM56" s="16"/>
      <c r="KN56" s="16"/>
      <c r="KO56" s="16"/>
      <c r="KP56" s="16"/>
      <c r="KQ56" s="16"/>
      <c r="KR56" s="16"/>
      <c r="KS56" s="16"/>
      <c r="KT56" s="16"/>
      <c r="KU56" s="16"/>
      <c r="KV56" s="16"/>
      <c r="KW56" s="16"/>
      <c r="KX56" s="16"/>
      <c r="KY56" s="16"/>
      <c r="KZ56" s="16"/>
      <c r="LA56" s="16"/>
      <c r="LB56" s="16"/>
      <c r="LC56" s="16"/>
      <c r="LD56" s="16"/>
      <c r="LE56" s="16"/>
      <c r="LF56" s="16"/>
      <c r="LG56" s="16"/>
      <c r="LH56" s="16"/>
      <c r="LI56" s="16"/>
      <c r="LJ56" s="16"/>
      <c r="LK56" s="16"/>
      <c r="LL56" s="16"/>
      <c r="LM56" s="16"/>
      <c r="LN56" s="16"/>
      <c r="LO56" s="16"/>
      <c r="LP56" s="16"/>
      <c r="LQ56" s="16"/>
      <c r="LR56" s="16"/>
      <c r="LS56" s="16"/>
      <c r="LT56" s="16"/>
      <c r="LU56" s="16"/>
      <c r="LV56" s="16"/>
      <c r="LW56" s="16"/>
      <c r="LX56" s="16"/>
      <c r="LY56" s="16"/>
      <c r="LZ56" s="16"/>
      <c r="MA56" s="16"/>
      <c r="MB56" s="16"/>
      <c r="MC56" s="16"/>
      <c r="MD56" s="16"/>
      <c r="ME56" s="16"/>
      <c r="MF56" s="16"/>
      <c r="MG56" s="16"/>
      <c r="MH56" s="16"/>
      <c r="MI56" s="16"/>
      <c r="MJ56" s="16"/>
      <c r="MK56" s="16"/>
      <c r="ML56" s="16"/>
      <c r="MM56" s="16"/>
      <c r="MN56" s="16"/>
      <c r="MO56" s="16"/>
      <c r="MP56" s="16"/>
      <c r="MQ56" s="16"/>
      <c r="MR56" s="16"/>
      <c r="MS56" s="16"/>
      <c r="MT56" s="16"/>
      <c r="MU56" s="16"/>
      <c r="MV56" s="16"/>
      <c r="MW56" s="16"/>
      <c r="MX56" s="16"/>
      <c r="MY56" s="16"/>
      <c r="MZ56" s="16"/>
      <c r="NA56" s="16"/>
      <c r="NB56" s="16"/>
      <c r="NC56" s="16"/>
      <c r="ND56" s="16"/>
      <c r="NE56" s="16"/>
      <c r="NF56" s="16"/>
      <c r="NG56" s="16"/>
      <c r="NH56" s="16"/>
      <c r="NI56" s="16"/>
      <c r="NJ56" s="16"/>
      <c r="NK56" s="16"/>
      <c r="NL56" s="16"/>
      <c r="NM56" s="16"/>
      <c r="NN56" s="16"/>
      <c r="NO56" s="16"/>
      <c r="NP56" s="16"/>
      <c r="NQ56" s="16"/>
      <c r="NR56" s="16"/>
      <c r="NS56" s="16"/>
      <c r="NT56" s="16"/>
      <c r="NU56" s="16"/>
      <c r="NV56" s="16"/>
      <c r="NW56" s="16"/>
      <c r="NX56" s="16"/>
      <c r="NY56" s="16"/>
      <c r="NZ56" s="16"/>
      <c r="OA56" s="16"/>
      <c r="OB56" s="16"/>
      <c r="OC56" s="16"/>
      <c r="OD56" s="16"/>
      <c r="OE56" s="16"/>
      <c r="OF56" s="16"/>
      <c r="OG56" s="16"/>
      <c r="OH56" s="16"/>
      <c r="OI56" s="16"/>
      <c r="OJ56" s="16"/>
      <c r="OK56" s="16"/>
      <c r="OL56" s="16"/>
      <c r="OM56" s="16"/>
      <c r="ON56" s="16"/>
      <c r="OO56" s="16"/>
      <c r="OP56" s="16"/>
      <c r="OQ56" s="16"/>
      <c r="OR56" s="16"/>
      <c r="OS56" s="16"/>
      <c r="OT56" s="16"/>
      <c r="OU56" s="16"/>
      <c r="OV56" s="16"/>
      <c r="OW56" s="16"/>
      <c r="OX56" s="16"/>
      <c r="OY56" s="16"/>
      <c r="OZ56" s="16"/>
      <c r="PA56" s="16"/>
      <c r="PB56" s="16"/>
      <c r="PC56" s="16"/>
      <c r="PD56" s="16"/>
      <c r="PE56" s="16"/>
      <c r="PF56" s="16"/>
      <c r="PG56" s="16"/>
      <c r="PH56" s="16"/>
      <c r="PI56" s="16"/>
      <c r="PJ56" s="16"/>
      <c r="PK56" s="16"/>
      <c r="PL56" s="16"/>
      <c r="PM56" s="16"/>
      <c r="PN56" s="16"/>
      <c r="PO56" s="16"/>
      <c r="PP56" s="16"/>
      <c r="PQ56" s="16"/>
      <c r="PR56" s="16"/>
      <c r="PS56" s="16"/>
      <c r="PT56" s="16"/>
      <c r="PU56" s="16"/>
      <c r="PV56" s="16"/>
      <c r="PW56" s="16"/>
      <c r="PX56" s="16"/>
      <c r="PY56" s="16"/>
      <c r="PZ56" s="16"/>
      <c r="QA56" s="16"/>
      <c r="QB56" s="16"/>
      <c r="QC56" s="16"/>
      <c r="QD56" s="16"/>
      <c r="QE56" s="16"/>
      <c r="QF56" s="16"/>
      <c r="QG56" s="16"/>
      <c r="QH56" s="16"/>
      <c r="QI56" s="16"/>
      <c r="QJ56" s="16"/>
      <c r="QK56" s="16"/>
      <c r="QL56" s="16"/>
      <c r="QM56" s="16"/>
      <c r="QN56" s="16"/>
      <c r="QO56" s="16"/>
      <c r="QP56" s="16"/>
      <c r="QQ56" s="16"/>
      <c r="QR56" s="16"/>
      <c r="QS56" s="16"/>
      <c r="QT56" s="16"/>
      <c r="QU56" s="16"/>
      <c r="QV56" s="16"/>
      <c r="QW56" s="16"/>
      <c r="QX56" s="16"/>
      <c r="QY56" s="16"/>
      <c r="QZ56" s="16"/>
      <c r="RA56" s="16"/>
      <c r="RB56" s="16"/>
      <c r="RC56" s="16"/>
      <c r="RD56" s="16"/>
      <c r="RE56" s="16"/>
      <c r="RF56" s="16"/>
      <c r="RG56" s="16"/>
      <c r="RH56" s="16"/>
      <c r="RI56" s="16"/>
      <c r="RJ56" s="16"/>
      <c r="RK56" s="16"/>
      <c r="RL56" s="16"/>
      <c r="RM56" s="16"/>
      <c r="RN56" s="16"/>
      <c r="RO56" s="16"/>
      <c r="RP56" s="16"/>
      <c r="RQ56" s="16"/>
      <c r="RR56" s="16"/>
      <c r="RS56" s="16"/>
      <c r="RT56" s="16"/>
      <c r="RU56" s="16"/>
      <c r="RV56" s="16"/>
      <c r="RW56" s="16"/>
      <c r="RX56" s="16"/>
      <c r="RY56" s="16"/>
      <c r="RZ56" s="16"/>
      <c r="SA56" s="16"/>
      <c r="SB56" s="16"/>
      <c r="SC56" s="16"/>
      <c r="SD56" s="16"/>
      <c r="SE56" s="16"/>
      <c r="SF56" s="16"/>
      <c r="SG56" s="16"/>
      <c r="SH56" s="16"/>
      <c r="SI56" s="16"/>
      <c r="SJ56" s="16"/>
      <c r="SK56" s="16"/>
      <c r="SL56" s="16"/>
      <c r="SM56" s="16"/>
      <c r="SN56" s="16"/>
      <c r="SO56" s="16"/>
      <c r="SP56" s="16"/>
      <c r="SQ56" s="16"/>
      <c r="SR56" s="16"/>
      <c r="SS56" s="16"/>
      <c r="ST56" s="16"/>
      <c r="SU56" s="16"/>
      <c r="SV56" s="16"/>
      <c r="SW56" s="16"/>
      <c r="SX56" s="16"/>
      <c r="SY56" s="16"/>
      <c r="SZ56" s="16"/>
      <c r="TA56" s="16"/>
      <c r="TB56" s="16"/>
      <c r="TC56" s="16"/>
    </row>
    <row r="57" spans="1:523" s="178" customFormat="1" ht="12.75" x14ac:dyDescent="0.2">
      <c r="A57" s="15">
        <v>204</v>
      </c>
      <c r="B57" s="55" t="s">
        <v>84</v>
      </c>
      <c r="C57" s="189" t="s">
        <v>342</v>
      </c>
      <c r="D57" s="16"/>
      <c r="E57" s="204">
        <v>2001</v>
      </c>
      <c r="F57" s="74" t="s">
        <v>339</v>
      </c>
      <c r="G57" s="55"/>
      <c r="H57" s="44">
        <v>350</v>
      </c>
      <c r="I57" s="202">
        <v>4</v>
      </c>
      <c r="J57" s="16"/>
      <c r="K57" s="16"/>
      <c r="L57" s="84" t="b">
        <f>IF($A57/4&lt;=1, 8, IF($A57/4&lt;=2, 1, IF($A57/4&lt;=3, 7, IF($A57/4&lt;=4, 2, IF($A57/4&lt;=5, 6, IF($A57/4&lt;=6, 3, IF($A57/4&lt;=7, 5, IF($A57/4&lt;=8, 4, IF($A57/4&lt;=9, 8, IF($A57/4&lt;=10, 1, IF($A57/4&lt;=11, 7, IF($A57/4&lt;=12, 2, IF($A57/4&lt;=13, 6, IF($A57/4&lt;=14, 3, IF($A57/4&lt;=15, 5, IF($A57/4&lt;=16, 4, IF($A57/4&lt;=17, 8, IF($A57/4&lt;=18, 1, IF($A57/4&lt;=19, 7, IF($A57/4&lt;=20, 2, IF($A57/4&lt;=21, 6, IF($A57/4&lt;=22, 3, IF($A57/4&lt;=23, 5, IF($A57/4&lt;=24, 4, IF($A57/4&lt;=25, 8, IF($A57/4&lt;=26, 1, IF($A57/4&lt;=27, 7, IF($A57/4&lt;=28, 2, IF($A57/4&lt;=29, 6, IF($A57/4&lt;=30, 3, IF($A57/4&lt;=31, 5, IF($A57/4&lt;=32, 4, IF($A57/4&lt;=33, 8, IF($A57/4&lt;=34, 1, IF($A57/4&lt;=35, 7, IF($A57/4&lt;=36, 2, IF($A57/4&lt;=37, 6, IF($A57/4&lt;=38, 3, IF($A57/4&lt;=39, 5, IF($A57/4&lt;=40, 4))))))))))))))))))))))))))))))))))))))))</f>
        <v>0</v>
      </c>
      <c r="M57" s="178">
        <f>L57+200</f>
        <v>200</v>
      </c>
      <c r="N57" s="16"/>
      <c r="O57" s="84" t="b">
        <f>IF($A57/4&lt;=1, 4, IF($A57/4&lt;=2, 1, IF($A57/4&lt;=3, 3, IF($A57/4&lt;=4, 2, IF($A57/4&lt;=5, 4, IF($A57/4&lt;=6, 1, IF($A57/4&lt;=7, 3, IF($A57/4&lt;=8, 2, IF($A57/4&lt;=9, 4, IF($A57/4&lt;=10, 1, IF($A57/4&lt;=11, 3, IF($A57/4&lt;=12, 2, IF($A57/4&lt;=13, 4, IF($A57/4&lt;=14, 1, IF($A57/4&lt;=15, 3, IF($A57/4&lt;=16, 2, IF($A57/4&lt;=17, 4, IF($A57/4&lt;=18, 1, IF($A57/4&lt;=19, 3, IF($A57/4&lt;=20, 2, IF($A57/4&lt;=21, 4, IF($A57/4&lt;=22, 1, IF($A57/4&lt;=23, 3, IF($A57/4&lt;=24, 2, IF($A57/4&lt;=25, 4, IF($A57/4&lt;=26, 1, IF($A57/4&lt;=27, 3, IF($A57/4&lt;=28, 2, IF($A57/4&lt;=29, 4, IF($A57/4&lt;=30, 1, IF($A57/4&lt;=31, 3, IF($A57/4&lt;=32, 2, IF($A57/4&lt;=33, 4, IF($A57/4&lt;=34, 1, IF($A57/4&lt;=35, 3, IF($A57/4&lt;=36, 2))))))))))))))))))))))))))))))))))))</f>
        <v>0</v>
      </c>
      <c r="P57" s="178">
        <f>P46+10</f>
        <v>10</v>
      </c>
      <c r="Q57" s="16"/>
      <c r="R57" s="84" t="b">
        <f>IF($A57/4&lt;=1, 6, IF($A57/4&lt;=2, 1, IF($A57/4&lt;=3, 5, IF($A57/4&lt;=4, 2, IF($A57/4&lt;=5, 4, IF($A57/4&lt;=6, 3, IF($A57/4&lt;=7, 6, IF($A57/4&lt;=8, 1, IF($A57/4&lt;=9, 5, IF($A57/4&lt;=10, 2, IF($A57/4&lt;=11, 4, IF($A57/4&lt;=12, 3, IF($A57/4&lt;=13, 6, IF($A57/4&lt;=14, 1, IF($A57/4&lt;=15, 5, IF($A57/4&lt;=16, 2, IF($A57/4&lt;=17, 4, IF($A57/4&lt;=18, 3, IF($A57/4&lt;=19, 6, IF($A57/4&lt;=20, 1, IF($A57/4&lt;=21, 5, IF($A57/4&lt;=22, 2, IF($A57/4&lt;=23, 4, IF($A57/4&lt;=24, 3, IF($A57/4&lt;=25, 6, IF($A57/4&lt;=26, 1, IF($A57/4&lt;=27, 5, IF($A57/4&lt;=28, 2, IF($A57/4&lt;=29, 4, IF($A57/4&lt;=30, 3, IF($A57/4&lt;=31, 6, IF($A57/4&lt;=32, 1, IF($A57/4&lt;=33, 5, IF($A57/4&lt;=34, 2, IF($A57/4&lt;=35, 4, IF($A57/4&lt;=36, 3))))))))))))))))))))))))))))))))))))</f>
        <v>0</v>
      </c>
      <c r="S57" s="16">
        <f>S40+10</f>
        <v>10</v>
      </c>
      <c r="T57" s="16"/>
      <c r="U57" s="186">
        <f t="shared" si="9"/>
        <v>4</v>
      </c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16"/>
      <c r="DB57" s="16"/>
      <c r="DC57" s="16"/>
      <c r="DD57" s="16"/>
      <c r="DE57" s="16"/>
      <c r="DF57" s="16"/>
      <c r="DG57" s="16"/>
      <c r="DH57" s="16"/>
      <c r="DI57" s="16"/>
      <c r="DJ57" s="16"/>
      <c r="DK57" s="16"/>
      <c r="DL57" s="16"/>
      <c r="DM57" s="16"/>
      <c r="DN57" s="16"/>
      <c r="DO57" s="16"/>
      <c r="DP57" s="16"/>
      <c r="DQ57" s="16"/>
      <c r="DR57" s="16"/>
      <c r="DS57" s="16"/>
      <c r="DT57" s="16"/>
      <c r="DU57" s="16"/>
      <c r="DV57" s="16"/>
      <c r="DW57" s="16"/>
      <c r="DX57" s="16"/>
      <c r="DY57" s="16"/>
      <c r="DZ57" s="16"/>
      <c r="EA57" s="16"/>
      <c r="EB57" s="16"/>
      <c r="EC57" s="16"/>
      <c r="ED57" s="16"/>
      <c r="EE57" s="16"/>
      <c r="EF57" s="16"/>
      <c r="EG57" s="16"/>
      <c r="EH57" s="16"/>
      <c r="EI57" s="16"/>
      <c r="EJ57" s="16"/>
      <c r="EK57" s="16"/>
      <c r="EL57" s="16"/>
      <c r="EM57" s="16"/>
      <c r="EN57" s="16"/>
      <c r="EO57" s="16"/>
      <c r="EP57" s="16"/>
      <c r="EQ57" s="16"/>
      <c r="ER57" s="16"/>
      <c r="ES57" s="16"/>
      <c r="ET57" s="16"/>
      <c r="EU57" s="16"/>
      <c r="EV57" s="16"/>
      <c r="EW57" s="16"/>
      <c r="EX57" s="16"/>
      <c r="EY57" s="16"/>
      <c r="EZ57" s="16"/>
      <c r="FA57" s="16"/>
      <c r="FB57" s="16"/>
      <c r="FC57" s="16"/>
      <c r="FD57" s="16"/>
      <c r="FE57" s="16"/>
      <c r="FF57" s="16"/>
      <c r="FG57" s="16"/>
      <c r="FH57" s="16"/>
      <c r="FI57" s="16"/>
      <c r="FJ57" s="16"/>
      <c r="FK57" s="16"/>
      <c r="FL57" s="16"/>
      <c r="FM57" s="16"/>
      <c r="FN57" s="16"/>
      <c r="FO57" s="16"/>
      <c r="FP57" s="16"/>
      <c r="FQ57" s="16"/>
      <c r="FR57" s="16"/>
      <c r="FS57" s="16"/>
      <c r="FT57" s="16"/>
      <c r="FU57" s="16"/>
      <c r="FV57" s="16"/>
      <c r="FW57" s="16"/>
      <c r="FX57" s="16"/>
      <c r="FY57" s="16"/>
      <c r="FZ57" s="16"/>
      <c r="GA57" s="16"/>
      <c r="GB57" s="16"/>
      <c r="GC57" s="16"/>
      <c r="GD57" s="16"/>
      <c r="GE57" s="16"/>
      <c r="GF57" s="16"/>
      <c r="GG57" s="16"/>
      <c r="GH57" s="16"/>
      <c r="GI57" s="16"/>
      <c r="GJ57" s="16"/>
      <c r="GK57" s="16"/>
      <c r="GL57" s="16"/>
      <c r="GM57" s="16"/>
      <c r="GN57" s="16"/>
      <c r="GO57" s="16"/>
      <c r="GP57" s="16"/>
      <c r="GQ57" s="16"/>
      <c r="GR57" s="16"/>
      <c r="GS57" s="16"/>
      <c r="GT57" s="16"/>
      <c r="GU57" s="16"/>
      <c r="GV57" s="16"/>
      <c r="GW57" s="16"/>
      <c r="GX57" s="16"/>
      <c r="GY57" s="16"/>
      <c r="GZ57" s="16"/>
      <c r="HA57" s="16"/>
      <c r="HB57" s="16"/>
      <c r="HC57" s="16"/>
      <c r="HD57" s="16"/>
      <c r="HE57" s="16"/>
      <c r="HF57" s="16"/>
      <c r="HG57" s="16"/>
      <c r="HH57" s="16"/>
      <c r="HI57" s="16"/>
      <c r="HJ57" s="16"/>
      <c r="HK57" s="16"/>
      <c r="HL57" s="16"/>
      <c r="HM57" s="16"/>
      <c r="HN57" s="16"/>
      <c r="HO57" s="16"/>
      <c r="HP57" s="16"/>
      <c r="HQ57" s="16"/>
      <c r="HR57" s="16"/>
      <c r="HS57" s="16"/>
      <c r="HT57" s="16"/>
      <c r="HU57" s="16"/>
      <c r="HV57" s="16"/>
      <c r="HW57" s="16"/>
      <c r="HX57" s="16"/>
      <c r="HY57" s="16"/>
      <c r="HZ57" s="16"/>
      <c r="IA57" s="16"/>
      <c r="IB57" s="16"/>
      <c r="IC57" s="16"/>
      <c r="ID57" s="16"/>
      <c r="IE57" s="16"/>
      <c r="IF57" s="16"/>
      <c r="IG57" s="16"/>
      <c r="IH57" s="16"/>
      <c r="II57" s="16"/>
      <c r="IJ57" s="16"/>
      <c r="IK57" s="16"/>
      <c r="IL57" s="16"/>
      <c r="IM57" s="16"/>
      <c r="IN57" s="16"/>
      <c r="IO57" s="16"/>
      <c r="IP57" s="16"/>
      <c r="IQ57" s="16"/>
      <c r="IR57" s="16"/>
      <c r="IS57" s="16"/>
      <c r="IT57" s="16"/>
      <c r="IU57" s="16"/>
      <c r="IV57" s="16"/>
      <c r="IW57" s="16"/>
      <c r="IX57" s="16"/>
      <c r="IY57" s="16"/>
      <c r="IZ57" s="16"/>
      <c r="JA57" s="16"/>
      <c r="JB57" s="16"/>
      <c r="JC57" s="16"/>
      <c r="JD57" s="16"/>
      <c r="JE57" s="16"/>
      <c r="JF57" s="16"/>
      <c r="JG57" s="16"/>
      <c r="JH57" s="16"/>
      <c r="JI57" s="16"/>
      <c r="JJ57" s="16"/>
      <c r="JK57" s="16"/>
      <c r="JL57" s="16"/>
      <c r="JM57" s="16"/>
      <c r="JN57" s="16"/>
      <c r="JO57" s="16"/>
      <c r="JP57" s="16"/>
      <c r="JQ57" s="16"/>
      <c r="JR57" s="16"/>
      <c r="JS57" s="16"/>
      <c r="JT57" s="16"/>
      <c r="JU57" s="16"/>
      <c r="JV57" s="16"/>
      <c r="JW57" s="16"/>
      <c r="JX57" s="16"/>
      <c r="JY57" s="16"/>
      <c r="JZ57" s="16"/>
      <c r="KA57" s="16"/>
      <c r="KB57" s="16"/>
      <c r="KC57" s="16"/>
      <c r="KD57" s="16"/>
      <c r="KE57" s="16"/>
      <c r="KF57" s="16"/>
      <c r="KG57" s="16"/>
      <c r="KH57" s="16"/>
      <c r="KI57" s="16"/>
      <c r="KJ57" s="16"/>
      <c r="KK57" s="16"/>
      <c r="KL57" s="16"/>
      <c r="KM57" s="16"/>
      <c r="KN57" s="16"/>
      <c r="KO57" s="16"/>
      <c r="KP57" s="16"/>
      <c r="KQ57" s="16"/>
      <c r="KR57" s="16"/>
      <c r="KS57" s="16"/>
      <c r="KT57" s="16"/>
      <c r="KU57" s="16"/>
      <c r="KV57" s="16"/>
      <c r="KW57" s="16"/>
      <c r="KX57" s="16"/>
      <c r="KY57" s="16"/>
      <c r="KZ57" s="16"/>
      <c r="LA57" s="16"/>
      <c r="LB57" s="16"/>
      <c r="LC57" s="16"/>
      <c r="LD57" s="16"/>
      <c r="LE57" s="16"/>
      <c r="LF57" s="16"/>
      <c r="LG57" s="16"/>
      <c r="LH57" s="16"/>
      <c r="LI57" s="16"/>
      <c r="LJ57" s="16"/>
      <c r="LK57" s="16"/>
      <c r="LL57" s="16"/>
      <c r="LM57" s="16"/>
      <c r="LN57" s="16"/>
      <c r="LO57" s="16"/>
      <c r="LP57" s="16"/>
      <c r="LQ57" s="16"/>
      <c r="LR57" s="16"/>
      <c r="LS57" s="16"/>
      <c r="LT57" s="16"/>
      <c r="LU57" s="16"/>
      <c r="LV57" s="16"/>
      <c r="LW57" s="16"/>
      <c r="LX57" s="16"/>
      <c r="LY57" s="16"/>
      <c r="LZ57" s="16"/>
      <c r="MA57" s="16"/>
      <c r="MB57" s="16"/>
      <c r="MC57" s="16"/>
      <c r="MD57" s="16"/>
      <c r="ME57" s="16"/>
      <c r="MF57" s="16"/>
      <c r="MG57" s="16"/>
      <c r="MH57" s="16"/>
      <c r="MI57" s="16"/>
      <c r="MJ57" s="16"/>
      <c r="MK57" s="16"/>
      <c r="ML57" s="16"/>
      <c r="MM57" s="16"/>
      <c r="MN57" s="16"/>
      <c r="MO57" s="16"/>
      <c r="MP57" s="16"/>
      <c r="MQ57" s="16"/>
      <c r="MR57" s="16"/>
      <c r="MS57" s="16"/>
      <c r="MT57" s="16"/>
      <c r="MU57" s="16"/>
      <c r="MV57" s="16"/>
      <c r="MW57" s="16"/>
      <c r="MX57" s="16"/>
      <c r="MY57" s="16"/>
      <c r="MZ57" s="16"/>
      <c r="NA57" s="16"/>
      <c r="NB57" s="16"/>
      <c r="NC57" s="16"/>
      <c r="ND57" s="16"/>
      <c r="NE57" s="16"/>
      <c r="NF57" s="16"/>
      <c r="NG57" s="16"/>
      <c r="NH57" s="16"/>
      <c r="NI57" s="16"/>
      <c r="NJ57" s="16"/>
      <c r="NK57" s="16"/>
      <c r="NL57" s="16"/>
      <c r="NM57" s="16"/>
      <c r="NN57" s="16"/>
      <c r="NO57" s="16"/>
      <c r="NP57" s="16"/>
      <c r="NQ57" s="16"/>
      <c r="NR57" s="16"/>
      <c r="NS57" s="16"/>
      <c r="NT57" s="16"/>
      <c r="NU57" s="16"/>
      <c r="NV57" s="16"/>
      <c r="NW57" s="16"/>
      <c r="NX57" s="16"/>
      <c r="NY57" s="16"/>
      <c r="NZ57" s="16"/>
      <c r="OA57" s="16"/>
      <c r="OB57" s="16"/>
      <c r="OC57" s="16"/>
      <c r="OD57" s="16"/>
      <c r="OE57" s="16"/>
      <c r="OF57" s="16"/>
      <c r="OG57" s="16"/>
      <c r="OH57" s="16"/>
      <c r="OI57" s="16"/>
      <c r="OJ57" s="16"/>
      <c r="OK57" s="16"/>
      <c r="OL57" s="16"/>
      <c r="OM57" s="16"/>
      <c r="ON57" s="16"/>
      <c r="OO57" s="16"/>
      <c r="OP57" s="16"/>
      <c r="OQ57" s="16"/>
      <c r="OR57" s="16"/>
      <c r="OS57" s="16"/>
      <c r="OT57" s="16"/>
      <c r="OU57" s="16"/>
      <c r="OV57" s="16"/>
      <c r="OW57" s="16"/>
      <c r="OX57" s="16"/>
      <c r="OY57" s="16"/>
      <c r="OZ57" s="16"/>
      <c r="PA57" s="16"/>
      <c r="PB57" s="16"/>
      <c r="PC57" s="16"/>
      <c r="PD57" s="16"/>
      <c r="PE57" s="16"/>
      <c r="PF57" s="16"/>
      <c r="PG57" s="16"/>
      <c r="PH57" s="16"/>
      <c r="PI57" s="16"/>
      <c r="PJ57" s="16"/>
      <c r="PK57" s="16"/>
      <c r="PL57" s="16"/>
      <c r="PM57" s="16"/>
      <c r="PN57" s="16"/>
      <c r="PO57" s="16"/>
      <c r="PP57" s="16"/>
      <c r="PQ57" s="16"/>
      <c r="PR57" s="16"/>
      <c r="PS57" s="16"/>
      <c r="PT57" s="16"/>
      <c r="PU57" s="16"/>
      <c r="PV57" s="16"/>
      <c r="PW57" s="16"/>
      <c r="PX57" s="16"/>
      <c r="PY57" s="16"/>
      <c r="PZ57" s="16"/>
      <c r="QA57" s="16"/>
      <c r="QB57" s="16"/>
      <c r="QC57" s="16"/>
      <c r="QD57" s="16"/>
      <c r="QE57" s="16"/>
      <c r="QF57" s="16"/>
      <c r="QG57" s="16"/>
      <c r="QH57" s="16"/>
      <c r="QI57" s="16"/>
      <c r="QJ57" s="16"/>
      <c r="QK57" s="16"/>
      <c r="QL57" s="16"/>
      <c r="QM57" s="16"/>
      <c r="QN57" s="16"/>
      <c r="QO57" s="16"/>
      <c r="QP57" s="16"/>
      <c r="QQ57" s="16"/>
      <c r="QR57" s="16"/>
      <c r="QS57" s="16"/>
      <c r="QT57" s="16"/>
      <c r="QU57" s="16"/>
      <c r="QV57" s="16"/>
      <c r="QW57" s="16"/>
      <c r="QX57" s="16"/>
      <c r="QY57" s="16"/>
      <c r="QZ57" s="16"/>
      <c r="RA57" s="16"/>
      <c r="RB57" s="16"/>
      <c r="RC57" s="16"/>
      <c r="RD57" s="16"/>
      <c r="RE57" s="16"/>
      <c r="RF57" s="16"/>
      <c r="RG57" s="16"/>
      <c r="RH57" s="16"/>
      <c r="RI57" s="16"/>
      <c r="RJ57" s="16"/>
      <c r="RK57" s="16"/>
      <c r="RL57" s="16"/>
      <c r="RM57" s="16"/>
      <c r="RN57" s="16"/>
      <c r="RO57" s="16"/>
      <c r="RP57" s="16"/>
      <c r="RQ57" s="16"/>
      <c r="RR57" s="16"/>
      <c r="RS57" s="16"/>
      <c r="RT57" s="16"/>
      <c r="RU57" s="16"/>
      <c r="RV57" s="16"/>
      <c r="RW57" s="16"/>
      <c r="RX57" s="16"/>
      <c r="RY57" s="16"/>
      <c r="RZ57" s="16"/>
      <c r="SA57" s="16"/>
      <c r="SB57" s="16"/>
      <c r="SC57" s="16"/>
      <c r="SD57" s="16"/>
      <c r="SE57" s="16"/>
      <c r="SF57" s="16"/>
      <c r="SG57" s="16"/>
      <c r="SH57" s="16"/>
      <c r="SI57" s="16"/>
      <c r="SJ57" s="16"/>
      <c r="SK57" s="16"/>
      <c r="SL57" s="16"/>
      <c r="SM57" s="16"/>
      <c r="SN57" s="16"/>
      <c r="SO57" s="16"/>
      <c r="SP57" s="16"/>
      <c r="SQ57" s="16"/>
      <c r="SR57" s="16"/>
      <c r="SS57" s="16"/>
      <c r="ST57" s="16"/>
      <c r="SU57" s="16"/>
      <c r="SV57" s="16"/>
      <c r="SW57" s="16"/>
      <c r="SX57" s="16"/>
      <c r="SY57" s="16"/>
      <c r="SZ57" s="16"/>
      <c r="TA57" s="16"/>
      <c r="TB57" s="16"/>
      <c r="TC57" s="16"/>
    </row>
    <row r="58" spans="1:523" s="178" customFormat="1" ht="15.75" x14ac:dyDescent="0.2">
      <c r="A58" s="196">
        <f>A59</f>
        <v>205</v>
      </c>
      <c r="C58" s="63"/>
      <c r="F58" s="197" t="str">
        <f>F59</f>
        <v>Клуб 10</v>
      </c>
      <c r="H58" s="198">
        <f>H59</f>
        <v>402.35</v>
      </c>
      <c r="I58" s="175"/>
      <c r="L58" s="84"/>
      <c r="O58" s="84"/>
      <c r="R58" s="84"/>
      <c r="U58" s="186">
        <f t="shared" si="9"/>
        <v>5</v>
      </c>
      <c r="CI58" s="199"/>
      <c r="CW58" s="200"/>
      <c r="CX58" s="200"/>
      <c r="CY58" s="200"/>
    </row>
    <row r="59" spans="1:523" s="16" customFormat="1" ht="12" customHeight="1" x14ac:dyDescent="0.2">
      <c r="A59" s="15">
        <v>205</v>
      </c>
      <c r="B59" s="55" t="s">
        <v>76</v>
      </c>
      <c r="C59" s="189" t="s">
        <v>343</v>
      </c>
      <c r="E59" s="55">
        <v>2001</v>
      </c>
      <c r="F59" s="95" t="s">
        <v>344</v>
      </c>
      <c r="G59" s="55"/>
      <c r="H59" s="44">
        <v>402.35</v>
      </c>
      <c r="I59" s="202">
        <v>1</v>
      </c>
      <c r="L59" s="84" t="b">
        <f>IF($A59/4&lt;=1, 8, IF($A59/4&lt;=2, 1, IF($A59/4&lt;=3, 7, IF($A59/4&lt;=4, 2, IF($A59/4&lt;=5, 6, IF($A59/4&lt;=6, 3, IF($A59/4&lt;=7, 5, IF($A59/4&lt;=8, 4, IF($A59/4&lt;=9, 8, IF($A59/4&lt;=10, 1, IF($A59/4&lt;=11, 7, IF($A59/4&lt;=12, 2, IF($A59/4&lt;=13, 6, IF($A59/4&lt;=14, 3, IF($A59/4&lt;=15, 5, IF($A59/4&lt;=16, 4, IF($A59/4&lt;=17, 8, IF($A59/4&lt;=18, 1, IF($A59/4&lt;=19, 7, IF($A59/4&lt;=20, 2, IF($A59/4&lt;=21, 6, IF($A59/4&lt;=22, 3, IF($A59/4&lt;=23, 5, IF($A59/4&lt;=24, 4, IF($A59/4&lt;=25, 8, IF($A59/4&lt;=26, 1, IF($A59/4&lt;=27, 7, IF($A59/4&lt;=28, 2, IF($A59/4&lt;=29, 6, IF($A59/4&lt;=30, 3, IF($A59/4&lt;=31, 5, IF($A59/4&lt;=32, 4, IF($A59/4&lt;=33, 8, IF($A59/4&lt;=34, 1, IF($A59/4&lt;=35, 7, IF($A59/4&lt;=36, 2, IF($A59/4&lt;=37, 6, IF($A59/4&lt;=38, 3, IF($A59/4&lt;=39, 5, IF($A59/4&lt;=40, 4))))))))))))))))))))))))))))))))))))))))</f>
        <v>0</v>
      </c>
      <c r="M59" s="178">
        <f>L59+200</f>
        <v>200</v>
      </c>
      <c r="O59" s="84" t="b">
        <f>IF($A59/4&lt;=1, 4, IF($A59/4&lt;=2, 1, IF($A59/4&lt;=3, 3, IF($A59/4&lt;=4, 2, IF($A59/4&lt;=5, 4, IF($A59/4&lt;=6, 1, IF($A59/4&lt;=7, 3, IF($A59/4&lt;=8, 2, IF($A59/4&lt;=9, 4, IF($A59/4&lt;=10, 1, IF($A59/4&lt;=11, 3, IF($A59/4&lt;=12, 2, IF($A59/4&lt;=13, 4, IF($A59/4&lt;=14, 1, IF($A59/4&lt;=15, 3, IF($A59/4&lt;=16, 2, IF($A59/4&lt;=17, 4, IF($A59/4&lt;=18, 1, IF($A59/4&lt;=19, 3, IF($A59/4&lt;=20, 2, IF($A59/4&lt;=21, 4, IF($A59/4&lt;=22, 1, IF($A59/4&lt;=23, 3, IF($A59/4&lt;=24, 2, IF($A59/4&lt;=25, 4, IF($A59/4&lt;=26, 1, IF($A59/4&lt;=27, 3, IF($A59/4&lt;=28, 2, IF($A59/4&lt;=29, 4, IF($A59/4&lt;=30, 1, IF($A59/4&lt;=31, 3, IF($A59/4&lt;=32, 2, IF($A59/4&lt;=33, 4, IF($A59/4&lt;=34, 1, IF($A59/4&lt;=35, 3, IF($A59/4&lt;=36, 2))))))))))))))))))))))))))))))))))))</f>
        <v>0</v>
      </c>
      <c r="P59" s="178" t="e">
        <f>#REF!+10</f>
        <v>#REF!</v>
      </c>
      <c r="R59" s="84" t="b">
        <f>IF($A59/4&lt;=1, 6, IF($A59/4&lt;=2, 1, IF($A59/4&lt;=3, 5, IF($A59/4&lt;=4, 2, IF($A59/4&lt;=5, 4, IF($A59/4&lt;=6, 3, IF($A59/4&lt;=7, 6, IF($A59/4&lt;=8, 1, IF($A59/4&lt;=9, 5, IF($A59/4&lt;=10, 2, IF($A59/4&lt;=11, 4, IF($A59/4&lt;=12, 3, IF($A59/4&lt;=13, 6, IF($A59/4&lt;=14, 1, IF($A59/4&lt;=15, 5, IF($A59/4&lt;=16, 2, IF($A59/4&lt;=17, 4, IF($A59/4&lt;=18, 3, IF($A59/4&lt;=19, 6, IF($A59/4&lt;=20, 1, IF($A59/4&lt;=21, 5, IF($A59/4&lt;=22, 2, IF($A59/4&lt;=23, 4, IF($A59/4&lt;=24, 3, IF($A59/4&lt;=25, 6, IF($A59/4&lt;=26, 1, IF($A59/4&lt;=27, 5, IF($A59/4&lt;=28, 2, IF($A59/4&lt;=29, 4, IF($A59/4&lt;=30, 3, IF($A59/4&lt;=31, 6, IF($A59/4&lt;=32, 1, IF($A59/4&lt;=33, 5, IF($A59/4&lt;=34, 2, IF($A59/4&lt;=35, 4, IF($A59/4&lt;=36, 3))))))))))))))))))))))))))))))))))))</f>
        <v>0</v>
      </c>
      <c r="S59" s="16">
        <f>S41+10</f>
        <v>10</v>
      </c>
      <c r="T59" s="16" t="s">
        <v>345</v>
      </c>
      <c r="U59" s="186">
        <f t="shared" si="9"/>
        <v>5</v>
      </c>
      <c r="PK59" s="87"/>
      <c r="PL59" s="87"/>
      <c r="PM59" s="87"/>
      <c r="PN59" s="87"/>
      <c r="PO59" s="87"/>
      <c r="PP59" s="87"/>
      <c r="PQ59" s="87"/>
      <c r="PR59" s="87"/>
      <c r="PS59" s="87"/>
      <c r="PT59" s="87"/>
      <c r="PU59" s="87"/>
      <c r="PV59" s="87"/>
      <c r="PW59" s="87"/>
      <c r="PX59" s="87"/>
      <c r="PY59" s="87"/>
      <c r="PZ59" s="87"/>
      <c r="QA59" s="87"/>
      <c r="QB59" s="87"/>
      <c r="QC59" s="87"/>
      <c r="QD59" s="87"/>
      <c r="QE59" s="87"/>
      <c r="QF59" s="87"/>
      <c r="QG59" s="87"/>
      <c r="QH59" s="87"/>
      <c r="QI59" s="87"/>
      <c r="QJ59" s="87"/>
      <c r="QK59" s="87"/>
      <c r="QL59" s="87"/>
      <c r="QM59" s="87"/>
      <c r="QN59" s="87"/>
      <c r="QO59" s="87"/>
      <c r="QP59" s="87"/>
      <c r="QQ59" s="87"/>
      <c r="QR59" s="87"/>
      <c r="QS59" s="87"/>
      <c r="QT59" s="87"/>
      <c r="QU59" s="87"/>
      <c r="QV59" s="87"/>
      <c r="QW59" s="87"/>
      <c r="QX59" s="87"/>
      <c r="QY59" s="87"/>
      <c r="QZ59" s="87"/>
      <c r="RA59" s="87"/>
      <c r="RB59" s="87"/>
      <c r="RC59" s="87"/>
      <c r="RD59" s="87"/>
      <c r="RE59" s="87"/>
      <c r="RF59" s="87"/>
      <c r="RG59" s="87"/>
      <c r="RH59" s="87"/>
      <c r="RI59" s="87"/>
      <c r="RJ59" s="87"/>
      <c r="RK59" s="87"/>
      <c r="RL59" s="87"/>
      <c r="RM59" s="87"/>
      <c r="RN59" s="87"/>
      <c r="RO59" s="87"/>
      <c r="RP59" s="87"/>
      <c r="RQ59" s="87"/>
      <c r="RR59" s="87"/>
      <c r="RS59" s="87"/>
      <c r="RT59" s="87"/>
      <c r="RU59" s="87"/>
      <c r="RV59" s="87"/>
      <c r="RW59" s="87"/>
      <c r="RX59" s="87"/>
      <c r="RY59" s="87"/>
      <c r="RZ59" s="87"/>
      <c r="SA59" s="87"/>
      <c r="SB59" s="87"/>
      <c r="SC59" s="87"/>
      <c r="SD59" s="87"/>
      <c r="SE59" s="87"/>
      <c r="SF59" s="87"/>
      <c r="SG59" s="87"/>
      <c r="SH59" s="87"/>
      <c r="SI59" s="87"/>
      <c r="SJ59" s="87"/>
      <c r="SK59" s="87"/>
      <c r="SL59" s="87"/>
      <c r="SM59" s="87"/>
      <c r="SN59" s="87"/>
      <c r="SO59" s="87"/>
      <c r="SP59" s="87"/>
      <c r="SQ59" s="87"/>
      <c r="SR59" s="87"/>
      <c r="SS59" s="87"/>
      <c r="ST59" s="87"/>
      <c r="SU59" s="87"/>
      <c r="SV59" s="87"/>
      <c r="SW59" s="87"/>
      <c r="SX59" s="87"/>
      <c r="SY59" s="87"/>
      <c r="SZ59" s="87"/>
      <c r="TA59" s="87"/>
      <c r="TB59" s="87"/>
      <c r="TC59" s="87"/>
    </row>
    <row r="60" spans="1:523" s="16" customFormat="1" ht="12" customHeight="1" x14ac:dyDescent="0.2">
      <c r="A60" s="15">
        <v>205</v>
      </c>
      <c r="B60" s="55" t="s">
        <v>76</v>
      </c>
      <c r="C60" s="189" t="s">
        <v>346</v>
      </c>
      <c r="E60" s="55">
        <v>2001</v>
      </c>
      <c r="F60" s="95" t="s">
        <v>344</v>
      </c>
      <c r="G60" s="55"/>
      <c r="H60" s="44">
        <v>402.35</v>
      </c>
      <c r="I60" s="202">
        <v>2</v>
      </c>
      <c r="L60" s="84" t="b">
        <f>IF($A60/4&lt;=1, 8, IF($A60/4&lt;=2, 1, IF($A60/4&lt;=3, 7, IF($A60/4&lt;=4, 2, IF($A60/4&lt;=5, 6, IF($A60/4&lt;=6, 3, IF($A60/4&lt;=7, 5, IF($A60/4&lt;=8, 4, IF($A60/4&lt;=9, 8, IF($A60/4&lt;=10, 1, IF($A60/4&lt;=11, 7, IF($A60/4&lt;=12, 2, IF($A60/4&lt;=13, 6, IF($A60/4&lt;=14, 3, IF($A60/4&lt;=15, 5, IF($A60/4&lt;=16, 4, IF($A60/4&lt;=17, 8, IF($A60/4&lt;=18, 1, IF($A60/4&lt;=19, 7, IF($A60/4&lt;=20, 2, IF($A60/4&lt;=21, 6, IF($A60/4&lt;=22, 3, IF($A60/4&lt;=23, 5, IF($A60/4&lt;=24, 4, IF($A60/4&lt;=25, 8, IF($A60/4&lt;=26, 1, IF($A60/4&lt;=27, 7, IF($A60/4&lt;=28, 2, IF($A60/4&lt;=29, 6, IF($A60/4&lt;=30, 3, IF($A60/4&lt;=31, 5, IF($A60/4&lt;=32, 4, IF($A60/4&lt;=33, 8, IF($A60/4&lt;=34, 1, IF($A60/4&lt;=35, 7, IF($A60/4&lt;=36, 2, IF($A60/4&lt;=37, 6, IF($A60/4&lt;=38, 3, IF($A60/4&lt;=39, 5, IF($A60/4&lt;=40, 4))))))))))))))))))))))))))))))))))))))))</f>
        <v>0</v>
      </c>
      <c r="M60" s="178">
        <f>L60+200</f>
        <v>200</v>
      </c>
      <c r="O60" s="84" t="b">
        <f>IF($A60/4&lt;=1, 4, IF($A60/4&lt;=2, 1, IF($A60/4&lt;=3, 3, IF($A60/4&lt;=4, 2, IF($A60/4&lt;=5, 4, IF($A60/4&lt;=6, 1, IF($A60/4&lt;=7, 3, IF($A60/4&lt;=8, 2, IF($A60/4&lt;=9, 4, IF($A60/4&lt;=10, 1, IF($A60/4&lt;=11, 3, IF($A60/4&lt;=12, 2, IF($A60/4&lt;=13, 4, IF($A60/4&lt;=14, 1, IF($A60/4&lt;=15, 3, IF($A60/4&lt;=16, 2, IF($A60/4&lt;=17, 4, IF($A60/4&lt;=18, 1, IF($A60/4&lt;=19, 3, IF($A60/4&lt;=20, 2, IF($A60/4&lt;=21, 4, IF($A60/4&lt;=22, 1, IF($A60/4&lt;=23, 3, IF($A60/4&lt;=24, 2, IF($A60/4&lt;=25, 4, IF($A60/4&lt;=26, 1, IF($A60/4&lt;=27, 3, IF($A60/4&lt;=28, 2, IF($A60/4&lt;=29, 4, IF($A60/4&lt;=30, 1, IF($A60/4&lt;=31, 3, IF($A60/4&lt;=32, 2, IF($A60/4&lt;=33, 4, IF($A60/4&lt;=34, 1, IF($A60/4&lt;=35, 3, IF($A60/4&lt;=36, 2))))))))))))))))))))))))))))))))))))</f>
        <v>0</v>
      </c>
      <c r="P60" s="178" t="e">
        <f>#REF!+10</f>
        <v>#REF!</v>
      </c>
      <c r="R60" s="84" t="b">
        <f>IF($A60/4&lt;=1, 6, IF($A60/4&lt;=2, 1, IF($A60/4&lt;=3, 5, IF($A60/4&lt;=4, 2, IF($A60/4&lt;=5, 4, IF($A60/4&lt;=6, 3, IF($A60/4&lt;=7, 6, IF($A60/4&lt;=8, 1, IF($A60/4&lt;=9, 5, IF($A60/4&lt;=10, 2, IF($A60/4&lt;=11, 4, IF($A60/4&lt;=12, 3, IF($A60/4&lt;=13, 6, IF($A60/4&lt;=14, 1, IF($A60/4&lt;=15, 5, IF($A60/4&lt;=16, 2, IF($A60/4&lt;=17, 4, IF($A60/4&lt;=18, 3, IF($A60/4&lt;=19, 6, IF($A60/4&lt;=20, 1, IF($A60/4&lt;=21, 5, IF($A60/4&lt;=22, 2, IF($A60/4&lt;=23, 4, IF($A60/4&lt;=24, 3, IF($A60/4&lt;=25, 6, IF($A60/4&lt;=26, 1, IF($A60/4&lt;=27, 5, IF($A60/4&lt;=28, 2, IF($A60/4&lt;=29, 4, IF($A60/4&lt;=30, 3, IF($A60/4&lt;=31, 6, IF($A60/4&lt;=32, 1, IF($A60/4&lt;=33, 5, IF($A60/4&lt;=34, 2, IF($A60/4&lt;=35, 4, IF($A60/4&lt;=36, 3))))))))))))))))))))))))))))))))))))</f>
        <v>0</v>
      </c>
      <c r="S60" s="16">
        <f>S42+10</f>
        <v>10</v>
      </c>
      <c r="U60" s="186">
        <f t="shared" si="9"/>
        <v>5</v>
      </c>
    </row>
    <row r="61" spans="1:523" s="16" customFormat="1" ht="12" customHeight="1" x14ac:dyDescent="0.2">
      <c r="A61" s="15">
        <v>205</v>
      </c>
      <c r="B61" s="55" t="s">
        <v>84</v>
      </c>
      <c r="C61" s="189" t="s">
        <v>347</v>
      </c>
      <c r="E61" s="55">
        <v>2001</v>
      </c>
      <c r="F61" s="95" t="s">
        <v>344</v>
      </c>
      <c r="G61" s="55"/>
      <c r="H61" s="44">
        <v>402.35</v>
      </c>
      <c r="I61" s="202">
        <v>3</v>
      </c>
      <c r="L61" s="84" t="b">
        <f>IF($A61/4&lt;=1, 8, IF($A61/4&lt;=2, 1, IF($A61/4&lt;=3, 7, IF($A61/4&lt;=4, 2, IF($A61/4&lt;=5, 6, IF($A61/4&lt;=6, 3, IF($A61/4&lt;=7, 5, IF($A61/4&lt;=8, 4, IF($A61/4&lt;=9, 8, IF($A61/4&lt;=10, 1, IF($A61/4&lt;=11, 7, IF($A61/4&lt;=12, 2, IF($A61/4&lt;=13, 6, IF($A61/4&lt;=14, 3, IF($A61/4&lt;=15, 5, IF($A61/4&lt;=16, 4, IF($A61/4&lt;=17, 8, IF($A61/4&lt;=18, 1, IF($A61/4&lt;=19, 7, IF($A61/4&lt;=20, 2, IF($A61/4&lt;=21, 6, IF($A61/4&lt;=22, 3, IF($A61/4&lt;=23, 5, IF($A61/4&lt;=24, 4, IF($A61/4&lt;=25, 8, IF($A61/4&lt;=26, 1, IF($A61/4&lt;=27, 7, IF($A61/4&lt;=28, 2, IF($A61/4&lt;=29, 6, IF($A61/4&lt;=30, 3, IF($A61/4&lt;=31, 5, IF($A61/4&lt;=32, 4, IF($A61/4&lt;=33, 8, IF($A61/4&lt;=34, 1, IF($A61/4&lt;=35, 7, IF($A61/4&lt;=36, 2, IF($A61/4&lt;=37, 6, IF($A61/4&lt;=38, 3, IF($A61/4&lt;=39, 5, IF($A61/4&lt;=40, 4))))))))))))))))))))))))))))))))))))))))</f>
        <v>0</v>
      </c>
      <c r="M61" s="178">
        <f>L61+200</f>
        <v>200</v>
      </c>
      <c r="O61" s="84" t="b">
        <f>IF($A61/4&lt;=1, 4, IF($A61/4&lt;=2, 1, IF($A61/4&lt;=3, 3, IF($A61/4&lt;=4, 2, IF($A61/4&lt;=5, 4, IF($A61/4&lt;=6, 1, IF($A61/4&lt;=7, 3, IF($A61/4&lt;=8, 2, IF($A61/4&lt;=9, 4, IF($A61/4&lt;=10, 1, IF($A61/4&lt;=11, 3, IF($A61/4&lt;=12, 2, IF($A61/4&lt;=13, 4, IF($A61/4&lt;=14, 1, IF($A61/4&lt;=15, 3, IF($A61/4&lt;=16, 2, IF($A61/4&lt;=17, 4, IF($A61/4&lt;=18, 1, IF($A61/4&lt;=19, 3, IF($A61/4&lt;=20, 2, IF($A61/4&lt;=21, 4, IF($A61/4&lt;=22, 1, IF($A61/4&lt;=23, 3, IF($A61/4&lt;=24, 2, IF($A61/4&lt;=25, 4, IF($A61/4&lt;=26, 1, IF($A61/4&lt;=27, 3, IF($A61/4&lt;=28, 2, IF($A61/4&lt;=29, 4, IF($A61/4&lt;=30, 1, IF($A61/4&lt;=31, 3, IF($A61/4&lt;=32, 2, IF($A61/4&lt;=33, 4, IF($A61/4&lt;=34, 1, IF($A61/4&lt;=35, 3, IF($A61/4&lt;=36, 2))))))))))))))))))))))))))))))))))))</f>
        <v>0</v>
      </c>
      <c r="P61" s="178" t="e">
        <f>#REF!+10</f>
        <v>#REF!</v>
      </c>
      <c r="R61" s="84" t="b">
        <f>IF($A61/4&lt;=1, 6, IF($A61/4&lt;=2, 1, IF($A61/4&lt;=3, 5, IF($A61/4&lt;=4, 2, IF($A61/4&lt;=5, 4, IF($A61/4&lt;=6, 3, IF($A61/4&lt;=7, 6, IF($A61/4&lt;=8, 1, IF($A61/4&lt;=9, 5, IF($A61/4&lt;=10, 2, IF($A61/4&lt;=11, 4, IF($A61/4&lt;=12, 3, IF($A61/4&lt;=13, 6, IF($A61/4&lt;=14, 1, IF($A61/4&lt;=15, 5, IF($A61/4&lt;=16, 2, IF($A61/4&lt;=17, 4, IF($A61/4&lt;=18, 3, IF($A61/4&lt;=19, 6, IF($A61/4&lt;=20, 1, IF($A61/4&lt;=21, 5, IF($A61/4&lt;=22, 2, IF($A61/4&lt;=23, 4, IF($A61/4&lt;=24, 3, IF($A61/4&lt;=25, 6, IF($A61/4&lt;=26, 1, IF($A61/4&lt;=27, 5, IF($A61/4&lt;=28, 2, IF($A61/4&lt;=29, 4, IF($A61/4&lt;=30, 3, IF($A61/4&lt;=31, 6, IF($A61/4&lt;=32, 1, IF($A61/4&lt;=33, 5, IF($A61/4&lt;=34, 2, IF($A61/4&lt;=35, 4, IF($A61/4&lt;=36, 3))))))))))))))))))))))))))))))))))))</f>
        <v>0</v>
      </c>
      <c r="S61" s="16">
        <f>S43+10</f>
        <v>10</v>
      </c>
      <c r="U61" s="186">
        <f t="shared" si="9"/>
        <v>5</v>
      </c>
    </row>
    <row r="62" spans="1:523" s="16" customFormat="1" ht="12" customHeight="1" x14ac:dyDescent="0.2">
      <c r="A62" s="15">
        <v>205</v>
      </c>
      <c r="B62" s="55" t="s">
        <v>76</v>
      </c>
      <c r="C62" s="189" t="s">
        <v>348</v>
      </c>
      <c r="E62" s="55">
        <v>1998</v>
      </c>
      <c r="F62" s="95" t="s">
        <v>344</v>
      </c>
      <c r="G62" s="55"/>
      <c r="H62" s="44">
        <v>402.35</v>
      </c>
      <c r="I62" s="202">
        <v>4</v>
      </c>
      <c r="L62" s="84" t="b">
        <f>IF($A62/4&lt;=1, 8, IF($A62/4&lt;=2, 1, IF($A62/4&lt;=3, 7, IF($A62/4&lt;=4, 2, IF($A62/4&lt;=5, 6, IF($A62/4&lt;=6, 3, IF($A62/4&lt;=7, 5, IF($A62/4&lt;=8, 4, IF($A62/4&lt;=9, 8, IF($A62/4&lt;=10, 1, IF($A62/4&lt;=11, 7, IF($A62/4&lt;=12, 2, IF($A62/4&lt;=13, 6, IF($A62/4&lt;=14, 3, IF($A62/4&lt;=15, 5, IF($A62/4&lt;=16, 4, IF($A62/4&lt;=17, 8, IF($A62/4&lt;=18, 1, IF($A62/4&lt;=19, 7, IF($A62/4&lt;=20, 2, IF($A62/4&lt;=21, 6, IF($A62/4&lt;=22, 3, IF($A62/4&lt;=23, 5, IF($A62/4&lt;=24, 4, IF($A62/4&lt;=25, 8, IF($A62/4&lt;=26, 1, IF($A62/4&lt;=27, 7, IF($A62/4&lt;=28, 2, IF($A62/4&lt;=29, 6, IF($A62/4&lt;=30, 3, IF($A62/4&lt;=31, 5, IF($A62/4&lt;=32, 4, IF($A62/4&lt;=33, 8, IF($A62/4&lt;=34, 1, IF($A62/4&lt;=35, 7, IF($A62/4&lt;=36, 2, IF($A62/4&lt;=37, 6, IF($A62/4&lt;=38, 3, IF($A62/4&lt;=39, 5, IF($A62/4&lt;=40, 4))))))))))))))))))))))))))))))))))))))))</f>
        <v>0</v>
      </c>
      <c r="M62" s="178">
        <f>L62+200</f>
        <v>200</v>
      </c>
      <c r="O62" s="84" t="b">
        <f>IF($A62/4&lt;=1, 4, IF($A62/4&lt;=2, 1, IF($A62/4&lt;=3, 3, IF($A62/4&lt;=4, 2, IF($A62/4&lt;=5, 4, IF($A62/4&lt;=6, 1, IF($A62/4&lt;=7, 3, IF($A62/4&lt;=8, 2, IF($A62/4&lt;=9, 4, IF($A62/4&lt;=10, 1, IF($A62/4&lt;=11, 3, IF($A62/4&lt;=12, 2, IF($A62/4&lt;=13, 4, IF($A62/4&lt;=14, 1, IF($A62/4&lt;=15, 3, IF($A62/4&lt;=16, 2, IF($A62/4&lt;=17, 4, IF($A62/4&lt;=18, 1, IF($A62/4&lt;=19, 3, IF($A62/4&lt;=20, 2, IF($A62/4&lt;=21, 4, IF($A62/4&lt;=22, 1, IF($A62/4&lt;=23, 3, IF($A62/4&lt;=24, 2, IF($A62/4&lt;=25, 4, IF($A62/4&lt;=26, 1, IF($A62/4&lt;=27, 3, IF($A62/4&lt;=28, 2, IF($A62/4&lt;=29, 4, IF($A62/4&lt;=30, 1, IF($A62/4&lt;=31, 3, IF($A62/4&lt;=32, 2, IF($A62/4&lt;=33, 4, IF($A62/4&lt;=34, 1, IF($A62/4&lt;=35, 3, IF($A62/4&lt;=36, 2))))))))))))))))))))))))))))))))))))</f>
        <v>0</v>
      </c>
      <c r="P62" s="178" t="e">
        <f>#REF!+10</f>
        <v>#REF!</v>
      </c>
      <c r="R62" s="84" t="b">
        <f>IF($A62/4&lt;=1, 6, IF($A62/4&lt;=2, 1, IF($A62/4&lt;=3, 5, IF($A62/4&lt;=4, 2, IF($A62/4&lt;=5, 4, IF($A62/4&lt;=6, 3, IF($A62/4&lt;=7, 6, IF($A62/4&lt;=8, 1, IF($A62/4&lt;=9, 5, IF($A62/4&lt;=10, 2, IF($A62/4&lt;=11, 4, IF($A62/4&lt;=12, 3, IF($A62/4&lt;=13, 6, IF($A62/4&lt;=14, 1, IF($A62/4&lt;=15, 5, IF($A62/4&lt;=16, 2, IF($A62/4&lt;=17, 4, IF($A62/4&lt;=18, 3, IF($A62/4&lt;=19, 6, IF($A62/4&lt;=20, 1, IF($A62/4&lt;=21, 5, IF($A62/4&lt;=22, 2, IF($A62/4&lt;=23, 4, IF($A62/4&lt;=24, 3, IF($A62/4&lt;=25, 6, IF($A62/4&lt;=26, 1, IF($A62/4&lt;=27, 5, IF($A62/4&lt;=28, 2, IF($A62/4&lt;=29, 4, IF($A62/4&lt;=30, 3, IF($A62/4&lt;=31, 6, IF($A62/4&lt;=32, 1, IF($A62/4&lt;=33, 5, IF($A62/4&lt;=34, 2, IF($A62/4&lt;=35, 4, IF($A62/4&lt;=36, 3))))))))))))))))))))))))))))))))))))</f>
        <v>0</v>
      </c>
      <c r="S62" s="16">
        <f>S44+10</f>
        <v>10</v>
      </c>
      <c r="U62" s="186">
        <f t="shared" si="9"/>
        <v>5</v>
      </c>
    </row>
    <row r="63" spans="1:523" s="178" customFormat="1" ht="15.75" x14ac:dyDescent="0.2">
      <c r="A63" s="196">
        <f>A64</f>
        <v>206</v>
      </c>
      <c r="C63" s="63"/>
      <c r="F63" s="197" t="str">
        <f>F64</f>
        <v>Клуб 11</v>
      </c>
      <c r="H63" s="198">
        <f>H64</f>
        <v>2000</v>
      </c>
      <c r="I63" s="175"/>
      <c r="L63" s="84"/>
      <c r="O63" s="84"/>
      <c r="R63" s="84"/>
      <c r="U63" s="186">
        <f t="shared" si="9"/>
        <v>6</v>
      </c>
      <c r="CI63" s="199"/>
      <c r="CW63" s="200"/>
      <c r="CX63" s="200"/>
      <c r="CY63" s="200"/>
    </row>
    <row r="64" spans="1:523" s="16" customFormat="1" ht="12" customHeight="1" x14ac:dyDescent="0.2">
      <c r="A64" s="15">
        <v>206</v>
      </c>
      <c r="B64" s="55" t="s">
        <v>84</v>
      </c>
      <c r="C64" s="189" t="s">
        <v>349</v>
      </c>
      <c r="E64" s="55">
        <v>2002</v>
      </c>
      <c r="F64" s="95" t="s">
        <v>350</v>
      </c>
      <c r="G64" s="55"/>
      <c r="H64" s="44">
        <v>2000</v>
      </c>
      <c r="I64" s="202">
        <v>1</v>
      </c>
      <c r="L64" s="84" t="b">
        <f>IF($A64/4&lt;=1, 8, IF($A64/4&lt;=2, 1, IF($A64/4&lt;=3, 7, IF($A64/4&lt;=4, 2, IF($A64/4&lt;=5, 6, IF($A64/4&lt;=6, 3, IF($A64/4&lt;=7, 5, IF($A64/4&lt;=8, 4, IF($A64/4&lt;=9, 8, IF($A64/4&lt;=10, 1, IF($A64/4&lt;=11, 7, IF($A64/4&lt;=12, 2, IF($A64/4&lt;=13, 6, IF($A64/4&lt;=14, 3, IF($A64/4&lt;=15, 5, IF($A64/4&lt;=16, 4, IF($A64/4&lt;=17, 8, IF($A64/4&lt;=18, 1, IF($A64/4&lt;=19, 7, IF($A64/4&lt;=20, 2, IF($A64/4&lt;=21, 6, IF($A64/4&lt;=22, 3, IF($A64/4&lt;=23, 5, IF($A64/4&lt;=24, 4, IF($A64/4&lt;=25, 8, IF($A64/4&lt;=26, 1, IF($A64/4&lt;=27, 7, IF($A64/4&lt;=28, 2, IF($A64/4&lt;=29, 6, IF($A64/4&lt;=30, 3, IF($A64/4&lt;=31, 5, IF($A64/4&lt;=32, 4, IF($A64/4&lt;=33, 8, IF($A64/4&lt;=34, 1, IF($A64/4&lt;=35, 7, IF($A64/4&lt;=36, 2, IF($A64/4&lt;=37, 6, IF($A64/4&lt;=38, 3, IF($A64/4&lt;=39, 5, IF($A64/4&lt;=40, 4))))))))))))))))))))))))))))))))))))))))</f>
        <v>0</v>
      </c>
      <c r="M64" s="178">
        <f>L64+200</f>
        <v>200</v>
      </c>
      <c r="O64" s="84" t="b">
        <f>IF($A64/4&lt;=1, 4, IF($A64/4&lt;=2, 1, IF($A64/4&lt;=3, 3, IF($A64/4&lt;=4, 2, IF($A64/4&lt;=5, 4, IF($A64/4&lt;=6, 1, IF($A64/4&lt;=7, 3, IF($A64/4&lt;=8, 2, IF($A64/4&lt;=9, 4, IF($A64/4&lt;=10, 1, IF($A64/4&lt;=11, 3, IF($A64/4&lt;=12, 2, IF($A64/4&lt;=13, 4, IF($A64/4&lt;=14, 1, IF($A64/4&lt;=15, 3, IF($A64/4&lt;=16, 2, IF($A64/4&lt;=17, 4, IF($A64/4&lt;=18, 1, IF($A64/4&lt;=19, 3, IF($A64/4&lt;=20, 2, IF($A64/4&lt;=21, 4, IF($A64/4&lt;=22, 1, IF($A64/4&lt;=23, 3, IF($A64/4&lt;=24, 2, IF($A64/4&lt;=25, 4, IF($A64/4&lt;=26, 1, IF($A64/4&lt;=27, 3, IF($A64/4&lt;=28, 2, IF($A64/4&lt;=29, 4, IF($A64/4&lt;=30, 1, IF($A64/4&lt;=31, 3, IF($A64/4&lt;=32, 2, IF($A64/4&lt;=33, 4, IF($A64/4&lt;=34, 1, IF($A64/4&lt;=35, 3, IF($A64/4&lt;=36, 2))))))))))))))))))))))))))))))))))))</f>
        <v>0</v>
      </c>
      <c r="P64" s="178" t="e">
        <f>#REF!+10</f>
        <v>#REF!</v>
      </c>
      <c r="Q64" s="16" t="s">
        <v>345</v>
      </c>
      <c r="R64" s="84" t="b">
        <f>IF($A64/4&lt;=1, 6, IF($A64/4&lt;=2, 1, IF($A64/4&lt;=3, 5, IF($A64/4&lt;=4, 2, IF($A64/4&lt;=5, 4, IF($A64/4&lt;=6, 3, IF($A64/4&lt;=7, 6, IF($A64/4&lt;=8, 1, IF($A64/4&lt;=9, 5, IF($A64/4&lt;=10, 2, IF($A64/4&lt;=11, 4, IF($A64/4&lt;=12, 3, IF($A64/4&lt;=13, 6, IF($A64/4&lt;=14, 1, IF($A64/4&lt;=15, 5, IF($A64/4&lt;=16, 2, IF($A64/4&lt;=17, 4, IF($A64/4&lt;=18, 3, IF($A64/4&lt;=19, 6, IF($A64/4&lt;=20, 1, IF($A64/4&lt;=21, 5, IF($A64/4&lt;=22, 2, IF($A64/4&lt;=23, 4, IF($A64/4&lt;=24, 3, IF($A64/4&lt;=25, 6, IF($A64/4&lt;=26, 1, IF($A64/4&lt;=27, 5, IF($A64/4&lt;=28, 2, IF($A64/4&lt;=29, 4, IF($A64/4&lt;=30, 3, IF($A64/4&lt;=31, 6, IF($A64/4&lt;=32, 1, IF($A64/4&lt;=33, 5, IF($A64/4&lt;=34, 2, IF($A64/4&lt;=35, 4, IF($A64/4&lt;=36, 3))))))))))))))))))))))))))))))))))))</f>
        <v>0</v>
      </c>
      <c r="S64" s="178">
        <f>R64+200</f>
        <v>200</v>
      </c>
      <c r="U64" s="186">
        <f t="shared" si="9"/>
        <v>6</v>
      </c>
    </row>
    <row r="65" spans="1:21" s="16" customFormat="1" ht="12" customHeight="1" x14ac:dyDescent="0.2">
      <c r="A65" s="15">
        <v>206</v>
      </c>
      <c r="B65" s="55" t="s">
        <v>84</v>
      </c>
      <c r="C65" s="189" t="s">
        <v>351</v>
      </c>
      <c r="E65" s="55">
        <v>2002</v>
      </c>
      <c r="F65" s="95" t="s">
        <v>350</v>
      </c>
      <c r="G65" s="55"/>
      <c r="H65" s="44">
        <v>2000</v>
      </c>
      <c r="I65" s="202">
        <v>2</v>
      </c>
      <c r="L65" s="84" t="b">
        <f>IF($A65/4&lt;=1, 8, IF($A65/4&lt;=2, 1, IF($A65/4&lt;=3, 7, IF($A65/4&lt;=4, 2, IF($A65/4&lt;=5, 6, IF($A65/4&lt;=6, 3, IF($A65/4&lt;=7, 5, IF($A65/4&lt;=8, 4, IF($A65/4&lt;=9, 8, IF($A65/4&lt;=10, 1, IF($A65/4&lt;=11, 7, IF($A65/4&lt;=12, 2, IF($A65/4&lt;=13, 6, IF($A65/4&lt;=14, 3, IF($A65/4&lt;=15, 5, IF($A65/4&lt;=16, 4, IF($A65/4&lt;=17, 8, IF($A65/4&lt;=18, 1, IF($A65/4&lt;=19, 7, IF($A65/4&lt;=20, 2, IF($A65/4&lt;=21, 6, IF($A65/4&lt;=22, 3, IF($A65/4&lt;=23, 5, IF($A65/4&lt;=24, 4, IF($A65/4&lt;=25, 8, IF($A65/4&lt;=26, 1, IF($A65/4&lt;=27, 7, IF($A65/4&lt;=28, 2, IF($A65/4&lt;=29, 6, IF($A65/4&lt;=30, 3, IF($A65/4&lt;=31, 5, IF($A65/4&lt;=32, 4, IF($A65/4&lt;=33, 8, IF($A65/4&lt;=34, 1, IF($A65/4&lt;=35, 7, IF($A65/4&lt;=36, 2, IF($A65/4&lt;=37, 6, IF($A65/4&lt;=38, 3, IF($A65/4&lt;=39, 5, IF($A65/4&lt;=40, 4))))))))))))))))))))))))))))))))))))))))</f>
        <v>0</v>
      </c>
      <c r="M65" s="178">
        <f>L65+200</f>
        <v>200</v>
      </c>
      <c r="O65" s="84" t="b">
        <f>IF($A65/4&lt;=1, 4, IF($A65/4&lt;=2, 1, IF($A65/4&lt;=3, 3, IF($A65/4&lt;=4, 2, IF($A65/4&lt;=5, 4, IF($A65/4&lt;=6, 1, IF($A65/4&lt;=7, 3, IF($A65/4&lt;=8, 2, IF($A65/4&lt;=9, 4, IF($A65/4&lt;=10, 1, IF($A65/4&lt;=11, 3, IF($A65/4&lt;=12, 2, IF($A65/4&lt;=13, 4, IF($A65/4&lt;=14, 1, IF($A65/4&lt;=15, 3, IF($A65/4&lt;=16, 2, IF($A65/4&lt;=17, 4, IF($A65/4&lt;=18, 1, IF($A65/4&lt;=19, 3, IF($A65/4&lt;=20, 2, IF($A65/4&lt;=21, 4, IF($A65/4&lt;=22, 1, IF($A65/4&lt;=23, 3, IF($A65/4&lt;=24, 2, IF($A65/4&lt;=25, 4, IF($A65/4&lt;=26, 1, IF($A65/4&lt;=27, 3, IF($A65/4&lt;=28, 2, IF($A65/4&lt;=29, 4, IF($A65/4&lt;=30, 1, IF($A65/4&lt;=31, 3, IF($A65/4&lt;=32, 2, IF($A65/4&lt;=33, 4, IF($A65/4&lt;=34, 1, IF($A65/4&lt;=35, 3, IF($A65/4&lt;=36, 2))))))))))))))))))))))))))))))))))))</f>
        <v>0</v>
      </c>
      <c r="P65" s="178" t="e">
        <f>#REF!+10</f>
        <v>#REF!</v>
      </c>
      <c r="R65" s="84" t="b">
        <f>IF($A65/4&lt;=1, 6, IF($A65/4&lt;=2, 1, IF($A65/4&lt;=3, 5, IF($A65/4&lt;=4, 2, IF($A65/4&lt;=5, 4, IF($A65/4&lt;=6, 3, IF($A65/4&lt;=7, 6, IF($A65/4&lt;=8, 1, IF($A65/4&lt;=9, 5, IF($A65/4&lt;=10, 2, IF($A65/4&lt;=11, 4, IF($A65/4&lt;=12, 3, IF($A65/4&lt;=13, 6, IF($A65/4&lt;=14, 1, IF($A65/4&lt;=15, 5, IF($A65/4&lt;=16, 2, IF($A65/4&lt;=17, 4, IF($A65/4&lt;=18, 3, IF($A65/4&lt;=19, 6, IF($A65/4&lt;=20, 1, IF($A65/4&lt;=21, 5, IF($A65/4&lt;=22, 2, IF($A65/4&lt;=23, 4, IF($A65/4&lt;=24, 3, IF($A65/4&lt;=25, 6, IF($A65/4&lt;=26, 1, IF($A65/4&lt;=27, 5, IF($A65/4&lt;=28, 2, IF($A65/4&lt;=29, 4, IF($A65/4&lt;=30, 3, IF($A65/4&lt;=31, 6, IF($A65/4&lt;=32, 1, IF($A65/4&lt;=33, 5, IF($A65/4&lt;=34, 2, IF($A65/4&lt;=35, 4, IF($A65/4&lt;=36, 3))))))))))))))))))))))))))))))))))))</f>
        <v>0</v>
      </c>
      <c r="S65" s="178">
        <f>R65+200</f>
        <v>200</v>
      </c>
      <c r="U65" s="186">
        <f t="shared" si="9"/>
        <v>6</v>
      </c>
    </row>
    <row r="66" spans="1:21" s="16" customFormat="1" ht="12" customHeight="1" x14ac:dyDescent="0.2">
      <c r="A66" s="15">
        <v>206</v>
      </c>
      <c r="B66" s="55" t="s">
        <v>84</v>
      </c>
      <c r="C66" s="189" t="s">
        <v>352</v>
      </c>
      <c r="E66" s="55">
        <v>2002</v>
      </c>
      <c r="F66" s="95" t="s">
        <v>350</v>
      </c>
      <c r="G66" s="55"/>
      <c r="H66" s="44">
        <v>2000</v>
      </c>
      <c r="I66" s="202">
        <v>3</v>
      </c>
      <c r="L66" s="84" t="b">
        <f>IF($A66/4&lt;=1, 8, IF($A66/4&lt;=2, 1, IF($A66/4&lt;=3, 7, IF($A66/4&lt;=4, 2, IF($A66/4&lt;=5, 6, IF($A66/4&lt;=6, 3, IF($A66/4&lt;=7, 5, IF($A66/4&lt;=8, 4, IF($A66/4&lt;=9, 8, IF($A66/4&lt;=10, 1, IF($A66/4&lt;=11, 7, IF($A66/4&lt;=12, 2, IF($A66/4&lt;=13, 6, IF($A66/4&lt;=14, 3, IF($A66/4&lt;=15, 5, IF($A66/4&lt;=16, 4, IF($A66/4&lt;=17, 8, IF($A66/4&lt;=18, 1, IF($A66/4&lt;=19, 7, IF($A66/4&lt;=20, 2, IF($A66/4&lt;=21, 6, IF($A66/4&lt;=22, 3, IF($A66/4&lt;=23, 5, IF($A66/4&lt;=24, 4, IF($A66/4&lt;=25, 8, IF($A66/4&lt;=26, 1, IF($A66/4&lt;=27, 7, IF($A66/4&lt;=28, 2, IF($A66/4&lt;=29, 6, IF($A66/4&lt;=30, 3, IF($A66/4&lt;=31, 5, IF($A66/4&lt;=32, 4, IF($A66/4&lt;=33, 8, IF($A66/4&lt;=34, 1, IF($A66/4&lt;=35, 7, IF($A66/4&lt;=36, 2, IF($A66/4&lt;=37, 6, IF($A66/4&lt;=38, 3, IF($A66/4&lt;=39, 5, IF($A66/4&lt;=40, 4))))))))))))))))))))))))))))))))))))))))</f>
        <v>0</v>
      </c>
      <c r="M66" s="178">
        <f>L66+200</f>
        <v>200</v>
      </c>
      <c r="O66" s="84" t="b">
        <f>IF($A66/4&lt;=1, 4, IF($A66/4&lt;=2, 1, IF($A66/4&lt;=3, 3, IF($A66/4&lt;=4, 2, IF($A66/4&lt;=5, 4, IF($A66/4&lt;=6, 1, IF($A66/4&lt;=7, 3, IF($A66/4&lt;=8, 2, IF($A66/4&lt;=9, 4, IF($A66/4&lt;=10, 1, IF($A66/4&lt;=11, 3, IF($A66/4&lt;=12, 2, IF($A66/4&lt;=13, 4, IF($A66/4&lt;=14, 1, IF($A66/4&lt;=15, 3, IF($A66/4&lt;=16, 2, IF($A66/4&lt;=17, 4, IF($A66/4&lt;=18, 1, IF($A66/4&lt;=19, 3, IF($A66/4&lt;=20, 2, IF($A66/4&lt;=21, 4, IF($A66/4&lt;=22, 1, IF($A66/4&lt;=23, 3, IF($A66/4&lt;=24, 2, IF($A66/4&lt;=25, 4, IF($A66/4&lt;=26, 1, IF($A66/4&lt;=27, 3, IF($A66/4&lt;=28, 2, IF($A66/4&lt;=29, 4, IF($A66/4&lt;=30, 1, IF($A66/4&lt;=31, 3, IF($A66/4&lt;=32, 2, IF($A66/4&lt;=33, 4, IF($A66/4&lt;=34, 1, IF($A66/4&lt;=35, 3, IF($A66/4&lt;=36, 2))))))))))))))))))))))))))))))))))))</f>
        <v>0</v>
      </c>
      <c r="P66" s="178" t="e">
        <f>#REF!+10</f>
        <v>#REF!</v>
      </c>
      <c r="R66" s="84" t="b">
        <f>IF($A66/4&lt;=1, 6, IF($A66/4&lt;=2, 1, IF($A66/4&lt;=3, 5, IF($A66/4&lt;=4, 2, IF($A66/4&lt;=5, 4, IF($A66/4&lt;=6, 3, IF($A66/4&lt;=7, 6, IF($A66/4&lt;=8, 1, IF($A66/4&lt;=9, 5, IF($A66/4&lt;=10, 2, IF($A66/4&lt;=11, 4, IF($A66/4&lt;=12, 3, IF($A66/4&lt;=13, 6, IF($A66/4&lt;=14, 1, IF($A66/4&lt;=15, 5, IF($A66/4&lt;=16, 2, IF($A66/4&lt;=17, 4, IF($A66/4&lt;=18, 3, IF($A66/4&lt;=19, 6, IF($A66/4&lt;=20, 1, IF($A66/4&lt;=21, 5, IF($A66/4&lt;=22, 2, IF($A66/4&lt;=23, 4, IF($A66/4&lt;=24, 3, IF($A66/4&lt;=25, 6, IF($A66/4&lt;=26, 1, IF($A66/4&lt;=27, 5, IF($A66/4&lt;=28, 2, IF($A66/4&lt;=29, 4, IF($A66/4&lt;=30, 3, IF($A66/4&lt;=31, 6, IF($A66/4&lt;=32, 1, IF($A66/4&lt;=33, 5, IF($A66/4&lt;=34, 2, IF($A66/4&lt;=35, 4, IF($A66/4&lt;=36, 3))))))))))))))))))))))))))))))))))))</f>
        <v>0</v>
      </c>
      <c r="S66" s="178">
        <f>R66+200</f>
        <v>200</v>
      </c>
      <c r="U66" s="186">
        <f t="shared" si="9"/>
        <v>6</v>
      </c>
    </row>
    <row r="67" spans="1:21" s="16" customFormat="1" ht="12" customHeight="1" x14ac:dyDescent="0.2">
      <c r="A67" s="15">
        <v>206</v>
      </c>
      <c r="B67" s="55" t="s">
        <v>84</v>
      </c>
      <c r="C67" s="189" t="s">
        <v>353</v>
      </c>
      <c r="E67" s="55">
        <v>2001</v>
      </c>
      <c r="F67" s="95" t="s">
        <v>350</v>
      </c>
      <c r="G67" s="55"/>
      <c r="H67" s="44">
        <v>2000</v>
      </c>
      <c r="I67" s="202">
        <v>4</v>
      </c>
      <c r="L67" s="84" t="b">
        <f>IF($A67/4&lt;=1, 8, IF($A67/4&lt;=2, 1, IF($A67/4&lt;=3, 7, IF($A67/4&lt;=4, 2, IF($A67/4&lt;=5, 6, IF($A67/4&lt;=6, 3, IF($A67/4&lt;=7, 5, IF($A67/4&lt;=8, 4, IF($A67/4&lt;=9, 8, IF($A67/4&lt;=10, 1, IF($A67/4&lt;=11, 7, IF($A67/4&lt;=12, 2, IF($A67/4&lt;=13, 6, IF($A67/4&lt;=14, 3, IF($A67/4&lt;=15, 5, IF($A67/4&lt;=16, 4, IF($A67/4&lt;=17, 8, IF($A67/4&lt;=18, 1, IF($A67/4&lt;=19, 7, IF($A67/4&lt;=20, 2, IF($A67/4&lt;=21, 6, IF($A67/4&lt;=22, 3, IF($A67/4&lt;=23, 5, IF($A67/4&lt;=24, 4, IF($A67/4&lt;=25, 8, IF($A67/4&lt;=26, 1, IF($A67/4&lt;=27, 7, IF($A67/4&lt;=28, 2, IF($A67/4&lt;=29, 6, IF($A67/4&lt;=30, 3, IF($A67/4&lt;=31, 5, IF($A67/4&lt;=32, 4, IF($A67/4&lt;=33, 8, IF($A67/4&lt;=34, 1, IF($A67/4&lt;=35, 7, IF($A67/4&lt;=36, 2, IF($A67/4&lt;=37, 6, IF($A67/4&lt;=38, 3, IF($A67/4&lt;=39, 5, IF($A67/4&lt;=40, 4))))))))))))))))))))))))))))))))))))))))</f>
        <v>0</v>
      </c>
      <c r="M67" s="178">
        <f>L67+200</f>
        <v>200</v>
      </c>
      <c r="O67" s="84" t="b">
        <f>IF($A67/4&lt;=1, 4, IF($A67/4&lt;=2, 1, IF($A67/4&lt;=3, 3, IF($A67/4&lt;=4, 2, IF($A67/4&lt;=5, 4, IF($A67/4&lt;=6, 1, IF($A67/4&lt;=7, 3, IF($A67/4&lt;=8, 2, IF($A67/4&lt;=9, 4, IF($A67/4&lt;=10, 1, IF($A67/4&lt;=11, 3, IF($A67/4&lt;=12, 2, IF($A67/4&lt;=13, 4, IF($A67/4&lt;=14, 1, IF($A67/4&lt;=15, 3, IF($A67/4&lt;=16, 2, IF($A67/4&lt;=17, 4, IF($A67/4&lt;=18, 1, IF($A67/4&lt;=19, 3, IF($A67/4&lt;=20, 2, IF($A67/4&lt;=21, 4, IF($A67/4&lt;=22, 1, IF($A67/4&lt;=23, 3, IF($A67/4&lt;=24, 2, IF($A67/4&lt;=25, 4, IF($A67/4&lt;=26, 1, IF($A67/4&lt;=27, 3, IF($A67/4&lt;=28, 2, IF($A67/4&lt;=29, 4, IF($A67/4&lt;=30, 1, IF($A67/4&lt;=31, 3, IF($A67/4&lt;=32, 2, IF($A67/4&lt;=33, 4, IF($A67/4&lt;=34, 1, IF($A67/4&lt;=35, 3, IF($A67/4&lt;=36, 2))))))))))))))))))))))))))))))))))))</f>
        <v>0</v>
      </c>
      <c r="P67" s="178" t="e">
        <f>#REF!+10</f>
        <v>#REF!</v>
      </c>
      <c r="R67" s="84" t="b">
        <f>IF($A67/4&lt;=1, 6, IF($A67/4&lt;=2, 1, IF($A67/4&lt;=3, 5, IF($A67/4&lt;=4, 2, IF($A67/4&lt;=5, 4, IF($A67/4&lt;=6, 3, IF($A67/4&lt;=7, 6, IF($A67/4&lt;=8, 1, IF($A67/4&lt;=9, 5, IF($A67/4&lt;=10, 2, IF($A67/4&lt;=11, 4, IF($A67/4&lt;=12, 3, IF($A67/4&lt;=13, 6, IF($A67/4&lt;=14, 1, IF($A67/4&lt;=15, 5, IF($A67/4&lt;=16, 2, IF($A67/4&lt;=17, 4, IF($A67/4&lt;=18, 3, IF($A67/4&lt;=19, 6, IF($A67/4&lt;=20, 1, IF($A67/4&lt;=21, 5, IF($A67/4&lt;=22, 2, IF($A67/4&lt;=23, 4, IF($A67/4&lt;=24, 3, IF($A67/4&lt;=25, 6, IF($A67/4&lt;=26, 1, IF($A67/4&lt;=27, 5, IF($A67/4&lt;=28, 2, IF($A67/4&lt;=29, 4, IF($A67/4&lt;=30, 3, IF($A67/4&lt;=31, 6, IF($A67/4&lt;=32, 1, IF($A67/4&lt;=33, 5, IF($A67/4&lt;=34, 2, IF($A67/4&lt;=35, 4, IF($A67/4&lt;=36, 3))))))))))))))))))))))))))))))))))))</f>
        <v>0</v>
      </c>
      <c r="S67" s="178">
        <f>R67+200</f>
        <v>200</v>
      </c>
      <c r="U67" s="186">
        <f t="shared" si="9"/>
        <v>6</v>
      </c>
    </row>
  </sheetData>
  <sortState ref="A49:TD112">
    <sortCondition ref="A49:A112"/>
    <sortCondition ref="I49:I112"/>
  </sortState>
  <mergeCells count="4">
    <mergeCell ref="C8:D8"/>
    <mergeCell ref="F8:G8"/>
    <mergeCell ref="H8:I8"/>
    <mergeCell ref="J8:K8"/>
  </mergeCells>
  <conditionalFormatting sqref="G15:H24 G30:H42">
    <cfRule type="expression" dxfId="177" priority="2">
      <formula>IF(INT(G15/10000)&gt;23, TRUE, IF(INT(MOD(G15, 10000)/100)&gt;59.99, TRUE, IF(MOD(G15, 100)&gt;59.99, TRUE, FALSE)))</formula>
    </cfRule>
  </conditionalFormatting>
  <conditionalFormatting sqref="G15:H24 G30:H42">
    <cfRule type="expression" dxfId="176" priority="1">
      <formula>IF(ISNUMBER(G15), FALSE, IF(ISBLANK(G15), FALSE, TRUE))</formula>
    </cfRule>
  </conditionalFormatting>
  <pageMargins left="0.70000004768371582" right="0.70000004768371582" top="0.75" bottom="0.75" header="0.30000001192092896" footer="0.3000000119209289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workbookViewId="0"/>
  </sheetViews>
  <sheetFormatPr defaultColWidth="9.140625" defaultRowHeight="15" x14ac:dyDescent="0.25"/>
  <cols>
    <col min="1" max="1" width="3" customWidth="1"/>
    <col min="2" max="2" width="6.7109375" customWidth="1"/>
    <col min="3" max="4" width="11.7109375" customWidth="1"/>
    <col min="5" max="5" width="5.5703125" customWidth="1"/>
    <col min="6" max="7" width="14" customWidth="1"/>
    <col min="8" max="9" width="7.140625" customWidth="1"/>
    <col min="10" max="10" width="6.7109375" customWidth="1"/>
    <col min="11" max="11" width="5.7109375" customWidth="1"/>
    <col min="12" max="12" width="14.140625" customWidth="1"/>
    <col min="13" max="13" width="14.42578125" customWidth="1"/>
    <col min="14" max="14" width="5" customWidth="1"/>
    <col min="15" max="15" width="16" bestFit="1" customWidth="1"/>
  </cols>
  <sheetData>
    <row r="1" spans="1:16" ht="12.75" customHeight="1" x14ac:dyDescent="0.25">
      <c r="A1" s="15"/>
      <c r="B1" s="160"/>
      <c r="C1" s="16"/>
      <c r="D1" s="160"/>
      <c r="E1" s="160"/>
      <c r="F1" s="160"/>
      <c r="G1" s="160"/>
      <c r="H1" s="160"/>
      <c r="I1" s="160"/>
      <c r="J1" s="160"/>
      <c r="K1" s="160"/>
      <c r="L1" s="161"/>
      <c r="M1" s="49"/>
      <c r="N1" s="162"/>
    </row>
    <row r="2" spans="1:16" ht="12.75" customHeight="1" x14ac:dyDescent="0.25">
      <c r="A2" s="15"/>
      <c r="B2" s="160"/>
      <c r="C2" s="16"/>
      <c r="D2" s="160"/>
      <c r="E2" s="160"/>
      <c r="F2" s="160"/>
      <c r="G2" s="160"/>
      <c r="H2" s="160"/>
      <c r="I2" s="160"/>
      <c r="J2" s="160"/>
      <c r="K2" s="160"/>
      <c r="L2" s="161"/>
      <c r="M2" s="162"/>
      <c r="N2" s="162"/>
    </row>
    <row r="3" spans="1:16" ht="12.75" customHeight="1" x14ac:dyDescent="0.25">
      <c r="A3" s="15"/>
      <c r="B3" s="160"/>
      <c r="C3" s="16"/>
      <c r="D3" s="160"/>
      <c r="E3" s="160"/>
      <c r="F3" s="160"/>
      <c r="G3" s="160"/>
      <c r="H3" s="160"/>
      <c r="I3" s="160"/>
      <c r="J3" s="160"/>
      <c r="K3" s="160"/>
      <c r="L3" s="161"/>
      <c r="M3" s="162"/>
      <c r="N3" s="162"/>
    </row>
    <row r="4" spans="1:16" ht="22.5" x14ac:dyDescent="0.25">
      <c r="A4" s="205" t="s">
        <v>354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1"/>
      <c r="M4" s="162"/>
      <c r="N4" s="162"/>
    </row>
    <row r="5" spans="1:16" ht="12.75" customHeight="1" x14ac:dyDescent="0.2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1"/>
      <c r="M5" s="162"/>
      <c r="N5" s="162"/>
    </row>
    <row r="6" spans="1:16" ht="12" customHeight="1" x14ac:dyDescent="0.25">
      <c r="A6" s="17"/>
      <c r="B6" s="18"/>
      <c r="C6" s="16"/>
      <c r="D6" s="16"/>
      <c r="E6" s="18"/>
      <c r="F6" s="16"/>
      <c r="G6" s="16"/>
      <c r="H6" s="161"/>
      <c r="I6" s="161"/>
      <c r="J6" s="18"/>
      <c r="K6" s="165"/>
      <c r="L6" s="161"/>
      <c r="M6" s="206" t="s">
        <v>355</v>
      </c>
      <c r="N6" s="162"/>
      <c r="O6" t="s">
        <v>356</v>
      </c>
    </row>
    <row r="7" spans="1:16" ht="21" customHeight="1" x14ac:dyDescent="0.25">
      <c r="A7" s="166" t="s">
        <v>293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7"/>
      <c r="M7" s="207">
        <f>ROUNDUP(A48/O7, 0)</f>
        <v>5</v>
      </c>
      <c r="N7" s="91"/>
      <c r="O7">
        <v>8</v>
      </c>
    </row>
    <row r="8" spans="1:16" ht="39.75" customHeight="1" x14ac:dyDescent="0.25">
      <c r="A8" s="42" t="s">
        <v>294</v>
      </c>
      <c r="B8" s="168" t="s">
        <v>67</v>
      </c>
      <c r="C8" s="1820" t="s">
        <v>295</v>
      </c>
      <c r="D8" s="1827"/>
      <c r="E8" s="168" t="s">
        <v>69</v>
      </c>
      <c r="F8" s="1822" t="s">
        <v>70</v>
      </c>
      <c r="G8" s="1828"/>
      <c r="H8" s="1824" t="s">
        <v>296</v>
      </c>
      <c r="I8" s="1829"/>
      <c r="J8" s="1822" t="s">
        <v>297</v>
      </c>
      <c r="K8" s="1830"/>
      <c r="L8" s="167"/>
      <c r="M8" s="91"/>
      <c r="N8" s="91"/>
    </row>
    <row r="9" spans="1:16" ht="12" customHeight="1" x14ac:dyDescent="0.25">
      <c r="A9" s="15"/>
      <c r="B9" s="18"/>
      <c r="C9" s="16"/>
      <c r="D9" s="16"/>
      <c r="E9" s="18"/>
      <c r="F9" s="16"/>
      <c r="G9" s="16"/>
      <c r="H9" s="44"/>
      <c r="I9" s="44"/>
      <c r="J9" s="18"/>
      <c r="K9" s="45"/>
      <c r="L9" s="161"/>
      <c r="M9" s="162"/>
      <c r="N9" s="162"/>
    </row>
    <row r="10" spans="1:16" ht="14.25" customHeight="1" x14ac:dyDescent="0.25">
      <c r="A10" s="169"/>
      <c r="B10" s="170"/>
      <c r="C10" s="48" t="s">
        <v>298</v>
      </c>
      <c r="D10" s="171"/>
      <c r="E10" s="170"/>
      <c r="F10" s="171"/>
      <c r="G10" s="171"/>
      <c r="H10" s="172"/>
      <c r="I10" s="173"/>
      <c r="J10" s="170"/>
      <c r="K10" s="174"/>
      <c r="L10" s="169"/>
      <c r="M10" s="170"/>
      <c r="N10" s="170"/>
    </row>
    <row r="11" spans="1:16" ht="15" customHeight="1" x14ac:dyDescent="0.25">
      <c r="A11" s="175"/>
      <c r="B11" s="176" t="s">
        <v>300</v>
      </c>
      <c r="C11" s="177"/>
      <c r="D11" s="178"/>
      <c r="E11" s="84"/>
      <c r="F11" s="178"/>
      <c r="G11" s="178"/>
      <c r="H11" s="179"/>
      <c r="I11" s="173"/>
      <c r="J11" s="178"/>
      <c r="K11" s="180"/>
      <c r="L11" s="181"/>
      <c r="M11" s="84" t="s">
        <v>301</v>
      </c>
      <c r="N11" s="84" t="s">
        <v>302</v>
      </c>
      <c r="P11" s="208" t="s">
        <v>299</v>
      </c>
    </row>
    <row r="12" spans="1:16" ht="15" customHeight="1" x14ac:dyDescent="0.25">
      <c r="A12" s="175"/>
      <c r="C12" s="177"/>
      <c r="D12" s="184" t="s">
        <v>304</v>
      </c>
      <c r="E12" s="185">
        <f>INT(A49/10)</f>
        <v>0</v>
      </c>
      <c r="F12" s="178"/>
      <c r="G12" s="178"/>
      <c r="H12" s="179"/>
      <c r="I12" s="173"/>
      <c r="J12" s="178"/>
      <c r="K12" s="180"/>
      <c r="L12" s="181"/>
      <c r="M12" s="84"/>
      <c r="N12" s="84"/>
      <c r="P12" s="186"/>
    </row>
    <row r="13" spans="1:16" ht="15" customHeight="1" x14ac:dyDescent="0.25">
      <c r="A13" s="175">
        <v>1</v>
      </c>
      <c r="B13" s="84"/>
      <c r="C13" s="177"/>
      <c r="D13" s="178"/>
      <c r="E13" s="84"/>
      <c r="F13" s="178"/>
      <c r="G13" s="178"/>
      <c r="H13" s="179"/>
      <c r="I13" s="173"/>
      <c r="J13" s="178"/>
      <c r="K13" s="180"/>
      <c r="L13" s="181"/>
      <c r="M13" s="84">
        <f t="shared" ref="M13:M48" si="0">IF($A13/$M$7&lt;=1, 6, IF($A13/$M$7&lt;=2, 1, IF($A13/$M$7&lt;=3, 5, IF($A13/$M$7&lt;=4, 2, IF($A13/$M$7&lt;=5, 4, IF($A13/$M$7&lt;=6, 3))))))</f>
        <v>6</v>
      </c>
      <c r="N13" s="84">
        <f>M13+10</f>
        <v>16</v>
      </c>
      <c r="P13" s="186">
        <f t="shared" ref="P13:P48" si="1">IF(MOD($A13, 10)&lt;10, MOD($A13, 10), IF($A13/10&gt;8, MOD($A13, 80), IF($A13/10&gt;7, MOD($A13, 70), IF($A13/10&gt;6, MOD($A13, 60), IF($A13/10&gt;5, MOD($A13, 50), IF($A13/10&gt;4, MOD($A13, 40), IF($A13/10&gt;3, MOD($A13, 30), IF($A13/10&gt;2, MOD($A13, 20), MOD($A13, 100)))))))))</f>
        <v>1</v>
      </c>
    </row>
    <row r="14" spans="1:16" ht="15" customHeight="1" x14ac:dyDescent="0.25">
      <c r="A14" s="187">
        <f t="shared" ref="A14:A48" si="2">A13+1</f>
        <v>2</v>
      </c>
      <c r="B14" s="84"/>
      <c r="C14" s="177"/>
      <c r="D14" s="184"/>
      <c r="E14" s="84"/>
      <c r="F14" s="178"/>
      <c r="G14" s="178"/>
      <c r="H14" s="179"/>
      <c r="I14" s="173"/>
      <c r="J14" s="178"/>
      <c r="K14" s="180"/>
      <c r="L14" s="181"/>
      <c r="M14" s="84">
        <f t="shared" si="0"/>
        <v>6</v>
      </c>
      <c r="N14" s="84">
        <f>M14+20</f>
        <v>26</v>
      </c>
      <c r="P14" s="186">
        <f t="shared" si="1"/>
        <v>2</v>
      </c>
    </row>
    <row r="15" spans="1:16" ht="12" customHeight="1" x14ac:dyDescent="0.25">
      <c r="A15" s="187">
        <f t="shared" si="2"/>
        <v>3</v>
      </c>
      <c r="B15" s="188" t="s">
        <v>79</v>
      </c>
      <c r="C15" s="189" t="s">
        <v>305</v>
      </c>
      <c r="D15" s="16"/>
      <c r="E15" s="190">
        <v>2002</v>
      </c>
      <c r="F15" s="95" t="s">
        <v>306</v>
      </c>
      <c r="G15" s="191"/>
      <c r="H15" s="191">
        <v>30</v>
      </c>
      <c r="I15" s="16"/>
      <c r="J15" s="188"/>
      <c r="K15" s="16"/>
      <c r="L15" s="16"/>
      <c r="M15" s="84">
        <f t="shared" si="0"/>
        <v>6</v>
      </c>
      <c r="N15" s="18">
        <f>M15+30</f>
        <v>36</v>
      </c>
      <c r="P15" s="186">
        <f t="shared" si="1"/>
        <v>3</v>
      </c>
    </row>
    <row r="16" spans="1:16" ht="12" customHeight="1" x14ac:dyDescent="0.25">
      <c r="A16" s="187">
        <f t="shared" si="2"/>
        <v>4</v>
      </c>
      <c r="B16" s="84" t="s">
        <v>100</v>
      </c>
      <c r="C16" s="189" t="s">
        <v>307</v>
      </c>
      <c r="D16" s="16"/>
      <c r="E16" s="190">
        <v>2002</v>
      </c>
      <c r="F16" s="95" t="s">
        <v>306</v>
      </c>
      <c r="G16" s="191"/>
      <c r="H16" s="191">
        <v>30</v>
      </c>
      <c r="I16" s="16"/>
      <c r="J16" s="188"/>
      <c r="K16" s="16"/>
      <c r="L16" s="16"/>
      <c r="M16" s="84">
        <f t="shared" si="0"/>
        <v>6</v>
      </c>
      <c r="N16" s="18">
        <f>M16+40</f>
        <v>46</v>
      </c>
      <c r="P16" s="186">
        <f t="shared" si="1"/>
        <v>4</v>
      </c>
    </row>
    <row r="17" spans="1:16" ht="12" customHeight="1" x14ac:dyDescent="0.25">
      <c r="A17" s="187">
        <f t="shared" si="2"/>
        <v>5</v>
      </c>
      <c r="B17" s="84" t="s">
        <v>117</v>
      </c>
      <c r="C17" s="189" t="s">
        <v>319</v>
      </c>
      <c r="D17" s="16"/>
      <c r="E17" s="190">
        <v>1998</v>
      </c>
      <c r="F17" s="95" t="s">
        <v>306</v>
      </c>
      <c r="G17" s="191"/>
      <c r="H17" s="191">
        <v>30</v>
      </c>
      <c r="I17" s="16"/>
      <c r="J17" s="188"/>
      <c r="K17" s="16"/>
      <c r="L17" s="16"/>
      <c r="M17" s="84">
        <f t="shared" si="0"/>
        <v>6</v>
      </c>
      <c r="N17" s="18">
        <f>M17+50</f>
        <v>56</v>
      </c>
      <c r="P17" s="186">
        <f t="shared" si="1"/>
        <v>5</v>
      </c>
    </row>
    <row r="18" spans="1:16" ht="12" customHeight="1" x14ac:dyDescent="0.25">
      <c r="A18" s="187">
        <f t="shared" si="2"/>
        <v>6</v>
      </c>
      <c r="B18" s="188" t="s">
        <v>76</v>
      </c>
      <c r="C18" s="189" t="s">
        <v>320</v>
      </c>
      <c r="D18" s="16"/>
      <c r="E18" s="190">
        <v>2002</v>
      </c>
      <c r="F18" s="95" t="s">
        <v>306</v>
      </c>
      <c r="G18" s="191"/>
      <c r="H18" s="191">
        <v>30</v>
      </c>
      <c r="I18" s="16"/>
      <c r="J18" s="188"/>
      <c r="K18" s="16"/>
      <c r="L18" s="16"/>
      <c r="M18" s="84">
        <f t="shared" si="0"/>
        <v>1</v>
      </c>
      <c r="N18" s="84">
        <f>M18+10</f>
        <v>11</v>
      </c>
      <c r="O18" t="s">
        <v>357</v>
      </c>
      <c r="P18" s="186">
        <f t="shared" si="1"/>
        <v>6</v>
      </c>
    </row>
    <row r="19" spans="1:16" ht="12" customHeight="1" x14ac:dyDescent="0.25">
      <c r="A19" s="187">
        <f t="shared" si="2"/>
        <v>7</v>
      </c>
      <c r="B19" s="188" t="s">
        <v>262</v>
      </c>
      <c r="C19" s="189" t="s">
        <v>321</v>
      </c>
      <c r="D19" s="16"/>
      <c r="E19" s="190">
        <v>2001</v>
      </c>
      <c r="F19" s="95" t="s">
        <v>306</v>
      </c>
      <c r="G19" s="191"/>
      <c r="H19" s="191">
        <v>30</v>
      </c>
      <c r="I19" s="16"/>
      <c r="J19" s="188"/>
      <c r="K19" s="16"/>
      <c r="L19" s="16"/>
      <c r="M19" s="84">
        <f t="shared" si="0"/>
        <v>1</v>
      </c>
      <c r="N19" s="84">
        <f>M19+20</f>
        <v>21</v>
      </c>
      <c r="P19" s="186">
        <f t="shared" si="1"/>
        <v>7</v>
      </c>
    </row>
    <row r="20" spans="1:16" ht="12" customHeight="1" x14ac:dyDescent="0.25">
      <c r="A20" s="187">
        <f t="shared" si="2"/>
        <v>8</v>
      </c>
      <c r="B20" s="188" t="s">
        <v>79</v>
      </c>
      <c r="C20" s="189" t="s">
        <v>322</v>
      </c>
      <c r="D20" s="16"/>
      <c r="E20" s="190">
        <v>2006</v>
      </c>
      <c r="F20" s="95" t="s">
        <v>306</v>
      </c>
      <c r="G20" s="191"/>
      <c r="H20" s="191">
        <v>30</v>
      </c>
      <c r="I20" s="16"/>
      <c r="J20" s="188"/>
      <c r="K20" s="16"/>
      <c r="L20" s="16"/>
      <c r="M20" s="84">
        <f t="shared" si="0"/>
        <v>1</v>
      </c>
      <c r="N20" s="18">
        <f>M20+30</f>
        <v>31</v>
      </c>
      <c r="P20" s="186">
        <f t="shared" si="1"/>
        <v>8</v>
      </c>
    </row>
    <row r="21" spans="1:16" ht="12" customHeight="1" x14ac:dyDescent="0.25">
      <c r="A21" s="187">
        <f t="shared" si="2"/>
        <v>9</v>
      </c>
      <c r="B21" s="84" t="s">
        <v>100</v>
      </c>
      <c r="C21" s="189" t="s">
        <v>323</v>
      </c>
      <c r="D21" s="16"/>
      <c r="E21" s="190">
        <v>2001</v>
      </c>
      <c r="F21" s="95" t="s">
        <v>306</v>
      </c>
      <c r="G21" s="191"/>
      <c r="H21" s="191">
        <v>30</v>
      </c>
      <c r="I21" s="16"/>
      <c r="J21" s="188"/>
      <c r="K21" s="16"/>
      <c r="L21" s="16"/>
      <c r="M21" s="84">
        <f t="shared" si="0"/>
        <v>1</v>
      </c>
      <c r="N21" s="18">
        <f>M21+40</f>
        <v>41</v>
      </c>
      <c r="P21" s="186">
        <f t="shared" si="1"/>
        <v>9</v>
      </c>
    </row>
    <row r="22" spans="1:16" ht="12" customHeight="1" x14ac:dyDescent="0.25">
      <c r="A22" s="187">
        <f t="shared" si="2"/>
        <v>10</v>
      </c>
      <c r="B22" s="188" t="s">
        <v>262</v>
      </c>
      <c r="C22" s="189" t="s">
        <v>358</v>
      </c>
      <c r="D22" s="16"/>
      <c r="E22" s="190">
        <v>2001</v>
      </c>
      <c r="F22" s="95" t="s">
        <v>306</v>
      </c>
      <c r="G22" s="191"/>
      <c r="H22" s="191">
        <v>29.8</v>
      </c>
      <c r="I22" s="16"/>
      <c r="J22" s="188"/>
      <c r="K22" s="16"/>
      <c r="L22" s="16"/>
      <c r="M22" s="84">
        <f t="shared" si="0"/>
        <v>1</v>
      </c>
      <c r="N22" s="18">
        <f>M22+50</f>
        <v>51</v>
      </c>
      <c r="P22" s="186">
        <f t="shared" si="1"/>
        <v>0</v>
      </c>
    </row>
    <row r="23" spans="1:16" ht="12" customHeight="1" x14ac:dyDescent="0.25">
      <c r="A23" s="187">
        <f t="shared" si="2"/>
        <v>11</v>
      </c>
      <c r="B23" s="188" t="s">
        <v>261</v>
      </c>
      <c r="C23" s="189" t="s">
        <v>359</v>
      </c>
      <c r="D23" s="16"/>
      <c r="E23" s="190">
        <v>2000</v>
      </c>
      <c r="F23" s="95" t="s">
        <v>306</v>
      </c>
      <c r="G23" s="191"/>
      <c r="H23" s="191">
        <v>29.8</v>
      </c>
      <c r="I23" s="16"/>
      <c r="J23" s="188"/>
      <c r="K23" s="16"/>
      <c r="L23" s="16"/>
      <c r="M23" s="84">
        <f t="shared" si="0"/>
        <v>5</v>
      </c>
      <c r="N23" s="18">
        <f>M23+50</f>
        <v>55</v>
      </c>
      <c r="P23" s="186">
        <f t="shared" si="1"/>
        <v>1</v>
      </c>
    </row>
    <row r="24" spans="1:16" ht="12" customHeight="1" x14ac:dyDescent="0.25">
      <c r="A24" s="187">
        <f t="shared" si="2"/>
        <v>12</v>
      </c>
      <c r="B24" s="188" t="s">
        <v>262</v>
      </c>
      <c r="C24" s="189" t="s">
        <v>360</v>
      </c>
      <c r="D24" s="16"/>
      <c r="E24" s="190">
        <v>2001</v>
      </c>
      <c r="F24" s="95" t="s">
        <v>306</v>
      </c>
      <c r="G24" s="191"/>
      <c r="H24" s="191">
        <v>29.8</v>
      </c>
      <c r="I24" s="16"/>
      <c r="J24" s="188"/>
      <c r="K24" s="16"/>
      <c r="L24" s="16"/>
      <c r="M24" s="84">
        <f t="shared" si="0"/>
        <v>5</v>
      </c>
      <c r="N24" s="18">
        <f>M24+60</f>
        <v>65</v>
      </c>
      <c r="P24" s="186">
        <f t="shared" si="1"/>
        <v>2</v>
      </c>
    </row>
    <row r="25" spans="1:16" ht="12" customHeight="1" x14ac:dyDescent="0.25">
      <c r="A25" s="187">
        <f t="shared" si="2"/>
        <v>13</v>
      </c>
      <c r="B25" s="188" t="s">
        <v>261</v>
      </c>
      <c r="C25" s="189" t="s">
        <v>361</v>
      </c>
      <c r="D25" s="16"/>
      <c r="E25" s="190">
        <v>2000</v>
      </c>
      <c r="F25" s="95" t="s">
        <v>306</v>
      </c>
      <c r="G25" s="191"/>
      <c r="H25" s="191">
        <v>29.8</v>
      </c>
      <c r="I25" s="16"/>
      <c r="J25" s="188"/>
      <c r="K25" s="16"/>
      <c r="L25" s="16"/>
      <c r="M25" s="84">
        <f t="shared" si="0"/>
        <v>5</v>
      </c>
      <c r="N25" s="84">
        <f>M25+10</f>
        <v>15</v>
      </c>
      <c r="P25" s="186">
        <f t="shared" si="1"/>
        <v>3</v>
      </c>
    </row>
    <row r="26" spans="1:16" ht="12" customHeight="1" x14ac:dyDescent="0.25">
      <c r="A26" s="187">
        <f t="shared" si="2"/>
        <v>14</v>
      </c>
      <c r="B26" s="188" t="s">
        <v>79</v>
      </c>
      <c r="C26" s="189" t="s">
        <v>362</v>
      </c>
      <c r="D26" s="16"/>
      <c r="E26" s="190">
        <v>2005</v>
      </c>
      <c r="F26" s="95" t="s">
        <v>306</v>
      </c>
      <c r="G26" s="191"/>
      <c r="H26" s="191">
        <v>29.8</v>
      </c>
      <c r="I26" s="16"/>
      <c r="J26" s="188"/>
      <c r="K26" s="16"/>
      <c r="L26" s="16"/>
      <c r="M26" s="84">
        <f t="shared" si="0"/>
        <v>5</v>
      </c>
      <c r="N26" s="84">
        <f>M26+20</f>
        <v>25</v>
      </c>
      <c r="P26" s="186">
        <f t="shared" si="1"/>
        <v>4</v>
      </c>
    </row>
    <row r="27" spans="1:16" ht="12" customHeight="1" x14ac:dyDescent="0.25">
      <c r="A27" s="187">
        <f t="shared" si="2"/>
        <v>15</v>
      </c>
      <c r="B27" s="84" t="s">
        <v>158</v>
      </c>
      <c r="C27" s="189" t="s">
        <v>308</v>
      </c>
      <c r="D27" s="16"/>
      <c r="E27" s="190">
        <v>2000</v>
      </c>
      <c r="F27" s="95" t="s">
        <v>306</v>
      </c>
      <c r="G27" s="191"/>
      <c r="H27" s="191">
        <v>29.8</v>
      </c>
      <c r="I27" s="16"/>
      <c r="J27" s="188"/>
      <c r="K27" s="16"/>
      <c r="L27" s="16"/>
      <c r="M27" s="84">
        <f t="shared" si="0"/>
        <v>5</v>
      </c>
      <c r="N27" s="18">
        <f>M27+30</f>
        <v>35</v>
      </c>
      <c r="P27" s="186">
        <f t="shared" si="1"/>
        <v>5</v>
      </c>
    </row>
    <row r="28" spans="1:16" ht="12" customHeight="1" x14ac:dyDescent="0.25">
      <c r="A28" s="187">
        <f t="shared" si="2"/>
        <v>16</v>
      </c>
      <c r="B28" s="188" t="s">
        <v>260</v>
      </c>
      <c r="C28" s="189" t="s">
        <v>309</v>
      </c>
      <c r="D28" s="16"/>
      <c r="E28" s="190">
        <v>1999</v>
      </c>
      <c r="F28" s="95" t="s">
        <v>306</v>
      </c>
      <c r="G28" s="191"/>
      <c r="H28" s="191">
        <v>29.7</v>
      </c>
      <c r="I28" s="16"/>
      <c r="J28" s="188"/>
      <c r="K28" s="16" t="s">
        <v>310</v>
      </c>
      <c r="L28" s="16"/>
      <c r="M28" s="84">
        <f t="shared" si="0"/>
        <v>2</v>
      </c>
      <c r="N28" s="18">
        <f>M28+40</f>
        <v>42</v>
      </c>
      <c r="P28" s="186">
        <f t="shared" si="1"/>
        <v>6</v>
      </c>
    </row>
    <row r="29" spans="1:16" ht="12" customHeight="1" x14ac:dyDescent="0.25">
      <c r="A29" s="187">
        <f t="shared" si="2"/>
        <v>17</v>
      </c>
      <c r="B29" s="84" t="s">
        <v>117</v>
      </c>
      <c r="C29" s="189" t="s">
        <v>311</v>
      </c>
      <c r="D29" s="16"/>
      <c r="E29" s="190">
        <v>1999</v>
      </c>
      <c r="F29" s="95" t="s">
        <v>306</v>
      </c>
      <c r="G29" s="191"/>
      <c r="H29" s="191">
        <v>29.7</v>
      </c>
      <c r="I29" s="16"/>
      <c r="J29" s="188"/>
      <c r="K29" s="16" t="s">
        <v>310</v>
      </c>
      <c r="L29" s="16"/>
      <c r="M29" s="84">
        <f t="shared" si="0"/>
        <v>2</v>
      </c>
      <c r="N29" s="18">
        <f>M29+50</f>
        <v>52</v>
      </c>
      <c r="P29" s="186">
        <f t="shared" si="1"/>
        <v>7</v>
      </c>
    </row>
    <row r="30" spans="1:16" ht="12" customHeight="1" x14ac:dyDescent="0.25">
      <c r="A30" s="187">
        <f t="shared" si="2"/>
        <v>18</v>
      </c>
      <c r="B30" s="188" t="s">
        <v>260</v>
      </c>
      <c r="C30" s="189" t="s">
        <v>313</v>
      </c>
      <c r="D30" s="16"/>
      <c r="E30" s="190">
        <v>1999</v>
      </c>
      <c r="F30" s="95" t="s">
        <v>306</v>
      </c>
      <c r="G30" s="191"/>
      <c r="H30" s="191">
        <v>29.5</v>
      </c>
      <c r="I30" s="16"/>
      <c r="J30" s="188"/>
      <c r="K30" s="192"/>
      <c r="L30" s="16"/>
      <c r="M30" s="84">
        <f t="shared" si="0"/>
        <v>2</v>
      </c>
      <c r="N30" s="18">
        <f>M30+60</f>
        <v>62</v>
      </c>
      <c r="P30" s="186">
        <f t="shared" si="1"/>
        <v>8</v>
      </c>
    </row>
    <row r="31" spans="1:16" ht="12" customHeight="1" x14ac:dyDescent="0.25">
      <c r="A31" s="187">
        <f t="shared" si="2"/>
        <v>19</v>
      </c>
      <c r="B31" s="84" t="s">
        <v>158</v>
      </c>
      <c r="C31" s="189" t="s">
        <v>363</v>
      </c>
      <c r="D31" s="16"/>
      <c r="E31" s="190">
        <v>1999</v>
      </c>
      <c r="F31" s="95" t="s">
        <v>306</v>
      </c>
      <c r="G31" s="191"/>
      <c r="H31" s="191">
        <v>29.5</v>
      </c>
      <c r="I31" s="16"/>
      <c r="J31" s="188"/>
      <c r="K31" s="16"/>
      <c r="L31" s="16"/>
      <c r="M31" s="84">
        <f t="shared" si="0"/>
        <v>2</v>
      </c>
      <c r="N31" s="84">
        <f>M31+10</f>
        <v>12</v>
      </c>
      <c r="P31" s="186">
        <f t="shared" si="1"/>
        <v>9</v>
      </c>
    </row>
    <row r="32" spans="1:16" ht="12" customHeight="1" x14ac:dyDescent="0.25">
      <c r="A32" s="187">
        <f t="shared" si="2"/>
        <v>20</v>
      </c>
      <c r="B32" s="188" t="s">
        <v>84</v>
      </c>
      <c r="C32" s="189" t="s">
        <v>364</v>
      </c>
      <c r="D32" s="16"/>
      <c r="E32" s="190">
        <v>1998</v>
      </c>
      <c r="F32" s="95" t="s">
        <v>306</v>
      </c>
      <c r="G32" s="191"/>
      <c r="H32" s="191">
        <v>29.5</v>
      </c>
      <c r="I32" s="16"/>
      <c r="J32" s="188"/>
      <c r="K32" s="16"/>
      <c r="L32" s="16"/>
      <c r="M32" s="84">
        <f t="shared" si="0"/>
        <v>2</v>
      </c>
      <c r="N32" s="84">
        <f>M32+20</f>
        <v>22</v>
      </c>
      <c r="P32" s="186">
        <f t="shared" si="1"/>
        <v>0</v>
      </c>
    </row>
    <row r="33" spans="1:16" ht="12" customHeight="1" x14ac:dyDescent="0.25">
      <c r="A33" s="187">
        <f t="shared" si="2"/>
        <v>21</v>
      </c>
      <c r="B33" s="188" t="s">
        <v>79</v>
      </c>
      <c r="C33" s="189" t="s">
        <v>365</v>
      </c>
      <c r="D33" s="16"/>
      <c r="E33" s="190">
        <v>2008</v>
      </c>
      <c r="F33" s="95" t="s">
        <v>306</v>
      </c>
      <c r="G33" s="191"/>
      <c r="H33" s="191">
        <v>29.5</v>
      </c>
      <c r="I33" s="16"/>
      <c r="J33" s="188"/>
      <c r="K33" s="16"/>
      <c r="L33" s="16"/>
      <c r="M33" s="84">
        <f t="shared" si="0"/>
        <v>4</v>
      </c>
      <c r="N33" s="18">
        <f>M33+30</f>
        <v>34</v>
      </c>
      <c r="P33" s="186">
        <f t="shared" si="1"/>
        <v>1</v>
      </c>
    </row>
    <row r="34" spans="1:16" ht="12" customHeight="1" x14ac:dyDescent="0.25">
      <c r="A34" s="187">
        <f t="shared" si="2"/>
        <v>22</v>
      </c>
      <c r="B34" s="188" t="s">
        <v>84</v>
      </c>
      <c r="C34" s="189" t="s">
        <v>314</v>
      </c>
      <c r="D34" s="16"/>
      <c r="E34" s="190">
        <v>2003</v>
      </c>
      <c r="F34" s="95" t="s">
        <v>306</v>
      </c>
      <c r="G34" s="191"/>
      <c r="H34" s="191">
        <v>27.5</v>
      </c>
      <c r="I34" s="16"/>
      <c r="J34" s="188"/>
      <c r="K34" s="16"/>
      <c r="L34" s="16"/>
      <c r="M34" s="84">
        <f t="shared" si="0"/>
        <v>4</v>
      </c>
      <c r="N34" s="18">
        <f>M34+40</f>
        <v>44</v>
      </c>
      <c r="P34" s="186">
        <f t="shared" si="1"/>
        <v>2</v>
      </c>
    </row>
    <row r="35" spans="1:16" ht="12" customHeight="1" x14ac:dyDescent="0.25">
      <c r="A35" s="187">
        <f t="shared" si="2"/>
        <v>23</v>
      </c>
      <c r="B35" s="84" t="s">
        <v>158</v>
      </c>
      <c r="C35" s="189" t="s">
        <v>366</v>
      </c>
      <c r="D35" s="16"/>
      <c r="E35" s="190">
        <v>1996</v>
      </c>
      <c r="F35" s="95" t="s">
        <v>306</v>
      </c>
      <c r="G35" s="191"/>
      <c r="H35" s="191">
        <v>27.5</v>
      </c>
      <c r="I35" s="16"/>
      <c r="J35" s="188"/>
      <c r="K35" s="16"/>
      <c r="L35" s="16"/>
      <c r="M35" s="84">
        <f t="shared" si="0"/>
        <v>4</v>
      </c>
      <c r="N35" s="18">
        <f>M35+50</f>
        <v>54</v>
      </c>
      <c r="P35" s="186">
        <f t="shared" si="1"/>
        <v>3</v>
      </c>
    </row>
    <row r="36" spans="1:16" ht="12" customHeight="1" x14ac:dyDescent="0.25">
      <c r="A36" s="187">
        <f t="shared" si="2"/>
        <v>24</v>
      </c>
      <c r="B36" s="84" t="s">
        <v>117</v>
      </c>
      <c r="C36" s="189" t="s">
        <v>367</v>
      </c>
      <c r="D36" s="16"/>
      <c r="E36" s="190">
        <v>2000</v>
      </c>
      <c r="F36" s="95" t="s">
        <v>306</v>
      </c>
      <c r="G36" s="191"/>
      <c r="H36" s="191">
        <v>26.9</v>
      </c>
      <c r="I36" s="16"/>
      <c r="J36" s="188"/>
      <c r="K36" s="192"/>
      <c r="L36" s="16"/>
      <c r="M36" s="84">
        <f t="shared" si="0"/>
        <v>4</v>
      </c>
      <c r="N36" s="18">
        <f>M36+60</f>
        <v>64</v>
      </c>
      <c r="P36" s="186">
        <f t="shared" si="1"/>
        <v>4</v>
      </c>
    </row>
    <row r="37" spans="1:16" ht="12" customHeight="1" x14ac:dyDescent="0.25">
      <c r="A37" s="187">
        <f t="shared" si="2"/>
        <v>25</v>
      </c>
      <c r="B37" s="188" t="s">
        <v>76</v>
      </c>
      <c r="C37" s="189" t="s">
        <v>324</v>
      </c>
      <c r="D37" s="16"/>
      <c r="E37" s="190">
        <v>1998</v>
      </c>
      <c r="F37" s="95" t="s">
        <v>306</v>
      </c>
      <c r="G37" s="191"/>
      <c r="H37" s="191">
        <v>25.2</v>
      </c>
      <c r="I37" s="16"/>
      <c r="J37" s="188"/>
      <c r="K37" s="192"/>
      <c r="L37" s="16"/>
      <c r="M37" s="84">
        <f t="shared" si="0"/>
        <v>4</v>
      </c>
      <c r="N37" s="84">
        <f>M37+10</f>
        <v>14</v>
      </c>
      <c r="P37" s="186">
        <f t="shared" si="1"/>
        <v>5</v>
      </c>
    </row>
    <row r="38" spans="1:16" ht="12" customHeight="1" x14ac:dyDescent="0.25">
      <c r="A38" s="187">
        <f t="shared" si="2"/>
        <v>26</v>
      </c>
      <c r="B38" s="84" t="s">
        <v>117</v>
      </c>
      <c r="C38" s="189" t="s">
        <v>325</v>
      </c>
      <c r="D38" s="16"/>
      <c r="E38" s="190">
        <v>2006</v>
      </c>
      <c r="F38" s="95" t="s">
        <v>306</v>
      </c>
      <c r="G38" s="191"/>
      <c r="H38" s="191">
        <v>23.2</v>
      </c>
      <c r="I38" s="16"/>
      <c r="J38" s="16"/>
      <c r="K38" s="16"/>
      <c r="L38" s="16"/>
      <c r="M38" s="84">
        <f t="shared" si="0"/>
        <v>3</v>
      </c>
      <c r="N38" s="84">
        <f>M38+20</f>
        <v>23</v>
      </c>
      <c r="P38" s="186">
        <f t="shared" si="1"/>
        <v>6</v>
      </c>
    </row>
    <row r="39" spans="1:16" ht="12" customHeight="1" x14ac:dyDescent="0.25">
      <c r="A39" s="187">
        <f t="shared" si="2"/>
        <v>27</v>
      </c>
      <c r="B39" s="188" t="s">
        <v>94</v>
      </c>
      <c r="C39" s="189" t="s">
        <v>368</v>
      </c>
      <c r="D39" s="16"/>
      <c r="E39" s="190">
        <v>2002</v>
      </c>
      <c r="F39" s="95" t="s">
        <v>306</v>
      </c>
      <c r="G39" s="191"/>
      <c r="H39" s="191">
        <v>22.8</v>
      </c>
      <c r="I39" s="16"/>
      <c r="J39" s="188"/>
      <c r="K39" s="16"/>
      <c r="L39" s="16"/>
      <c r="M39" s="84">
        <f t="shared" si="0"/>
        <v>3</v>
      </c>
      <c r="N39" s="18">
        <f>M39+30</f>
        <v>33</v>
      </c>
      <c r="P39" s="186">
        <f t="shared" si="1"/>
        <v>7</v>
      </c>
    </row>
    <row r="40" spans="1:16" ht="12" customHeight="1" x14ac:dyDescent="0.25">
      <c r="A40" s="187">
        <f t="shared" si="2"/>
        <v>28</v>
      </c>
      <c r="B40" s="188" t="s">
        <v>79</v>
      </c>
      <c r="C40" s="189" t="s">
        <v>369</v>
      </c>
      <c r="D40" s="16"/>
      <c r="E40" s="190">
        <v>2007</v>
      </c>
      <c r="F40" s="95" t="s">
        <v>306</v>
      </c>
      <c r="G40" s="191"/>
      <c r="H40" s="191">
        <v>22.5</v>
      </c>
      <c r="I40" s="16"/>
      <c r="J40" s="188"/>
      <c r="K40" s="16"/>
      <c r="L40" s="16"/>
      <c r="M40" s="84">
        <f t="shared" si="0"/>
        <v>3</v>
      </c>
      <c r="N40" s="18">
        <f>M40+40</f>
        <v>43</v>
      </c>
      <c r="P40" s="186">
        <f t="shared" si="1"/>
        <v>8</v>
      </c>
    </row>
    <row r="41" spans="1:16" ht="12" customHeight="1" x14ac:dyDescent="0.25">
      <c r="A41" s="187">
        <f t="shared" si="2"/>
        <v>29</v>
      </c>
      <c r="B41" s="188" t="s">
        <v>76</v>
      </c>
      <c r="C41" s="189" t="s">
        <v>370</v>
      </c>
      <c r="D41" s="16"/>
      <c r="E41" s="190">
        <v>1999</v>
      </c>
      <c r="F41" s="95" t="s">
        <v>306</v>
      </c>
      <c r="G41" s="191"/>
      <c r="H41" s="191">
        <v>22.1</v>
      </c>
      <c r="I41" s="16"/>
      <c r="J41" s="188"/>
      <c r="K41" s="16"/>
      <c r="L41" s="16"/>
      <c r="M41" s="84">
        <f t="shared" si="0"/>
        <v>3</v>
      </c>
      <c r="N41" s="18">
        <f>M41+50</f>
        <v>53</v>
      </c>
      <c r="P41" s="186">
        <f t="shared" si="1"/>
        <v>9</v>
      </c>
    </row>
    <row r="42" spans="1:16" ht="12" customHeight="1" x14ac:dyDescent="0.25">
      <c r="A42" s="187">
        <f t="shared" si="2"/>
        <v>30</v>
      </c>
      <c r="B42" s="188" t="s">
        <v>76</v>
      </c>
      <c r="C42" s="189" t="s">
        <v>371</v>
      </c>
      <c r="D42" s="16"/>
      <c r="E42" s="190">
        <v>1998</v>
      </c>
      <c r="F42" s="95" t="s">
        <v>306</v>
      </c>
      <c r="G42" s="191"/>
      <c r="H42" s="191">
        <v>21.8</v>
      </c>
      <c r="I42" s="16"/>
      <c r="J42" s="188"/>
      <c r="K42" s="16"/>
      <c r="L42" s="16"/>
      <c r="M42" s="84">
        <f t="shared" si="0"/>
        <v>3</v>
      </c>
      <c r="N42" s="18">
        <f>M42+60</f>
        <v>63</v>
      </c>
      <c r="P42" s="186">
        <f t="shared" si="1"/>
        <v>0</v>
      </c>
    </row>
    <row r="43" spans="1:16" ht="12" customHeight="1" x14ac:dyDescent="0.25">
      <c r="A43" s="187">
        <f t="shared" si="2"/>
        <v>31</v>
      </c>
      <c r="B43" s="188" t="s">
        <v>261</v>
      </c>
      <c r="C43" s="189" t="s">
        <v>372</v>
      </c>
      <c r="D43" s="16"/>
      <c r="E43" s="190">
        <v>2000</v>
      </c>
      <c r="F43" s="95" t="s">
        <v>306</v>
      </c>
      <c r="G43" s="191"/>
      <c r="H43" s="191">
        <v>21.5</v>
      </c>
      <c r="I43" s="16"/>
      <c r="J43" s="188"/>
      <c r="K43" s="192"/>
      <c r="L43" s="16"/>
      <c r="M43" s="84" t="b">
        <f t="shared" si="0"/>
        <v>0</v>
      </c>
      <c r="N43" s="84">
        <f>M43+10</f>
        <v>10</v>
      </c>
      <c r="P43" s="186">
        <f t="shared" si="1"/>
        <v>1</v>
      </c>
    </row>
    <row r="44" spans="1:16" ht="12" customHeight="1" x14ac:dyDescent="0.25">
      <c r="A44" s="187">
        <f t="shared" si="2"/>
        <v>32</v>
      </c>
      <c r="B44" s="84" t="s">
        <v>100</v>
      </c>
      <c r="C44" s="189" t="s">
        <v>315</v>
      </c>
      <c r="D44" s="16"/>
      <c r="E44" s="190">
        <v>1996</v>
      </c>
      <c r="F44" s="95" t="s">
        <v>306</v>
      </c>
      <c r="G44" s="191"/>
      <c r="H44" s="191">
        <v>20.399999999999999</v>
      </c>
      <c r="I44" s="16"/>
      <c r="J44" s="188"/>
      <c r="K44" s="16"/>
      <c r="L44" s="16"/>
      <c r="M44" s="84" t="b">
        <f t="shared" si="0"/>
        <v>0</v>
      </c>
      <c r="N44" s="84">
        <f>M44+20</f>
        <v>20</v>
      </c>
      <c r="P44" s="186">
        <f t="shared" si="1"/>
        <v>2</v>
      </c>
    </row>
    <row r="45" spans="1:16" ht="12" customHeight="1" x14ac:dyDescent="0.25">
      <c r="A45" s="187">
        <f t="shared" si="2"/>
        <v>33</v>
      </c>
      <c r="B45" s="188" t="s">
        <v>76</v>
      </c>
      <c r="C45" s="189" t="s">
        <v>316</v>
      </c>
      <c r="D45" s="16"/>
      <c r="E45" s="190">
        <v>2001</v>
      </c>
      <c r="F45" s="95" t="s">
        <v>306</v>
      </c>
      <c r="G45" s="191"/>
      <c r="H45" s="191">
        <v>20</v>
      </c>
      <c r="I45" s="16"/>
      <c r="J45" s="188"/>
      <c r="K45" s="16"/>
      <c r="L45" s="16"/>
      <c r="M45" s="84" t="b">
        <f t="shared" si="0"/>
        <v>0</v>
      </c>
      <c r="N45" s="18">
        <f>M45+30</f>
        <v>30</v>
      </c>
      <c r="P45" s="186">
        <f t="shared" si="1"/>
        <v>3</v>
      </c>
    </row>
    <row r="46" spans="1:16" ht="12" customHeight="1" x14ac:dyDescent="0.25">
      <c r="A46" s="187">
        <f t="shared" si="2"/>
        <v>34</v>
      </c>
      <c r="B46" s="188" t="s">
        <v>79</v>
      </c>
      <c r="C46" s="189" t="s">
        <v>317</v>
      </c>
      <c r="D46" s="16"/>
      <c r="E46" s="190">
        <v>2004</v>
      </c>
      <c r="F46" s="95" t="s">
        <v>306</v>
      </c>
      <c r="G46" s="191"/>
      <c r="H46" s="191">
        <v>18.7</v>
      </c>
      <c r="I46" s="16"/>
      <c r="J46" s="188"/>
      <c r="K46" s="16"/>
      <c r="L46" s="16"/>
      <c r="M46" s="84" t="b">
        <f t="shared" si="0"/>
        <v>0</v>
      </c>
      <c r="N46" s="18">
        <f>M46+40</f>
        <v>40</v>
      </c>
      <c r="P46" s="186">
        <f t="shared" si="1"/>
        <v>4</v>
      </c>
    </row>
    <row r="47" spans="1:16" ht="12" customHeight="1" x14ac:dyDescent="0.25">
      <c r="A47" s="187">
        <f t="shared" si="2"/>
        <v>35</v>
      </c>
      <c r="B47" s="188" t="s">
        <v>79</v>
      </c>
      <c r="C47" s="189" t="s">
        <v>373</v>
      </c>
      <c r="D47" s="16"/>
      <c r="E47" s="190">
        <v>2002</v>
      </c>
      <c r="F47" s="95" t="s">
        <v>306</v>
      </c>
      <c r="G47" s="191"/>
      <c r="H47" s="191">
        <v>18.600000000000001</v>
      </c>
      <c r="I47" s="16"/>
      <c r="J47" s="188"/>
      <c r="K47" s="16"/>
      <c r="L47" s="16"/>
      <c r="M47" s="84" t="b">
        <f t="shared" si="0"/>
        <v>0</v>
      </c>
      <c r="N47" s="18">
        <f>M47+50</f>
        <v>50</v>
      </c>
      <c r="P47" s="186">
        <f t="shared" si="1"/>
        <v>5</v>
      </c>
    </row>
    <row r="48" spans="1:16" ht="12" customHeight="1" x14ac:dyDescent="0.25">
      <c r="A48" s="187">
        <f t="shared" si="2"/>
        <v>36</v>
      </c>
      <c r="B48" s="188" t="s">
        <v>76</v>
      </c>
      <c r="C48" s="189" t="s">
        <v>326</v>
      </c>
      <c r="D48" s="16"/>
      <c r="E48" s="190">
        <v>2000</v>
      </c>
      <c r="F48" s="95" t="s">
        <v>306</v>
      </c>
      <c r="G48" s="191"/>
      <c r="H48" s="191">
        <v>18.5</v>
      </c>
      <c r="I48" s="16"/>
      <c r="J48" s="188"/>
      <c r="K48" s="16"/>
      <c r="L48" s="16"/>
      <c r="M48" s="84" t="b">
        <f t="shared" si="0"/>
        <v>0</v>
      </c>
      <c r="N48" s="18">
        <f>M48+60</f>
        <v>60</v>
      </c>
      <c r="P48" s="186">
        <f t="shared" si="1"/>
        <v>6</v>
      </c>
    </row>
    <row r="49" spans="1:15" ht="12.75" customHeight="1" x14ac:dyDescent="0.25">
      <c r="A49" s="193"/>
      <c r="B49" s="96"/>
      <c r="C49" s="87"/>
      <c r="D49" s="87"/>
      <c r="E49" s="96"/>
      <c r="F49" s="87"/>
      <c r="G49" s="87"/>
      <c r="H49" s="194"/>
      <c r="I49" s="194"/>
      <c r="J49" s="96"/>
      <c r="K49" s="37"/>
      <c r="L49" s="112"/>
      <c r="M49" s="195"/>
      <c r="N49" s="195"/>
    </row>
    <row r="50" spans="1:15" ht="12.75" customHeight="1" x14ac:dyDescent="0.25">
      <c r="A50" s="193"/>
      <c r="B50" s="176" t="s">
        <v>318</v>
      </c>
      <c r="C50" s="87"/>
      <c r="D50" s="87"/>
      <c r="E50" s="96"/>
      <c r="F50" s="87"/>
      <c r="G50" s="87"/>
      <c r="H50" s="194"/>
      <c r="I50" s="194"/>
      <c r="J50" s="96"/>
      <c r="K50" s="37"/>
      <c r="L50" s="112"/>
      <c r="M50" s="195"/>
      <c r="N50" s="195"/>
    </row>
    <row r="51" spans="1:15" ht="15" customHeight="1" x14ac:dyDescent="0.25">
      <c r="A51" s="175"/>
      <c r="C51" s="177"/>
      <c r="D51" s="184" t="s">
        <v>304</v>
      </c>
      <c r="E51" s="185">
        <f>INT(A92/10)</f>
        <v>0</v>
      </c>
      <c r="F51" s="178"/>
      <c r="G51" s="178"/>
      <c r="H51" s="179"/>
      <c r="I51" s="173"/>
      <c r="J51" s="178"/>
      <c r="K51" s="180"/>
      <c r="L51" s="181"/>
      <c r="M51" s="84" t="s">
        <v>301</v>
      </c>
      <c r="N51" s="84" t="s">
        <v>302</v>
      </c>
    </row>
    <row r="52" spans="1:15" ht="15" customHeight="1" x14ac:dyDescent="0.25">
      <c r="A52" s="175">
        <v>1</v>
      </c>
      <c r="B52" s="84"/>
      <c r="C52" s="177"/>
      <c r="D52" s="178"/>
      <c r="E52" s="84"/>
      <c r="F52" s="178"/>
      <c r="G52" s="178"/>
      <c r="H52" s="179"/>
      <c r="I52" s="173"/>
      <c r="J52" s="178"/>
      <c r="K52" s="180"/>
      <c r="L52" s="181"/>
      <c r="M52" s="84">
        <f t="shared" ref="M52:M91" si="3">IF($A52/$M$7&lt;=1, 8, IF($A52/$M$7&lt;=2, 1, IF($A52/$M$7&lt;=3, 7, IF($A52/$M$7&lt;=4, 2, IF($A52/$M$7&lt;=5, 6, IF($A52/$M$7&lt;=6, 3, IF($A52/$M$7&lt;=7, 5, IF($A52/$M$7&lt;=8, 4))))))))</f>
        <v>8</v>
      </c>
      <c r="N52" s="84">
        <f>M52+10</f>
        <v>18</v>
      </c>
    </row>
    <row r="53" spans="1:15" ht="15" customHeight="1" x14ac:dyDescent="0.25">
      <c r="A53" s="187">
        <f t="shared" ref="A53:A91" si="4">A52+1</f>
        <v>2</v>
      </c>
      <c r="B53" s="84"/>
      <c r="C53" s="177"/>
      <c r="D53" s="184"/>
      <c r="E53" s="84"/>
      <c r="F53" s="178"/>
      <c r="G53" s="178"/>
      <c r="H53" s="179"/>
      <c r="I53" s="173"/>
      <c r="J53" s="178"/>
      <c r="K53" s="180"/>
      <c r="L53" s="181"/>
      <c r="M53" s="84">
        <f t="shared" si="3"/>
        <v>8</v>
      </c>
      <c r="N53" s="84">
        <f>M53+20</f>
        <v>28</v>
      </c>
    </row>
    <row r="54" spans="1:15" ht="15" customHeight="1" x14ac:dyDescent="0.25">
      <c r="A54" s="187">
        <f t="shared" si="4"/>
        <v>3</v>
      </c>
      <c r="B54" s="84"/>
      <c r="C54" s="177"/>
      <c r="D54" s="184"/>
      <c r="E54" s="84"/>
      <c r="F54" s="178"/>
      <c r="G54" s="178"/>
      <c r="H54" s="179"/>
      <c r="I54" s="173"/>
      <c r="J54" s="178"/>
      <c r="K54" s="180"/>
      <c r="L54" s="181"/>
      <c r="M54" s="84">
        <f t="shared" si="3"/>
        <v>8</v>
      </c>
      <c r="N54" s="84">
        <f>M54+30</f>
        <v>38</v>
      </c>
    </row>
    <row r="55" spans="1:15" ht="15" customHeight="1" x14ac:dyDescent="0.25">
      <c r="A55" s="187">
        <f t="shared" si="4"/>
        <v>4</v>
      </c>
      <c r="B55" s="84"/>
      <c r="C55" s="177"/>
      <c r="D55" s="184"/>
      <c r="E55" s="84"/>
      <c r="F55" s="178"/>
      <c r="G55" s="178"/>
      <c r="H55" s="179"/>
      <c r="I55" s="173"/>
      <c r="J55" s="178"/>
      <c r="K55" s="180"/>
      <c r="L55" s="181"/>
      <c r="M55" s="84">
        <f t="shared" si="3"/>
        <v>8</v>
      </c>
      <c r="N55" s="84">
        <f>M55+40</f>
        <v>48</v>
      </c>
    </row>
    <row r="56" spans="1:15" ht="15" customHeight="1" x14ac:dyDescent="0.25">
      <c r="A56" s="187">
        <f t="shared" si="4"/>
        <v>5</v>
      </c>
      <c r="B56" s="84"/>
      <c r="C56" s="177"/>
      <c r="D56" s="184"/>
      <c r="E56" s="84"/>
      <c r="F56" s="178"/>
      <c r="G56" s="178"/>
      <c r="H56" s="179"/>
      <c r="I56" s="173"/>
      <c r="J56" s="178"/>
      <c r="K56" s="180"/>
      <c r="L56" s="181"/>
      <c r="M56" s="84">
        <f t="shared" si="3"/>
        <v>8</v>
      </c>
      <c r="N56" s="84">
        <f>M56+50</f>
        <v>58</v>
      </c>
    </row>
    <row r="57" spans="1:15" ht="15" customHeight="1" x14ac:dyDescent="0.25">
      <c r="A57" s="187">
        <f t="shared" si="4"/>
        <v>6</v>
      </c>
      <c r="B57" s="84"/>
      <c r="C57" s="177"/>
      <c r="D57" s="184"/>
      <c r="E57" s="84"/>
      <c r="F57" s="178"/>
      <c r="G57" s="178"/>
      <c r="H57" s="179"/>
      <c r="I57" s="173"/>
      <c r="J57" s="178"/>
      <c r="K57" s="180"/>
      <c r="L57" s="181"/>
      <c r="M57" s="84">
        <f t="shared" si="3"/>
        <v>1</v>
      </c>
      <c r="N57" s="84">
        <f>M57+10</f>
        <v>11</v>
      </c>
      <c r="O57" t="s">
        <v>312</v>
      </c>
    </row>
    <row r="58" spans="1:15" ht="12" customHeight="1" x14ac:dyDescent="0.25">
      <c r="A58" s="187">
        <f t="shared" si="4"/>
        <v>7</v>
      </c>
      <c r="B58" s="188" t="s">
        <v>79</v>
      </c>
      <c r="C58" s="189" t="s">
        <v>305</v>
      </c>
      <c r="D58" s="16"/>
      <c r="E58" s="190">
        <v>2002</v>
      </c>
      <c r="F58" s="95" t="s">
        <v>306</v>
      </c>
      <c r="G58" s="191"/>
      <c r="H58" s="191">
        <v>30</v>
      </c>
      <c r="I58" s="16"/>
      <c r="J58" s="188"/>
      <c r="K58" s="16"/>
      <c r="L58" s="16"/>
      <c r="M58" s="84">
        <f t="shared" si="3"/>
        <v>1</v>
      </c>
      <c r="N58" s="84">
        <f>M58+20</f>
        <v>21</v>
      </c>
    </row>
    <row r="59" spans="1:15" ht="12" customHeight="1" x14ac:dyDescent="0.25">
      <c r="A59" s="187">
        <f t="shared" si="4"/>
        <v>8</v>
      </c>
      <c r="B59" s="84" t="s">
        <v>100</v>
      </c>
      <c r="C59" s="189" t="s">
        <v>307</v>
      </c>
      <c r="D59" s="16"/>
      <c r="E59" s="190">
        <v>2002</v>
      </c>
      <c r="F59" s="95" t="s">
        <v>306</v>
      </c>
      <c r="G59" s="191"/>
      <c r="H59" s="191">
        <v>30</v>
      </c>
      <c r="I59" s="16"/>
      <c r="J59" s="188"/>
      <c r="K59" s="16"/>
      <c r="L59" s="16"/>
      <c r="M59" s="84">
        <f t="shared" si="3"/>
        <v>1</v>
      </c>
      <c r="N59" s="84">
        <f>M59+30</f>
        <v>31</v>
      </c>
    </row>
    <row r="60" spans="1:15" ht="12" customHeight="1" x14ac:dyDescent="0.25">
      <c r="A60" s="187">
        <f t="shared" si="4"/>
        <v>9</v>
      </c>
      <c r="B60" s="84" t="s">
        <v>117</v>
      </c>
      <c r="C60" s="189" t="s">
        <v>319</v>
      </c>
      <c r="D60" s="16"/>
      <c r="E60" s="190">
        <v>1998</v>
      </c>
      <c r="F60" s="95" t="s">
        <v>306</v>
      </c>
      <c r="G60" s="191"/>
      <c r="H60" s="191">
        <v>30</v>
      </c>
      <c r="I60" s="16"/>
      <c r="J60" s="188"/>
      <c r="K60" s="16"/>
      <c r="L60" s="16"/>
      <c r="M60" s="84">
        <f t="shared" si="3"/>
        <v>1</v>
      </c>
      <c r="N60" s="84">
        <f>M60+40</f>
        <v>41</v>
      </c>
    </row>
    <row r="61" spans="1:15" ht="12" customHeight="1" x14ac:dyDescent="0.25">
      <c r="A61" s="187">
        <f t="shared" si="4"/>
        <v>10</v>
      </c>
      <c r="B61" s="188" t="s">
        <v>76</v>
      </c>
      <c r="C61" s="189" t="s">
        <v>320</v>
      </c>
      <c r="D61" s="16"/>
      <c r="E61" s="190">
        <v>2002</v>
      </c>
      <c r="F61" s="95" t="s">
        <v>306</v>
      </c>
      <c r="G61" s="191"/>
      <c r="H61" s="191">
        <v>30</v>
      </c>
      <c r="I61" s="16"/>
      <c r="J61" s="188"/>
      <c r="K61" s="16"/>
      <c r="L61" s="16"/>
      <c r="M61" s="84">
        <f t="shared" si="3"/>
        <v>1</v>
      </c>
      <c r="N61" s="84">
        <f>M61+50</f>
        <v>51</v>
      </c>
    </row>
    <row r="62" spans="1:15" ht="12" customHeight="1" x14ac:dyDescent="0.25">
      <c r="A62" s="187">
        <f t="shared" si="4"/>
        <v>11</v>
      </c>
      <c r="B62" s="188" t="s">
        <v>262</v>
      </c>
      <c r="C62" s="189" t="s">
        <v>321</v>
      </c>
      <c r="D62" s="16"/>
      <c r="E62" s="190">
        <v>2001</v>
      </c>
      <c r="F62" s="95" t="s">
        <v>306</v>
      </c>
      <c r="G62" s="191"/>
      <c r="H62" s="191">
        <v>30</v>
      </c>
      <c r="I62" s="16"/>
      <c r="J62" s="188"/>
      <c r="K62" s="16"/>
      <c r="L62" s="16"/>
      <c r="M62" s="84">
        <f t="shared" si="3"/>
        <v>7</v>
      </c>
      <c r="N62" s="84">
        <f>M62+10</f>
        <v>17</v>
      </c>
    </row>
    <row r="63" spans="1:15" ht="12" customHeight="1" x14ac:dyDescent="0.25">
      <c r="A63" s="187">
        <f t="shared" si="4"/>
        <v>12</v>
      </c>
      <c r="B63" s="188" t="s">
        <v>79</v>
      </c>
      <c r="C63" s="189" t="s">
        <v>322</v>
      </c>
      <c r="D63" s="16"/>
      <c r="E63" s="190">
        <v>2006</v>
      </c>
      <c r="F63" s="95" t="s">
        <v>306</v>
      </c>
      <c r="G63" s="191"/>
      <c r="H63" s="191">
        <v>30</v>
      </c>
      <c r="I63" s="16"/>
      <c r="J63" s="188"/>
      <c r="K63" s="16"/>
      <c r="L63" s="16"/>
      <c r="M63" s="84">
        <f t="shared" si="3"/>
        <v>7</v>
      </c>
      <c r="N63" s="84">
        <f>M63+20</f>
        <v>27</v>
      </c>
    </row>
    <row r="64" spans="1:15" ht="12" customHeight="1" x14ac:dyDescent="0.25">
      <c r="A64" s="187">
        <f t="shared" si="4"/>
        <v>13</v>
      </c>
      <c r="B64" s="84" t="s">
        <v>100</v>
      </c>
      <c r="C64" s="189" t="s">
        <v>323</v>
      </c>
      <c r="D64" s="16"/>
      <c r="E64" s="190">
        <v>2001</v>
      </c>
      <c r="F64" s="95" t="s">
        <v>306</v>
      </c>
      <c r="G64" s="191"/>
      <c r="H64" s="191">
        <v>30</v>
      </c>
      <c r="I64" s="16"/>
      <c r="J64" s="188"/>
      <c r="K64" s="16"/>
      <c r="L64" s="16"/>
      <c r="M64" s="84">
        <f t="shared" si="3"/>
        <v>7</v>
      </c>
      <c r="N64" s="84">
        <f>M64+30</f>
        <v>37</v>
      </c>
    </row>
    <row r="65" spans="1:14" ht="12" customHeight="1" x14ac:dyDescent="0.25">
      <c r="A65" s="187">
        <f t="shared" si="4"/>
        <v>14</v>
      </c>
      <c r="B65" s="188" t="s">
        <v>262</v>
      </c>
      <c r="C65" s="189" t="s">
        <v>358</v>
      </c>
      <c r="D65" s="16"/>
      <c r="E65" s="190">
        <v>2001</v>
      </c>
      <c r="F65" s="95" t="s">
        <v>306</v>
      </c>
      <c r="G65" s="191"/>
      <c r="H65" s="191">
        <v>29.8</v>
      </c>
      <c r="I65" s="16"/>
      <c r="J65" s="188"/>
      <c r="K65" s="16"/>
      <c r="L65" s="16"/>
      <c r="M65" s="84">
        <f t="shared" si="3"/>
        <v>7</v>
      </c>
      <c r="N65" s="84">
        <f>M65+40</f>
        <v>47</v>
      </c>
    </row>
    <row r="66" spans="1:14" ht="12" customHeight="1" x14ac:dyDescent="0.25">
      <c r="A66" s="187">
        <f t="shared" si="4"/>
        <v>15</v>
      </c>
      <c r="B66" s="188" t="s">
        <v>261</v>
      </c>
      <c r="C66" s="189" t="s">
        <v>359</v>
      </c>
      <c r="D66" s="16"/>
      <c r="E66" s="190">
        <v>2000</v>
      </c>
      <c r="F66" s="95" t="s">
        <v>306</v>
      </c>
      <c r="G66" s="191"/>
      <c r="H66" s="191">
        <v>29.8</v>
      </c>
      <c r="I66" s="16"/>
      <c r="J66" s="188"/>
      <c r="K66" s="16"/>
      <c r="L66" s="16"/>
      <c r="M66" s="84">
        <f t="shared" si="3"/>
        <v>7</v>
      </c>
      <c r="N66" s="84">
        <f>M66+50</f>
        <v>57</v>
      </c>
    </row>
    <row r="67" spans="1:14" ht="12" customHeight="1" x14ac:dyDescent="0.25">
      <c r="A67" s="187">
        <f t="shared" si="4"/>
        <v>16</v>
      </c>
      <c r="B67" s="188" t="s">
        <v>262</v>
      </c>
      <c r="C67" s="189" t="s">
        <v>360</v>
      </c>
      <c r="D67" s="16"/>
      <c r="E67" s="190">
        <v>2001</v>
      </c>
      <c r="F67" s="95" t="s">
        <v>306</v>
      </c>
      <c r="G67" s="191"/>
      <c r="H67" s="191">
        <v>29.8</v>
      </c>
      <c r="I67" s="16"/>
      <c r="J67" s="188"/>
      <c r="K67" s="16"/>
      <c r="L67" s="16"/>
      <c r="M67" s="84">
        <f t="shared" si="3"/>
        <v>2</v>
      </c>
      <c r="N67" s="84">
        <f>M67+10</f>
        <v>12</v>
      </c>
    </row>
    <row r="68" spans="1:14" ht="12" customHeight="1" x14ac:dyDescent="0.25">
      <c r="A68" s="187">
        <f t="shared" si="4"/>
        <v>17</v>
      </c>
      <c r="B68" s="188" t="s">
        <v>261</v>
      </c>
      <c r="C68" s="189" t="s">
        <v>361</v>
      </c>
      <c r="D68" s="16"/>
      <c r="E68" s="190">
        <v>2000</v>
      </c>
      <c r="F68" s="95" t="s">
        <v>306</v>
      </c>
      <c r="G68" s="191"/>
      <c r="H68" s="191">
        <v>29.8</v>
      </c>
      <c r="I68" s="16"/>
      <c r="J68" s="188"/>
      <c r="K68" s="16"/>
      <c r="L68" s="16"/>
      <c r="M68" s="84">
        <f t="shared" si="3"/>
        <v>2</v>
      </c>
      <c r="N68" s="84">
        <f>M68+20</f>
        <v>22</v>
      </c>
    </row>
    <row r="69" spans="1:14" ht="12" customHeight="1" x14ac:dyDescent="0.25">
      <c r="A69" s="187">
        <f t="shared" si="4"/>
        <v>18</v>
      </c>
      <c r="B69" s="188" t="s">
        <v>79</v>
      </c>
      <c r="C69" s="189" t="s">
        <v>362</v>
      </c>
      <c r="D69" s="16"/>
      <c r="E69" s="190">
        <v>2005</v>
      </c>
      <c r="F69" s="95" t="s">
        <v>306</v>
      </c>
      <c r="G69" s="191"/>
      <c r="H69" s="191">
        <v>29.8</v>
      </c>
      <c r="I69" s="16"/>
      <c r="J69" s="188"/>
      <c r="K69" s="16"/>
      <c r="L69" s="16"/>
      <c r="M69" s="84">
        <f t="shared" si="3"/>
        <v>2</v>
      </c>
      <c r="N69" s="84">
        <f>M69+30</f>
        <v>32</v>
      </c>
    </row>
    <row r="70" spans="1:14" ht="12" customHeight="1" x14ac:dyDescent="0.25">
      <c r="A70" s="187">
        <f t="shared" si="4"/>
        <v>19</v>
      </c>
      <c r="B70" s="84" t="s">
        <v>158</v>
      </c>
      <c r="C70" s="189" t="s">
        <v>308</v>
      </c>
      <c r="D70" s="16"/>
      <c r="E70" s="190">
        <v>2000</v>
      </c>
      <c r="F70" s="95" t="s">
        <v>306</v>
      </c>
      <c r="G70" s="191"/>
      <c r="H70" s="191">
        <v>29.8</v>
      </c>
      <c r="I70" s="16"/>
      <c r="J70" s="188"/>
      <c r="K70" s="16"/>
      <c r="L70" s="16"/>
      <c r="M70" s="84">
        <f t="shared" si="3"/>
        <v>2</v>
      </c>
      <c r="N70" s="84">
        <f>M70+40</f>
        <v>42</v>
      </c>
    </row>
    <row r="71" spans="1:14" ht="12" customHeight="1" x14ac:dyDescent="0.25">
      <c r="A71" s="187">
        <f t="shared" si="4"/>
        <v>20</v>
      </c>
      <c r="B71" s="188" t="s">
        <v>260</v>
      </c>
      <c r="C71" s="189" t="s">
        <v>309</v>
      </c>
      <c r="D71" s="16"/>
      <c r="E71" s="190">
        <v>1999</v>
      </c>
      <c r="F71" s="95" t="s">
        <v>306</v>
      </c>
      <c r="G71" s="191"/>
      <c r="H71" s="191">
        <v>29.7</v>
      </c>
      <c r="I71" s="16"/>
      <c r="J71" s="188"/>
      <c r="K71" s="16" t="s">
        <v>310</v>
      </c>
      <c r="L71" s="16"/>
      <c r="M71" s="84">
        <f t="shared" si="3"/>
        <v>2</v>
      </c>
      <c r="N71" s="84">
        <f>M71+50</f>
        <v>52</v>
      </c>
    </row>
    <row r="72" spans="1:14" ht="12" customHeight="1" x14ac:dyDescent="0.25">
      <c r="A72" s="187">
        <f t="shared" si="4"/>
        <v>21</v>
      </c>
      <c r="B72" s="84" t="s">
        <v>117</v>
      </c>
      <c r="C72" s="189" t="s">
        <v>311</v>
      </c>
      <c r="D72" s="16"/>
      <c r="E72" s="190">
        <v>1999</v>
      </c>
      <c r="F72" s="95" t="s">
        <v>306</v>
      </c>
      <c r="G72" s="191"/>
      <c r="H72" s="191">
        <v>29.7</v>
      </c>
      <c r="I72" s="16"/>
      <c r="J72" s="188"/>
      <c r="K72" s="16" t="s">
        <v>310</v>
      </c>
      <c r="L72" s="16"/>
      <c r="M72" s="84">
        <f t="shared" si="3"/>
        <v>6</v>
      </c>
      <c r="N72" s="84">
        <f>M72+10</f>
        <v>16</v>
      </c>
    </row>
    <row r="73" spans="1:14" ht="12" customHeight="1" x14ac:dyDescent="0.25">
      <c r="A73" s="187">
        <f t="shared" si="4"/>
        <v>22</v>
      </c>
      <c r="B73" s="188" t="s">
        <v>260</v>
      </c>
      <c r="C73" s="189" t="s">
        <v>313</v>
      </c>
      <c r="D73" s="16"/>
      <c r="E73" s="190">
        <v>1999</v>
      </c>
      <c r="F73" s="95" t="s">
        <v>306</v>
      </c>
      <c r="G73" s="191"/>
      <c r="H73" s="191">
        <v>29.5</v>
      </c>
      <c r="I73" s="16"/>
      <c r="J73" s="188"/>
      <c r="K73" s="192"/>
      <c r="L73" s="16"/>
      <c r="M73" s="84">
        <f t="shared" si="3"/>
        <v>6</v>
      </c>
      <c r="N73" s="84">
        <f>M73+20</f>
        <v>26</v>
      </c>
    </row>
    <row r="74" spans="1:14" ht="12" customHeight="1" x14ac:dyDescent="0.25">
      <c r="A74" s="187">
        <f t="shared" si="4"/>
        <v>23</v>
      </c>
      <c r="B74" s="84" t="s">
        <v>158</v>
      </c>
      <c r="C74" s="189" t="s">
        <v>363</v>
      </c>
      <c r="D74" s="16"/>
      <c r="E74" s="190">
        <v>1999</v>
      </c>
      <c r="F74" s="95" t="s">
        <v>306</v>
      </c>
      <c r="G74" s="191"/>
      <c r="H74" s="191">
        <v>29.5</v>
      </c>
      <c r="I74" s="16"/>
      <c r="J74" s="188"/>
      <c r="K74" s="16"/>
      <c r="L74" s="16"/>
      <c r="M74" s="84">
        <f t="shared" si="3"/>
        <v>6</v>
      </c>
      <c r="N74" s="84">
        <f>M74+30</f>
        <v>36</v>
      </c>
    </row>
    <row r="75" spans="1:14" ht="12" customHeight="1" x14ac:dyDescent="0.25">
      <c r="A75" s="187">
        <f t="shared" si="4"/>
        <v>24</v>
      </c>
      <c r="B75" s="188" t="s">
        <v>84</v>
      </c>
      <c r="C75" s="189" t="s">
        <v>364</v>
      </c>
      <c r="D75" s="16"/>
      <c r="E75" s="190">
        <v>1998</v>
      </c>
      <c r="F75" s="95" t="s">
        <v>306</v>
      </c>
      <c r="G75" s="191"/>
      <c r="H75" s="191">
        <v>29.5</v>
      </c>
      <c r="I75" s="16"/>
      <c r="J75" s="188"/>
      <c r="K75" s="16"/>
      <c r="L75" s="16"/>
      <c r="M75" s="84">
        <f t="shared" si="3"/>
        <v>6</v>
      </c>
      <c r="N75" s="84">
        <f>M75+40</f>
        <v>46</v>
      </c>
    </row>
    <row r="76" spans="1:14" ht="12" customHeight="1" x14ac:dyDescent="0.25">
      <c r="A76" s="187">
        <f t="shared" si="4"/>
        <v>25</v>
      </c>
      <c r="B76" s="188" t="s">
        <v>79</v>
      </c>
      <c r="C76" s="189" t="s">
        <v>365</v>
      </c>
      <c r="D76" s="16"/>
      <c r="E76" s="190">
        <v>2008</v>
      </c>
      <c r="F76" s="95" t="s">
        <v>306</v>
      </c>
      <c r="G76" s="191"/>
      <c r="H76" s="191">
        <v>29.5</v>
      </c>
      <c r="I76" s="16"/>
      <c r="J76" s="188"/>
      <c r="K76" s="16"/>
      <c r="L76" s="16"/>
      <c r="M76" s="84">
        <f t="shared" si="3"/>
        <v>6</v>
      </c>
      <c r="N76" s="84">
        <f>M76+50</f>
        <v>56</v>
      </c>
    </row>
    <row r="77" spans="1:14" ht="12" customHeight="1" x14ac:dyDescent="0.25">
      <c r="A77" s="187">
        <f t="shared" si="4"/>
        <v>26</v>
      </c>
      <c r="B77" s="188" t="s">
        <v>84</v>
      </c>
      <c r="C77" s="189" t="s">
        <v>314</v>
      </c>
      <c r="D77" s="16"/>
      <c r="E77" s="190">
        <v>2003</v>
      </c>
      <c r="F77" s="95" t="s">
        <v>306</v>
      </c>
      <c r="G77" s="191"/>
      <c r="H77" s="191">
        <v>27.5</v>
      </c>
      <c r="I77" s="16"/>
      <c r="J77" s="188"/>
      <c r="K77" s="16"/>
      <c r="L77" s="16"/>
      <c r="M77" s="84">
        <f t="shared" si="3"/>
        <v>3</v>
      </c>
      <c r="N77" s="84">
        <f>M77+10</f>
        <v>13</v>
      </c>
    </row>
    <row r="78" spans="1:14" ht="12" customHeight="1" x14ac:dyDescent="0.25">
      <c r="A78" s="187">
        <f t="shared" si="4"/>
        <v>27</v>
      </c>
      <c r="B78" s="84" t="s">
        <v>158</v>
      </c>
      <c r="C78" s="189" t="s">
        <v>366</v>
      </c>
      <c r="D78" s="16"/>
      <c r="E78" s="190">
        <v>1996</v>
      </c>
      <c r="F78" s="95" t="s">
        <v>306</v>
      </c>
      <c r="G78" s="191"/>
      <c r="H78" s="191">
        <v>27.5</v>
      </c>
      <c r="I78" s="16"/>
      <c r="J78" s="188"/>
      <c r="K78" s="16"/>
      <c r="L78" s="16"/>
      <c r="M78" s="84">
        <f t="shared" si="3"/>
        <v>3</v>
      </c>
      <c r="N78" s="84">
        <f>M78+20</f>
        <v>23</v>
      </c>
    </row>
    <row r="79" spans="1:14" ht="12" customHeight="1" x14ac:dyDescent="0.25">
      <c r="A79" s="187">
        <f t="shared" si="4"/>
        <v>28</v>
      </c>
      <c r="B79" s="84" t="s">
        <v>117</v>
      </c>
      <c r="C79" s="189" t="s">
        <v>367</v>
      </c>
      <c r="D79" s="16"/>
      <c r="E79" s="190">
        <v>2000</v>
      </c>
      <c r="F79" s="95" t="s">
        <v>306</v>
      </c>
      <c r="G79" s="191"/>
      <c r="H79" s="191">
        <v>26.9</v>
      </c>
      <c r="I79" s="16"/>
      <c r="J79" s="188"/>
      <c r="K79" s="192"/>
      <c r="L79" s="16"/>
      <c r="M79" s="84">
        <f t="shared" si="3"/>
        <v>3</v>
      </c>
      <c r="N79" s="84">
        <f>M79+30</f>
        <v>33</v>
      </c>
    </row>
    <row r="80" spans="1:14" ht="12" customHeight="1" x14ac:dyDescent="0.25">
      <c r="A80" s="187">
        <f t="shared" si="4"/>
        <v>29</v>
      </c>
      <c r="B80" s="188" t="s">
        <v>76</v>
      </c>
      <c r="C80" s="189" t="s">
        <v>324</v>
      </c>
      <c r="D80" s="16"/>
      <c r="E80" s="190">
        <v>1998</v>
      </c>
      <c r="F80" s="95" t="s">
        <v>306</v>
      </c>
      <c r="G80" s="191"/>
      <c r="H80" s="191">
        <v>25.2</v>
      </c>
      <c r="I80" s="16"/>
      <c r="J80" s="188"/>
      <c r="K80" s="192"/>
      <c r="L80" s="16"/>
      <c r="M80" s="84">
        <f t="shared" si="3"/>
        <v>3</v>
      </c>
      <c r="N80" s="84">
        <f>M80+40</f>
        <v>43</v>
      </c>
    </row>
    <row r="81" spans="1:14" ht="12" customHeight="1" x14ac:dyDescent="0.25">
      <c r="A81" s="187">
        <f t="shared" si="4"/>
        <v>30</v>
      </c>
      <c r="B81" s="84" t="s">
        <v>117</v>
      </c>
      <c r="C81" s="189" t="s">
        <v>325</v>
      </c>
      <c r="D81" s="16"/>
      <c r="E81" s="190">
        <v>2006</v>
      </c>
      <c r="F81" s="95" t="s">
        <v>306</v>
      </c>
      <c r="G81" s="191"/>
      <c r="H81" s="191">
        <v>23.2</v>
      </c>
      <c r="I81" s="16"/>
      <c r="J81" s="16"/>
      <c r="K81" s="16"/>
      <c r="L81" s="16"/>
      <c r="M81" s="84">
        <f t="shared" si="3"/>
        <v>3</v>
      </c>
      <c r="N81" s="84">
        <f>M81+50</f>
        <v>53</v>
      </c>
    </row>
    <row r="82" spans="1:14" ht="12" customHeight="1" x14ac:dyDescent="0.25">
      <c r="A82" s="187">
        <f t="shared" si="4"/>
        <v>31</v>
      </c>
      <c r="B82" s="188" t="s">
        <v>94</v>
      </c>
      <c r="C82" s="189" t="s">
        <v>368</v>
      </c>
      <c r="D82" s="16"/>
      <c r="E82" s="190">
        <v>2002</v>
      </c>
      <c r="F82" s="95" t="s">
        <v>306</v>
      </c>
      <c r="G82" s="191"/>
      <c r="H82" s="191">
        <v>22.8</v>
      </c>
      <c r="I82" s="16"/>
      <c r="J82" s="188"/>
      <c r="K82" s="16"/>
      <c r="L82" s="16"/>
      <c r="M82" s="84">
        <f t="shared" si="3"/>
        <v>5</v>
      </c>
      <c r="N82" s="84">
        <f>M82+10</f>
        <v>15</v>
      </c>
    </row>
    <row r="83" spans="1:14" ht="12" customHeight="1" x14ac:dyDescent="0.25">
      <c r="A83" s="187">
        <f t="shared" si="4"/>
        <v>32</v>
      </c>
      <c r="B83" s="188" t="s">
        <v>79</v>
      </c>
      <c r="C83" s="189" t="s">
        <v>369</v>
      </c>
      <c r="D83" s="16"/>
      <c r="E83" s="190">
        <v>2007</v>
      </c>
      <c r="F83" s="95" t="s">
        <v>306</v>
      </c>
      <c r="G83" s="191"/>
      <c r="H83" s="191">
        <v>22.5</v>
      </c>
      <c r="I83" s="16"/>
      <c r="J83" s="188"/>
      <c r="K83" s="16"/>
      <c r="L83" s="16"/>
      <c r="M83" s="84">
        <f t="shared" si="3"/>
        <v>5</v>
      </c>
      <c r="N83" s="84">
        <f>M83+20</f>
        <v>25</v>
      </c>
    </row>
    <row r="84" spans="1:14" ht="12" customHeight="1" x14ac:dyDescent="0.25">
      <c r="A84" s="187">
        <f t="shared" si="4"/>
        <v>33</v>
      </c>
      <c r="B84" s="188" t="s">
        <v>76</v>
      </c>
      <c r="C84" s="189" t="s">
        <v>370</v>
      </c>
      <c r="D84" s="16"/>
      <c r="E84" s="190">
        <v>1999</v>
      </c>
      <c r="F84" s="95" t="s">
        <v>306</v>
      </c>
      <c r="G84" s="191"/>
      <c r="H84" s="191">
        <v>22.1</v>
      </c>
      <c r="I84" s="16"/>
      <c r="J84" s="188"/>
      <c r="K84" s="16"/>
      <c r="L84" s="16"/>
      <c r="M84" s="84">
        <f t="shared" si="3"/>
        <v>5</v>
      </c>
      <c r="N84" s="84">
        <f>M84+30</f>
        <v>35</v>
      </c>
    </row>
    <row r="85" spans="1:14" ht="12" customHeight="1" x14ac:dyDescent="0.25">
      <c r="A85" s="187">
        <f t="shared" si="4"/>
        <v>34</v>
      </c>
      <c r="B85" s="188" t="s">
        <v>76</v>
      </c>
      <c r="C85" s="189" t="s">
        <v>371</v>
      </c>
      <c r="D85" s="16"/>
      <c r="E85" s="190">
        <v>1998</v>
      </c>
      <c r="F85" s="95" t="s">
        <v>306</v>
      </c>
      <c r="G85" s="191"/>
      <c r="H85" s="191">
        <v>21.8</v>
      </c>
      <c r="I85" s="16"/>
      <c r="J85" s="188"/>
      <c r="K85" s="16"/>
      <c r="L85" s="16"/>
      <c r="M85" s="84">
        <f t="shared" si="3"/>
        <v>5</v>
      </c>
      <c r="N85" s="84">
        <f>M85+40</f>
        <v>45</v>
      </c>
    </row>
    <row r="86" spans="1:14" ht="12" customHeight="1" x14ac:dyDescent="0.25">
      <c r="A86" s="187">
        <f t="shared" si="4"/>
        <v>35</v>
      </c>
      <c r="B86" s="188" t="s">
        <v>261</v>
      </c>
      <c r="C86" s="189" t="s">
        <v>372</v>
      </c>
      <c r="D86" s="16"/>
      <c r="E86" s="190">
        <v>2000</v>
      </c>
      <c r="F86" s="95" t="s">
        <v>306</v>
      </c>
      <c r="G86" s="191"/>
      <c r="H86" s="191">
        <v>21.5</v>
      </c>
      <c r="I86" s="16"/>
      <c r="J86" s="188"/>
      <c r="K86" s="192"/>
      <c r="L86" s="16"/>
      <c r="M86" s="84">
        <f t="shared" si="3"/>
        <v>5</v>
      </c>
      <c r="N86" s="84">
        <f>M86+50</f>
        <v>55</v>
      </c>
    </row>
    <row r="87" spans="1:14" ht="12" customHeight="1" x14ac:dyDescent="0.25">
      <c r="A87" s="187">
        <f t="shared" si="4"/>
        <v>36</v>
      </c>
      <c r="B87" s="84" t="s">
        <v>100</v>
      </c>
      <c r="C87" s="189" t="s">
        <v>315</v>
      </c>
      <c r="D87" s="16"/>
      <c r="E87" s="190">
        <v>1996</v>
      </c>
      <c r="F87" s="95" t="s">
        <v>306</v>
      </c>
      <c r="G87" s="191"/>
      <c r="H87" s="191">
        <v>20.399999999999999</v>
      </c>
      <c r="I87" s="16"/>
      <c r="J87" s="188"/>
      <c r="K87" s="16"/>
      <c r="L87" s="16"/>
      <c r="M87" s="84">
        <f t="shared" si="3"/>
        <v>4</v>
      </c>
      <c r="N87" s="84">
        <f>M87+10</f>
        <v>14</v>
      </c>
    </row>
    <row r="88" spans="1:14" ht="12" customHeight="1" x14ac:dyDescent="0.25">
      <c r="A88" s="187">
        <f t="shared" si="4"/>
        <v>37</v>
      </c>
      <c r="B88" s="188" t="s">
        <v>76</v>
      </c>
      <c r="C88" s="189" t="s">
        <v>316</v>
      </c>
      <c r="D88" s="16"/>
      <c r="E88" s="190">
        <v>2001</v>
      </c>
      <c r="F88" s="95" t="s">
        <v>306</v>
      </c>
      <c r="G88" s="191"/>
      <c r="H88" s="191">
        <v>20</v>
      </c>
      <c r="I88" s="16"/>
      <c r="J88" s="188"/>
      <c r="K88" s="16"/>
      <c r="L88" s="16"/>
      <c r="M88" s="84">
        <f t="shared" si="3"/>
        <v>4</v>
      </c>
      <c r="N88" s="84">
        <f>M88+20</f>
        <v>24</v>
      </c>
    </row>
    <row r="89" spans="1:14" ht="12" customHeight="1" x14ac:dyDescent="0.25">
      <c r="A89" s="187">
        <f t="shared" si="4"/>
        <v>38</v>
      </c>
      <c r="B89" s="188" t="s">
        <v>79</v>
      </c>
      <c r="C89" s="189" t="s">
        <v>317</v>
      </c>
      <c r="D89" s="16"/>
      <c r="E89" s="190">
        <v>2004</v>
      </c>
      <c r="F89" s="95" t="s">
        <v>306</v>
      </c>
      <c r="G89" s="191"/>
      <c r="H89" s="191">
        <v>18.7</v>
      </c>
      <c r="I89" s="16"/>
      <c r="J89" s="188"/>
      <c r="K89" s="16"/>
      <c r="L89" s="16"/>
      <c r="M89" s="84">
        <f t="shared" si="3"/>
        <v>4</v>
      </c>
      <c r="N89" s="84">
        <f>M89+30</f>
        <v>34</v>
      </c>
    </row>
    <row r="90" spans="1:14" ht="12" customHeight="1" x14ac:dyDescent="0.25">
      <c r="A90" s="187">
        <f t="shared" si="4"/>
        <v>39</v>
      </c>
      <c r="B90" s="188" t="s">
        <v>79</v>
      </c>
      <c r="C90" s="189" t="s">
        <v>373</v>
      </c>
      <c r="D90" s="16"/>
      <c r="E90" s="190">
        <v>2002</v>
      </c>
      <c r="F90" s="95" t="s">
        <v>306</v>
      </c>
      <c r="G90" s="191"/>
      <c r="H90" s="191">
        <v>18.600000000000001</v>
      </c>
      <c r="I90" s="16"/>
      <c r="J90" s="188"/>
      <c r="K90" s="16"/>
      <c r="L90" s="16"/>
      <c r="M90" s="84">
        <f t="shared" si="3"/>
        <v>4</v>
      </c>
      <c r="N90" s="84">
        <f>M90+40</f>
        <v>44</v>
      </c>
    </row>
    <row r="91" spans="1:14" ht="12" customHeight="1" x14ac:dyDescent="0.25">
      <c r="A91" s="187">
        <f t="shared" si="4"/>
        <v>40</v>
      </c>
      <c r="B91" s="188" t="s">
        <v>76</v>
      </c>
      <c r="C91" s="189" t="s">
        <v>326</v>
      </c>
      <c r="D91" s="16"/>
      <c r="E91" s="190">
        <v>2000</v>
      </c>
      <c r="F91" s="95" t="s">
        <v>306</v>
      </c>
      <c r="G91" s="191"/>
      <c r="H91" s="191">
        <v>18.5</v>
      </c>
      <c r="I91" s="16"/>
      <c r="J91" s="188"/>
      <c r="K91" s="16"/>
      <c r="L91" s="16"/>
      <c r="M91" s="84">
        <f t="shared" si="3"/>
        <v>4</v>
      </c>
      <c r="N91" s="84">
        <f>M91+50</f>
        <v>54</v>
      </c>
    </row>
  </sheetData>
  <mergeCells count="4">
    <mergeCell ref="C8:D8"/>
    <mergeCell ref="F8:G8"/>
    <mergeCell ref="H8:I8"/>
    <mergeCell ref="J8:K8"/>
  </mergeCells>
  <conditionalFormatting sqref="G13:H48 G51:H56 G58:H91">
    <cfRule type="expression" dxfId="175" priority="2">
      <formula>IF(INT(G13/10000)&gt;23, TRUE, IF(INT(MOD(G13, 10000)/100)&gt;59.99, TRUE, IF(MOD(G13, 100)&gt;59.99, TRUE, FALSE)))</formula>
    </cfRule>
  </conditionalFormatting>
  <conditionalFormatting sqref="G13:H48 G51:H56 G58:H91">
    <cfRule type="expression" dxfId="174" priority="1">
      <formula>IF(ISNUMBER(G13), FALSE, IF(ISBLANK(G13), FALSE, TRUE))</formula>
    </cfRule>
  </conditionalFormatting>
  <pageMargins left="0.70000004768371582" right="0.70000004768371582" top="0.75" bottom="0.75" header="0.30000001192092896" footer="0.3000000119209289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9"/>
  <sheetViews>
    <sheetView workbookViewId="0">
      <pane ySplit="3" topLeftCell="A4" activePane="bottomLeft" state="frozen"/>
      <selection pane="bottomLeft"/>
    </sheetView>
  </sheetViews>
  <sheetFormatPr defaultColWidth="9.140625" defaultRowHeight="12.75" x14ac:dyDescent="0.2"/>
  <cols>
    <col min="1" max="1" width="9.140625" style="209" bestFit="1" customWidth="1"/>
    <col min="2" max="2" width="10.140625" style="57" customWidth="1"/>
    <col min="3" max="3" width="10" style="57" customWidth="1"/>
    <col min="4" max="4" width="10.140625" style="57" customWidth="1"/>
    <col min="5" max="5" width="9.7109375" style="57" customWidth="1"/>
    <col min="6" max="6" width="9.140625" style="57" bestFit="1" customWidth="1"/>
    <col min="7" max="7" width="10" style="57" customWidth="1"/>
    <col min="8" max="8" width="12" style="57" customWidth="1"/>
    <col min="9" max="9" width="10.5703125" style="210" customWidth="1"/>
    <col min="10" max="10" width="10.7109375" style="57" customWidth="1"/>
    <col min="11" max="11" width="5.28515625" style="211" customWidth="1"/>
    <col min="12" max="12" width="10.7109375" style="57" customWidth="1"/>
    <col min="13" max="13" width="11" style="57" customWidth="1"/>
    <col min="14" max="14" width="9.7109375" style="57" customWidth="1"/>
    <col min="15" max="15" width="5.140625" style="57" customWidth="1"/>
    <col min="16" max="17" width="9.28515625" style="57" customWidth="1"/>
    <col min="18" max="18" width="13.42578125" style="57" bestFit="1" customWidth="1"/>
    <col min="19" max="19" width="13" style="57" customWidth="1"/>
    <col min="20" max="33" width="6.85546875" style="57" customWidth="1"/>
    <col min="34" max="37" width="6" style="57" customWidth="1"/>
    <col min="38" max="38" width="9.140625" style="57" bestFit="1" customWidth="1"/>
    <col min="39" max="16384" width="9.140625" style="57"/>
  </cols>
  <sheetData>
    <row r="1" spans="3:33" ht="20.25" x14ac:dyDescent="0.3">
      <c r="H1" s="1831" t="s">
        <v>374</v>
      </c>
      <c r="I1" s="1831"/>
      <c r="J1" s="1831"/>
      <c r="K1" s="213"/>
      <c r="L1" s="214" t="s">
        <v>375</v>
      </c>
      <c r="M1" s="214"/>
      <c r="N1" s="214"/>
      <c r="O1" s="212"/>
      <c r="P1" s="215"/>
      <c r="Q1" s="216"/>
      <c r="R1" s="215"/>
      <c r="S1" s="216"/>
      <c r="T1" s="215"/>
      <c r="U1" s="216"/>
      <c r="V1" s="215"/>
      <c r="W1" s="216"/>
      <c r="X1" s="216"/>
      <c r="Y1" s="216"/>
      <c r="Z1" s="216"/>
      <c r="AA1" s="216"/>
      <c r="AB1" s="217"/>
      <c r="AC1" s="217"/>
      <c r="AD1" s="217"/>
      <c r="AE1" s="217"/>
      <c r="AF1" s="217"/>
      <c r="AG1" s="217"/>
    </row>
    <row r="2" spans="3:33" ht="14.25" x14ac:dyDescent="0.2">
      <c r="I2" s="1832" t="s">
        <v>71</v>
      </c>
      <c r="J2" s="1832"/>
      <c r="K2" s="219"/>
      <c r="M2" s="1832" t="s">
        <v>71</v>
      </c>
      <c r="N2" s="1832"/>
      <c r="O2" s="218"/>
      <c r="P2" s="216"/>
      <c r="Q2" s="216"/>
      <c r="R2" s="216"/>
      <c r="S2" s="216"/>
      <c r="T2" s="216"/>
      <c r="U2" s="216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</row>
    <row r="3" spans="3:33" ht="14.25" x14ac:dyDescent="0.2">
      <c r="I3" s="218" t="s">
        <v>376</v>
      </c>
      <c r="J3" s="218" t="s">
        <v>377</v>
      </c>
      <c r="K3" s="219"/>
      <c r="M3" s="218" t="s">
        <v>376</v>
      </c>
      <c r="N3" s="218" t="s">
        <v>377</v>
      </c>
      <c r="O3" s="218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</row>
    <row r="4" spans="3:33" ht="14.25" customHeight="1" x14ac:dyDescent="0.2">
      <c r="C4" s="58" t="s">
        <v>298</v>
      </c>
      <c r="D4" s="106"/>
      <c r="E4" s="106"/>
      <c r="F4" s="58"/>
      <c r="G4" s="58"/>
      <c r="H4" s="221"/>
      <c r="I4" s="222"/>
      <c r="J4" s="106"/>
      <c r="K4" s="223"/>
    </row>
    <row r="5" spans="3:33" ht="12.75" customHeight="1" x14ac:dyDescent="0.2">
      <c r="C5" s="224"/>
      <c r="D5" s="224"/>
      <c r="E5" s="224"/>
      <c r="F5" s="224"/>
      <c r="G5" s="224"/>
      <c r="H5" s="225">
        <v>18</v>
      </c>
      <c r="I5" s="91" t="str">
        <f>IF(ISBLANK(H5), " ", IF(ISTEXT(H5), " ", IF(H5&lt;=Нормативы!$H$5, "МСМК", IF(H5&lt;=Нормативы!$H$6, "МС", IF(H5&lt;=Нормативы!$H$7, "КМС", IF(H5&lt;=Нормативы!$H$8, "I", IF(H5&lt;=Нормативы!$H$9, "II", IF(H5&lt;=Нормативы!$H$10, "III", IF(H5&lt;=Нормативы!$H$11, "I юн", IF(H5&lt;=Нормативы!$H$12, "II юн", IF(H5&lt;=Нормативы!$H$13, "III юн", IF(ISTEXT(H5), " ", IF(ISBLANK(H5), " ", "б/р")))))))))))))</f>
        <v>МСМК</v>
      </c>
      <c r="J5" s="91" t="str">
        <f>IF(ISBLANK(H5), " ", IF(ISTEXT(H5), " ", IF(H5&lt;=Нормативы!$H$5, "МСМК", IF(H5&lt;=Нормативы!$H$6, "МС", IF(H5&lt;=Нормативы!$H$7, "КМС", IF(H5&lt;=Нормативы!$H$8, "I", IF(H5&lt;=Нормативы!$H$9, "II", IF(H5&lt;=Нормативы!$H$10, "III", IF(H5&lt;=Нормативы!$H$11, "I юн", IF(H5&lt;=Нормативы!$H$12, "II юн", IF(H5&lt;=Нормативы!$H$13, "III юн", IF(ISTEXT(H5), " ", IF(ISBLANK(H5), " ", "б/р")))))))))))))</f>
        <v>МСМК</v>
      </c>
      <c r="K5" s="226"/>
      <c r="L5" s="227"/>
      <c r="M5" s="91" t="str">
        <f>IF(ISBLANK(L5), " ", IF(ISTEXT(L5), " ", IF(L5&lt;=Нормативы!$H$5, "КМС", IF(L5&lt;=Нормативы!$H$6, "КМС", IF(L5&lt;=Нормативы!$L$7, "КМС", IF(L5&lt;=Нормативы!$L$8, "I", IF(L5&lt;=Нормативы!$L$9, "II", IF(L5&lt;=Нормативы!$L$10, "III", IF(L5&lt;=Нормативы!$L$11, "I юн", IF(L5&lt;=Нормативы!$L$12, "II юн", IF(L5&lt;=Нормативы!$L$13, "III юн", IF(ISTEXT(L5), " ", IF(ISBLANK(L5), " ", "б/р")))))))))))))</f>
        <v xml:space="preserve"> </v>
      </c>
      <c r="N5" s="228" t="str">
        <f>IF(ISBLANK(L5), " ", IF(ISTEXT(L5), " ", IF(L5&lt;=18.1, "МСМК", IF(L5&lt;=19, "МС", IF(L5&lt;=19.7, "КМС", IF(L5&lt;=21.1, "I", IF(L5&lt;=22.9, "II", IF(L5&lt;=24.8, "III", IF(L5&lt;=27.4, "I юн", IF(L5&lt;=30, "II юн", IF(L5&lt;=32.4, "III юн", IF(ISTEXT(L5), " ", IF(ISBLANK(L5), " ", "б/р")))))))))))))</f>
        <v xml:space="preserve"> </v>
      </c>
      <c r="O5" s="228"/>
      <c r="Q5" s="91" t="str">
        <f t="shared" ref="Q5:Q13" si="0">IF(ISBLANK(P5), " ", IF(ISTEXT(P5), " ", IF(P5&lt;=$H$5, "МСМК", IF(P5&lt;=$H$6, "МС", IF(P5&lt;=$H$7, "КМС", IF(P5&lt;=$H$8, "I", IF(P5&lt;=$H$9, "II", IF(P5&lt;=$H$10, "III", IF(P5&lt;=$H$11, "I юн", IF(P5&lt;=$H$12, "II юн", IF(P5&lt;=$H$13, "III юн", IF(ISTEXT(P5), " ", IF(ISBLANK(P5), " ", "б/р")))))))))))))</f>
        <v xml:space="preserve"> </v>
      </c>
    </row>
    <row r="6" spans="3:33" ht="12.75" customHeight="1" x14ac:dyDescent="0.2">
      <c r="C6" s="224"/>
      <c r="D6" s="224"/>
      <c r="E6" s="224"/>
      <c r="F6" s="224"/>
      <c r="G6" s="224"/>
      <c r="H6" s="225">
        <v>18.7</v>
      </c>
      <c r="I6" s="91" t="str">
        <f>IF(ISBLANK(H6), " ", IF(ISTEXT(H6), " ", IF(H6&lt;=Нормативы!$H$5, "МСМК", IF(H6&lt;=Нормативы!$H$6, "МС", IF(H6&lt;=Нормативы!$H$7, "КМС", IF(H6&lt;=Нормативы!$H$8, "I", IF(H6&lt;=Нормативы!$H$9, "II", IF(H6&lt;=Нормативы!$H$10, "III", IF(H6&lt;=Нормативы!$H$11, "I юн", IF(H6&lt;=Нормативы!$H$12, "II юн", IF(H6&lt;=Нормативы!$H$13, "III юн", IF(ISTEXT(H6), " ", IF(ISBLANK(H6), " ", "б/р")))))))))))))</f>
        <v>МС</v>
      </c>
      <c r="J6" s="91" t="str">
        <f>IF(ISBLANK(H6), " ", IF(ISTEXT(H6), " ", IF(H6&lt;=Нормативы!$H$5, "МСМК", IF(H6&lt;=Нормативы!$H$6, "МС", IF(H6&lt;=Нормативы!$H$7, "КМС", IF(H6&lt;=Нормативы!$H$8, "I", IF(H6&lt;=Нормативы!$H$9, "II", IF(H6&lt;=Нормативы!$H$10, "III", IF(H6&lt;=Нормативы!$H$11, "I юн", IF(H6&lt;=Нормативы!$H$12, "II юн", IF(H6&lt;=Нормативы!$H$13, "III юн", IF(ISTEXT(H6), " ", IF(ISBLANK(H6), " ", "б/р")))))))))))))</f>
        <v>МС</v>
      </c>
      <c r="K6" s="226"/>
      <c r="L6" s="229"/>
      <c r="M6" s="91" t="str">
        <f>IF(ISBLANK(L6), " ", IF(ISTEXT(L6), " ", IF(L6&lt;=Нормативы!$H$5, "КМС", IF(L6&lt;=Нормативы!$H$6, "КМС", IF(L6&lt;=Нормативы!$L$7, "КМС", IF(L6&lt;=Нормативы!$L$8, "I", IF(L6&lt;=Нормативы!$L$9, "II", IF(L6&lt;=Нормативы!$L$10, "III", IF(L6&lt;=Нормативы!$L$11, "I юн", IF(L6&lt;=Нормативы!$L$12, "II юн", IF(L6&lt;=Нормативы!$L$13, "III юн", IF(ISTEXT(L6), " ", IF(ISBLANK(L6), " ", "б/р")))))))))))))</f>
        <v xml:space="preserve"> </v>
      </c>
      <c r="N6" s="230" t="str">
        <f>IF(ISBLANK(L6), " ", IF(ISTEXT(L6), " ", IF(L6&lt;=18.1, "МСМК", IF(L6&lt;=19, "МС", IF(L6&lt;=19.7, "КМС", IF(L6&lt;=21.1, "I", IF(L6&lt;=22.9, "II", IF(L6&lt;=24.8, "III", IF(L6&lt;=27.4, "I юн", IF(L6&lt;=30, "II юн", IF(L6&lt;=32.4, "III юн", IF(ISTEXT(L6), " ", IF(ISBLANK(L6), " ", "б/р")))))))))))))</f>
        <v xml:space="preserve"> </v>
      </c>
      <c r="O6" s="230"/>
      <c r="P6" s="231"/>
      <c r="Q6" s="91" t="str">
        <f t="shared" si="0"/>
        <v xml:space="preserve"> </v>
      </c>
    </row>
    <row r="7" spans="3:33" ht="12.75" customHeight="1" x14ac:dyDescent="0.2">
      <c r="C7" s="224"/>
      <c r="D7" s="224"/>
      <c r="E7" s="224"/>
      <c r="F7" s="224"/>
      <c r="G7" s="224"/>
      <c r="H7" s="225">
        <v>19.7</v>
      </c>
      <c r="I7" s="91" t="str">
        <f>IF(ISBLANK(H7), " ", IF(ISTEXT(H7), " ", IF(H7&lt;=Нормативы!$H$5, "МСМК", IF(H7&lt;=Нормативы!$H$6, "МС", IF(H7&lt;=Нормативы!$H$7, "КМС", IF(H7&lt;=Нормативы!$H$8, "I", IF(H7&lt;=Нормативы!$H$9, "II", IF(H7&lt;=Нормативы!$H$10, "III", IF(H7&lt;=Нормативы!$H$11, "I юн", IF(H7&lt;=Нормативы!$H$12, "II юн", IF(H7&lt;=Нормативы!$H$13, "III юн", IF(ISTEXT(H7), " ", IF(ISBLANK(H7), " ", "б/р")))))))))))))</f>
        <v>КМС</v>
      </c>
      <c r="J7" s="91" t="str">
        <f>IF(ISBLANK(H7), " ", IF(ISTEXT(H7), " ", IF(H7&lt;=Нормативы!$H$5, "МСМК", IF(H7&lt;=Нормативы!$H$6, "МС", IF(H7&lt;=Нормативы!$H$7, "КМС", IF(H7&lt;=Нормативы!$H$8, "I", IF(H7&lt;=Нормативы!$H$9, "II", IF(H7&lt;=Нормативы!$H$10, "III", IF(H7&lt;=Нормативы!$H$11, "I юн", IF(H7&lt;=Нормативы!$H$12, "II юн", IF(H7&lt;=Нормативы!$H$13, "III юн", IF(ISTEXT(H7), " ", IF(ISBLANK(H7), " ", "б/р")))))))))))))</f>
        <v>КМС</v>
      </c>
      <c r="K7" s="226"/>
      <c r="L7" s="225">
        <f t="shared" ref="L7:L13" si="1">H7-0.2</f>
        <v>19.5</v>
      </c>
      <c r="M7" s="91" t="str">
        <f>IF(ISBLANK(L7), " ", IF(ISTEXT(L7), " ", IF(L7&lt;=Нормативы!$H$5, "КМС", IF(L7&lt;=Нормативы!$H$6, "КМС", IF(L7&lt;=Нормативы!$L$7, "КМС", IF(L7&lt;=Нормативы!$L$8, "I", IF(L7&lt;=Нормативы!$L$9, "II", IF(L7&lt;=Нормативы!$L$10, "III", IF(L7&lt;=Нормативы!$L$11, "I юн", IF(L7&lt;=Нормативы!$L$12, "II юн", IF(L7&lt;=Нормативы!$L$13, "III юн", IF(ISTEXT(L7), " ", IF(ISBLANK(L7), " ", "б/р")))))))))))))</f>
        <v>КМС</v>
      </c>
      <c r="N7" s="91" t="str">
        <f>IF(ISBLANK(L7), " ", IF(ISTEXT(L7), " ", IF(L7&lt;=Нормативы!$H$5, "КМС", IF(L7&lt;=Нормативы!$H$6, "КМС", IF(L7&lt;=Нормативы!$L$7, "КМС", IF(L7&lt;=Нормативы!$L$8, "I", IF(L7&lt;=Нормативы!$L$9, "II", IF(L7&lt;=Нормативы!$L$10, "III", IF(L7&lt;=Нормативы!$L$11, "I юн", IF(L7&lt;=Нормативы!$L$12, "II юн", IF(L7&lt;=Нормативы!$L$13, "III юн", IF(ISTEXT(L7), " ", IF(ISBLANK(L7), " ", "б/р")))))))))))))</f>
        <v>КМС</v>
      </c>
      <c r="O7" s="230"/>
      <c r="P7" s="231"/>
      <c r="Q7" s="91" t="str">
        <f t="shared" si="0"/>
        <v xml:space="preserve"> </v>
      </c>
    </row>
    <row r="8" spans="3:33" ht="12.75" customHeight="1" x14ac:dyDescent="0.2">
      <c r="C8" s="224"/>
      <c r="D8" s="224"/>
      <c r="E8" s="224"/>
      <c r="F8" s="224"/>
      <c r="G8" s="224"/>
      <c r="H8" s="225">
        <v>21</v>
      </c>
      <c r="I8" s="91" t="str">
        <f>IF(ISBLANK(H8), " ", IF(ISTEXT(H8), " ", IF(H8&lt;=Нормативы!$H$5, "МСМК", IF(H8&lt;=Нормативы!$H$6, "МС", IF(H8&lt;=Нормативы!$H$7, "КМС", IF(H8&lt;=Нормативы!$H$8, "I", IF(H8&lt;=Нормативы!$H$9, "II", IF(H8&lt;=Нормативы!$H$10, "III", IF(H8&lt;=Нормативы!$H$11, "I юн", IF(H8&lt;=Нормативы!$H$12, "II юн", IF(H8&lt;=Нормативы!$H$13, "III юн", IF(ISTEXT(H8), " ", IF(ISBLANK(H8), " ", "б/р")))))))))))))</f>
        <v>I</v>
      </c>
      <c r="J8" s="91" t="str">
        <f>IF(ISBLANK(H8), " ", IF(ISTEXT(H8), " ", IF(H8&lt;=Нормативы!$H$5, "МСМК", IF(H8&lt;=Нормативы!$H$6, "МС", IF(H8&lt;=Нормативы!$H$7, "КМС", IF(H8&lt;=Нормативы!$H$8, "I", IF(H8&lt;=Нормативы!$H$9, "II", IF(H8&lt;=Нормативы!$H$10, "III", IF(H8&lt;=Нормативы!$H$11, "I юн", IF(H8&lt;=Нормативы!$H$12, "II юн", IF(H8&lt;=Нормативы!$H$13, "III юн", IF(ISTEXT(H8), " ", IF(ISBLANK(H8), " ", "б/р")))))))))))))</f>
        <v>I</v>
      </c>
      <c r="K8" s="226"/>
      <c r="L8" s="225">
        <f t="shared" si="1"/>
        <v>20.8</v>
      </c>
      <c r="M8" s="91" t="str">
        <f>IF(ISBLANK(L8), " ", IF(ISTEXT(L8), " ", IF(L8&lt;=Нормативы!$H$5, "КМС", IF(L8&lt;=Нормативы!$H$6, "КМС", IF(L8&lt;=Нормативы!$L$7, "КМС", IF(L8&lt;=Нормативы!$L$8, "I", IF(L8&lt;=Нормативы!$L$9, "II", IF(L8&lt;=Нормативы!$L$10, "III", IF(L8&lt;=Нормативы!$L$11, "I юн", IF(L8&lt;=Нормативы!$L$12, "II юн", IF(L8&lt;=Нормативы!$L$13, "III юн", IF(ISTEXT(L8), " ", IF(ISBLANK(L8), " ", "б/р")))))))))))))</f>
        <v>I</v>
      </c>
      <c r="N8" s="91" t="str">
        <f>IF(ISBLANK(L8), " ", IF(ISTEXT(L8), " ", IF(L8&lt;=Нормативы!$H$5, "КМС", IF(L8&lt;=Нормативы!$H$6, "КМС", IF(L8&lt;=Нормативы!$L$7, "КМС", IF(L8&lt;=Нормативы!$L$8, "I", IF(L8&lt;=Нормативы!$L$9, "II", IF(L8&lt;=Нормативы!$L$10, "III", IF(L8&lt;=Нормативы!$L$11, "I юн", IF(L8&lt;=Нормативы!$L$12, "II юн", IF(L8&lt;=Нормативы!$L$13, "III юн", IF(ISTEXT(L8), " ", IF(ISBLANK(L8), " ", "б/р")))))))))))))</f>
        <v>I</v>
      </c>
      <c r="O8" s="230"/>
      <c r="P8" s="231"/>
      <c r="Q8" s="91" t="str">
        <f t="shared" si="0"/>
        <v xml:space="preserve"> </v>
      </c>
      <c r="R8" s="225"/>
      <c r="S8" s="91"/>
      <c r="T8" s="91"/>
    </row>
    <row r="9" spans="3:33" ht="12.75" customHeight="1" x14ac:dyDescent="0.2">
      <c r="C9" s="224"/>
      <c r="D9" s="224"/>
      <c r="E9" s="224"/>
      <c r="F9" s="224"/>
      <c r="G9" s="224"/>
      <c r="H9" s="225">
        <v>22.9</v>
      </c>
      <c r="I9" s="91" t="str">
        <f>IF(ISBLANK(H9), " ", IF(ISTEXT(H9), " ", IF(H9&lt;=Нормативы!$H$5, "МСМК", IF(H9&lt;=Нормативы!$H$6, "МС", IF(H9&lt;=Нормативы!$H$7, "КМС", IF(H9&lt;=Нормативы!$H$8, "I", IF(H9&lt;=Нормативы!$H$9, "II", IF(H9&lt;=Нормативы!$H$10, "III", IF(H9&lt;=Нормативы!$H$11, "I юн", IF(H9&lt;=Нормативы!$H$12, "II юн", IF(H9&lt;=Нормативы!$H$13, "III юн", IF(ISTEXT(H9), " ", IF(ISBLANK(H9), " ", "б/р")))))))))))))</f>
        <v>II</v>
      </c>
      <c r="J9" s="91" t="str">
        <f>IF(ISBLANK(H9), " ", IF(ISTEXT(H9), " ", IF(H9&lt;=Нормативы!$H$5, "МСМК", IF(H9&lt;=Нормативы!$H$6, "МС", IF(H9&lt;=Нормативы!$H$7, "КМС", IF(H9&lt;=Нормативы!$H$8, "I", IF(H9&lt;=Нормативы!$H$9, "II", IF(H9&lt;=Нормативы!$H$10, "III", IF(H9&lt;=Нормативы!$H$11, "I юн", IF(H9&lt;=Нормативы!$H$12, "II юн", IF(H9&lt;=Нормативы!$H$13, "III юн", IF(ISTEXT(H9), " ", IF(ISBLANK(H9), " ", "б/р")))))))))))))</f>
        <v>II</v>
      </c>
      <c r="K9" s="226"/>
      <c r="L9" s="225">
        <f t="shared" si="1"/>
        <v>22.7</v>
      </c>
      <c r="M9" s="91" t="str">
        <f>IF(ISBLANK(L9), " ", IF(ISTEXT(L9), " ", IF(L9&lt;=Нормативы!$H$5, "КМС", IF(L9&lt;=Нормативы!$H$6, "КМС", IF(L9&lt;=Нормативы!$L$7, "КМС", IF(L9&lt;=Нормативы!$L$8, "I", IF(L9&lt;=Нормативы!$L$9, "II", IF(L9&lt;=Нормативы!$L$10, "III", IF(L9&lt;=Нормативы!$L$11, "I юн", IF(L9&lt;=Нормативы!$L$12, "II юн", IF(L9&lt;=Нормативы!$L$13, "III юн", IF(ISTEXT(L9), " ", IF(ISBLANK(L9), " ", "б/р")))))))))))))</f>
        <v>II</v>
      </c>
      <c r="N9" s="91" t="str">
        <f>IF(ISBLANK(L9), " ", IF(ISTEXT(L9), " ", IF(L9&lt;=Нормативы!$H$5, "КМС", IF(L9&lt;=Нормативы!$H$6, "КМС", IF(L9&lt;=Нормативы!$L$7, "КМС", IF(L9&lt;=Нормативы!$L$8, "I", IF(L9&lt;=Нормативы!$L$9, "II", IF(L9&lt;=Нормативы!$L$10, "III", IF(L9&lt;=Нормативы!$L$11, "I юн", IF(L9&lt;=Нормативы!$L$12, "II юн", IF(L9&lt;=Нормативы!$L$13, "III юн", IF(ISTEXT(L9), " ", IF(ISBLANK(L9), " ", "б/р")))))))))))))</f>
        <v>II</v>
      </c>
      <c r="O9" s="230"/>
      <c r="P9" s="231"/>
      <c r="Q9" s="91" t="str">
        <f t="shared" si="0"/>
        <v xml:space="preserve"> </v>
      </c>
      <c r="R9" s="225"/>
    </row>
    <row r="10" spans="3:33" ht="12.75" customHeight="1" x14ac:dyDescent="0.2">
      <c r="C10" s="224"/>
      <c r="D10" s="224"/>
      <c r="E10" s="224"/>
      <c r="F10" s="224"/>
      <c r="G10" s="224"/>
      <c r="H10" s="225">
        <v>24.7</v>
      </c>
      <c r="I10" s="91" t="str">
        <f>IF(ISBLANK(H10), " ", IF(ISTEXT(H10), " ", IF(H10&lt;=Нормативы!$H$5, "МСМК", IF(H10&lt;=Нормативы!$H$6, "МС", IF(H10&lt;=Нормативы!$H$7, "КМС", IF(H10&lt;=Нормативы!$H$8, "I", IF(H10&lt;=Нормативы!$H$9, "II", IF(H10&lt;=Нормативы!$H$10, "III", IF(H10&lt;=Нормативы!$H$11, "I юн", IF(H10&lt;=Нормативы!$H$12, "II юн", IF(H10&lt;=Нормативы!$H$13, "III юн", IF(ISTEXT(H10), " ", IF(ISBLANK(H10), " ", "б/р")))))))))))))</f>
        <v>III</v>
      </c>
      <c r="J10" s="91" t="str">
        <f>IF(ISBLANK(H10), " ", IF(ISTEXT(H10), " ", IF(H10&lt;=Нормативы!$H$5, "МСМК", IF(H10&lt;=Нормативы!$H$6, "МС", IF(H10&lt;=Нормативы!$H$7, "КМС", IF(H10&lt;=Нормативы!$H$8, "I", IF(H10&lt;=Нормативы!$H$9, "II", IF(H10&lt;=Нормативы!$H$10, "III", IF(H10&lt;=Нормативы!$H$11, "I юн", IF(H10&lt;=Нормативы!$H$12, "II юн", IF(H10&lt;=Нормативы!$H$13, "III юн", IF(ISTEXT(H10), " ", IF(ISBLANK(H10), " ", "б/р")))))))))))))</f>
        <v>III</v>
      </c>
      <c r="K10" s="226"/>
      <c r="L10" s="225">
        <f t="shared" si="1"/>
        <v>24.5</v>
      </c>
      <c r="M10" s="91" t="str">
        <f>IF(ISBLANK(L10), " ", IF(ISTEXT(L10), " ", IF(L10&lt;=Нормативы!$H$5, "КМС", IF(L10&lt;=Нормативы!$H$6, "КМС", IF(L10&lt;=Нормативы!$L$7, "КМС", IF(L10&lt;=Нормативы!$L$8, "I", IF(L10&lt;=Нормативы!$L$9, "II", IF(L10&lt;=Нормативы!$L$10, "III", IF(L10&lt;=Нормативы!$L$11, "I юн", IF(L10&lt;=Нормативы!$L$12, "II юн", IF(L10&lt;=Нормативы!$L$13, "III юн", IF(ISTEXT(L10), " ", IF(ISBLANK(L10), " ", "б/р")))))))))))))</f>
        <v>III</v>
      </c>
      <c r="N10" s="91" t="str">
        <f>IF(ISBLANK(L10), " ", IF(ISTEXT(L10), " ", IF(L10&lt;=Нормативы!$H$5, "КМС", IF(L10&lt;=Нормативы!$H$6, "КМС", IF(L10&lt;=Нормативы!$L$7, "КМС", IF(L10&lt;=Нормативы!$L$8, "I", IF(L10&lt;=Нормативы!$L$9, "II", IF(L10&lt;=Нормативы!$L$10, "III", IF(L10&lt;=Нормативы!$L$11, "I юн", IF(L10&lt;=Нормативы!$L$12, "II юн", IF(L10&lt;=Нормативы!$L$13, "III юн", IF(ISTEXT(L10), " ", IF(ISBLANK(L10), " ", "б/р")))))))))))))</f>
        <v>III</v>
      </c>
      <c r="O10" s="230"/>
      <c r="P10" s="231"/>
      <c r="Q10" s="91" t="str">
        <f t="shared" si="0"/>
        <v xml:space="preserve"> </v>
      </c>
    </row>
    <row r="11" spans="3:33" ht="12.75" customHeight="1" x14ac:dyDescent="0.2">
      <c r="C11" s="224"/>
      <c r="D11" s="224"/>
      <c r="E11" s="224"/>
      <c r="F11" s="224"/>
      <c r="G11" s="224"/>
      <c r="H11" s="225">
        <v>27</v>
      </c>
      <c r="I11" s="91" t="str">
        <f>IF(ISBLANK(H11), " ", IF(ISTEXT(H11), " ", IF(H11&lt;=Нормативы!$H$5, "МСМК", IF(H11&lt;=Нормативы!$H$6, "МС", IF(H11&lt;=Нормативы!$H$7, "КМС", IF(H11&lt;=Нормативы!$H$8, "I", IF(H11&lt;=Нормативы!$H$9, "II", IF(H11&lt;=Нормативы!$H$10, "III", IF(H11&lt;=Нормативы!$H$11, "I юн", IF(H11&lt;=Нормативы!$H$12, "II юн", IF(H11&lt;=Нормативы!$H$13, "III юн", IF(ISTEXT(H11), " ", IF(ISBLANK(H11), " ", "б/р")))))))))))))</f>
        <v>I юн</v>
      </c>
      <c r="J11" s="91" t="str">
        <f>IF(ISBLANK(H11), " ", IF(ISTEXT(H11), " ", IF(H11&lt;=Нормативы!$H$5, "МСМК", IF(H11&lt;=Нормативы!$H$6, "МС", IF(H11&lt;=Нормативы!$H$7, "КМС", IF(H11&lt;=Нормативы!$H$8, "I", IF(H11&lt;=Нормативы!$H$9, "II", IF(H11&lt;=Нормативы!$H$10, "III", IF(H11&lt;=Нормативы!$H$11, "I юн", IF(H11&lt;=Нормативы!$H$12, "II юн", IF(H11&lt;=Нормативы!$H$13, "III юн", IF(ISTEXT(H11), " ", IF(ISBLANK(H11), " ", "б/р")))))))))))))</f>
        <v>I юн</v>
      </c>
      <c r="K11" s="226"/>
      <c r="L11" s="225">
        <f t="shared" si="1"/>
        <v>26.8</v>
      </c>
      <c r="M11" s="91" t="str">
        <f>IF(ISBLANK(L11), " ", IF(ISTEXT(L11), " ", IF(L11&lt;=Нормативы!$H$5, "КМС", IF(L11&lt;=Нормативы!$H$6, "КМС", IF(L11&lt;=Нормативы!$L$7, "КМС", IF(L11&lt;=Нормативы!$L$8, "I", IF(L11&lt;=Нормативы!$L$9, "II", IF(L11&lt;=Нормативы!$L$10, "III", IF(L11&lt;=Нормативы!$L$11, "I юн", IF(L11&lt;=Нормативы!$L$12, "II юн", IF(L11&lt;=Нормативы!$L$13, "III юн", IF(ISTEXT(L11), " ", IF(ISBLANK(L11), " ", "б/р")))))))))))))</f>
        <v>I юн</v>
      </c>
      <c r="N11" s="91" t="str">
        <f>IF(ISBLANK(L11), " ", IF(ISTEXT(L11), " ", IF(L11&lt;=Нормативы!$H$5, "КМС", IF(L11&lt;=Нормативы!$H$6, "КМС", IF(L11&lt;=Нормативы!$L$7, "КМС", IF(L11&lt;=Нормативы!$L$8, "I", IF(L11&lt;=Нормативы!$L$9, "II", IF(L11&lt;=Нормативы!$L$10, "III", IF(L11&lt;=Нормативы!$L$11, "I юн", IF(L11&lt;=Нормативы!$L$12, "II юн", IF(L11&lt;=Нормативы!$L$13, "III юн", IF(ISTEXT(L11), " ", IF(ISBLANK(L11), " ", "б/р")))))))))))))</f>
        <v>I юн</v>
      </c>
      <c r="O11" s="230"/>
      <c r="P11" s="231"/>
      <c r="Q11" s="91" t="str">
        <f t="shared" si="0"/>
        <v xml:space="preserve"> </v>
      </c>
    </row>
    <row r="12" spans="3:33" ht="12.75" customHeight="1" x14ac:dyDescent="0.2">
      <c r="C12" s="224"/>
      <c r="D12" s="224"/>
      <c r="E12" s="224"/>
      <c r="F12" s="224"/>
      <c r="G12" s="224"/>
      <c r="H12" s="225">
        <v>29.5</v>
      </c>
      <c r="I12" s="91" t="str">
        <f>IF(ISBLANK(H12), " ", IF(ISTEXT(H12), " ", IF(H12&lt;=Нормативы!$H$5, "МСМК", IF(H12&lt;=Нормативы!$H$6, "МС", IF(H12&lt;=Нормативы!$H$7, "КМС", IF(H12&lt;=Нормативы!$H$8, "I", IF(H12&lt;=Нормативы!$H$9, "II", IF(H12&lt;=Нормативы!$H$10, "III", IF(H12&lt;=Нормативы!$H$11, "I юн", IF(H12&lt;=Нормативы!$H$12, "II юн", IF(H12&lt;=Нормативы!$H$13, "III юн", IF(ISTEXT(H12), " ", IF(ISBLANK(H12), " ", "б/р")))))))))))))</f>
        <v>II юн</v>
      </c>
      <c r="J12" s="91" t="str">
        <f>IF(ISBLANK(H12), " ", IF(ISTEXT(H12), " ", IF(H12&lt;=Нормативы!$H$5, "МСМК", IF(H12&lt;=Нормативы!$H$6, "МС", IF(H12&lt;=Нормативы!$H$7, "КМС", IF(H12&lt;=Нормативы!$H$8, "I", IF(H12&lt;=Нормативы!$H$9, "II", IF(H12&lt;=Нормативы!$H$10, "III", IF(H12&lt;=Нормативы!$H$11, "I юн", IF(H12&lt;=Нормативы!$H$12, "II юн", IF(H12&lt;=Нормативы!$H$13, "III юн", IF(ISTEXT(H12), " ", IF(ISBLANK(H12), " ", "б/р")))))))))))))</f>
        <v>II юн</v>
      </c>
      <c r="K12" s="226"/>
      <c r="L12" s="225">
        <f t="shared" si="1"/>
        <v>29.3</v>
      </c>
      <c r="M12" s="91" t="str">
        <f>IF(ISBLANK(L12), " ", IF(ISTEXT(L12), " ", IF(L12&lt;=Нормативы!$H$5, "КМС", IF(L12&lt;=Нормативы!$H$6, "КМС", IF(L12&lt;=Нормативы!$L$7, "КМС", IF(L12&lt;=Нормативы!$L$8, "I", IF(L12&lt;=Нормативы!$L$9, "II", IF(L12&lt;=Нормативы!$L$10, "III", IF(L12&lt;=Нормативы!$L$11, "I юн", IF(L12&lt;=Нормативы!$L$12, "II юн", IF(L12&lt;=Нормативы!$L$13, "III юн", IF(ISTEXT(L12), " ", IF(ISBLANK(L12), " ", "б/р")))))))))))))</f>
        <v>II юн</v>
      </c>
      <c r="N12" s="91" t="str">
        <f>IF(ISBLANK(L12), " ", IF(ISTEXT(L12), " ", IF(L12&lt;=Нормативы!$H$5, "КМС", IF(L12&lt;=Нормативы!$H$6, "КМС", IF(L12&lt;=Нормативы!$L$7, "КМС", IF(L12&lt;=Нормативы!$L$8, "I", IF(L12&lt;=Нормативы!$L$9, "II", IF(L12&lt;=Нормативы!$L$10, "III", IF(L12&lt;=Нормативы!$L$11, "I юн", IF(L12&lt;=Нормативы!$L$12, "II юн", IF(L12&lt;=Нормативы!$L$13, "III юн", IF(ISTEXT(L12), " ", IF(ISBLANK(L12), " ", "б/р")))))))))))))</f>
        <v>II юн</v>
      </c>
      <c r="O12" s="230"/>
      <c r="P12" s="231"/>
      <c r="Q12" s="91" t="str">
        <f t="shared" si="0"/>
        <v xml:space="preserve"> </v>
      </c>
    </row>
    <row r="13" spans="3:33" ht="12.75" customHeight="1" x14ac:dyDescent="0.2">
      <c r="C13" s="224"/>
      <c r="D13" s="224"/>
      <c r="E13" s="224"/>
      <c r="F13" s="224"/>
      <c r="G13" s="224"/>
      <c r="H13" s="225">
        <v>32.200000000000003</v>
      </c>
      <c r="I13" s="91" t="str">
        <f>IF(ISBLANK(H13), " ", IF(ISTEXT(H13), " ", IF(H13&lt;=Нормативы!$H$5, "МСМК", IF(H13&lt;=Нормативы!$H$6, "МС", IF(H13&lt;=Нормативы!$H$7, "КМС", IF(H13&lt;=Нормативы!$H$8, "I", IF(H13&lt;=Нормативы!$H$9, "II", IF(H13&lt;=Нормативы!$H$10, "III", IF(H13&lt;=Нормативы!$H$11, "I юн", IF(H13&lt;=Нормативы!$H$12, "II юн", IF(H13&lt;=Нормативы!$H$13, "III юн", IF(ISTEXT(H13), " ", IF(ISBLANK(H13), " ", "б/р")))))))))))))</f>
        <v>III юн</v>
      </c>
      <c r="J13" s="91" t="str">
        <f>IF(ISBLANK(H13), " ", IF(ISTEXT(H13), " ", IF(H13&lt;=Нормативы!$H$5, "МСМК", IF(H13&lt;=Нормативы!$H$6, "МС", IF(H13&lt;=Нормативы!$H$7, "КМС", IF(H13&lt;=Нормативы!$H$8, "I", IF(H13&lt;=Нормативы!$H$9, "II", IF(H13&lt;=Нормативы!$H$10, "III", IF(H13&lt;=Нормативы!$H$11, "I юн", IF(H13&lt;=Нормативы!$H$12, "II юн", IF(H13&lt;=Нормативы!$H$13, "III юн", IF(ISTEXT(H13), " ", IF(ISBLANK(H13), " ", "б/р")))))))))))))</f>
        <v>III юн</v>
      </c>
      <c r="K13" s="226"/>
      <c r="L13" s="225">
        <f t="shared" si="1"/>
        <v>32</v>
      </c>
      <c r="M13" s="91" t="str">
        <f>IF(ISBLANK(L13), " ", IF(ISTEXT(L13), " ", IF(L13&lt;=Нормативы!$H$5, "КМС", IF(L13&lt;=Нормативы!$H$6, "КМС", IF(L13&lt;=Нормативы!$L$7, "КМС", IF(L13&lt;=Нормативы!$L$8, "I", IF(L13&lt;=Нормативы!$L$9, "II", IF(L13&lt;=Нормативы!$L$10, "III", IF(L13&lt;=Нормативы!$L$11, "I юн", IF(L13&lt;=Нормативы!$L$12, "II юн", IF(L13&lt;=Нормативы!$L$13, "III юн", IF(ISTEXT(L13), " ", IF(ISBLANK(L13), " ", "б/р")))))))))))))</f>
        <v>III юн</v>
      </c>
      <c r="N13" s="91" t="str">
        <f>IF(ISBLANK(L13), " ", IF(ISTEXT(L13), " ", IF(L13&lt;=Нормативы!$H$5, "КМС", IF(L13&lt;=Нормативы!$H$6, "КМС", IF(L13&lt;=Нормативы!$L$7, "КМС", IF(L13&lt;=Нормативы!$L$8, "I", IF(L13&lt;=Нормативы!$L$9, "II", IF(L13&lt;=Нормативы!$L$10, "III", IF(L13&lt;=Нормативы!$L$11, "I юн", IF(L13&lt;=Нормативы!$L$12, "II юн", IF(L13&lt;=Нормативы!$L$13, "III юн", IF(ISTEXT(L13), " ", IF(ISBLANK(L13), " ", "б/р")))))))))))))</f>
        <v>III юн</v>
      </c>
      <c r="O13" s="230"/>
      <c r="P13" s="231"/>
      <c r="Q13" s="91" t="str">
        <f t="shared" si="0"/>
        <v xml:space="preserve"> </v>
      </c>
    </row>
    <row r="14" spans="3:33" ht="12.75" customHeight="1" x14ac:dyDescent="0.2">
      <c r="C14" s="224"/>
      <c r="D14" s="224"/>
      <c r="E14" s="224"/>
      <c r="F14" s="224"/>
      <c r="G14" s="224"/>
      <c r="H14" s="225"/>
      <c r="I14" s="91" t="str">
        <f>IF(ISBLANK(H14), " ", IF(ISTEXT(H14), " ", IF(H14&lt;=18.1, "МСМК", IF(H14&lt;=19, "МС", IF(H14&lt;=19.9, "КМС", IF(H14&lt;=21.3, "I", IF(H14&lt;=23.1, "II", IF(H14&lt;=25, "III", IF(ISTEXT(H14), " ", IF(ISBLANK(H14), " ", "б/р"))))))))))</f>
        <v xml:space="preserve"> </v>
      </c>
      <c r="J14" s="91" t="str">
        <f>IF(ISBLANK(H14), " ", IF(ISTEXT(H14), " ", IF(H14&lt;=18.1, "МСМК", IF(H14&lt;=19, "МС", IF(H14&lt;=19.9, "КМС", IF(H14&lt;=21.3, "I", IF(H14&lt;=23.1, "II", IF(H14&lt;=25, "III", IF(ISTEXT(H14), " ", IF(ISBLANK(H14), " ", "б/р"))))))))))</f>
        <v xml:space="preserve"> </v>
      </c>
      <c r="K14" s="226"/>
      <c r="L14" s="217"/>
      <c r="M14" s="217"/>
      <c r="N14" s="217"/>
      <c r="O14" s="231"/>
      <c r="P14" s="232"/>
      <c r="Q14" s="91" t="str">
        <f>IF(ISBLANK(P14), " ", IF(ISTEXT(P14), " ", IF(P14&lt;=18.1, "МСМК", IF(P14&lt;=19, "МС", IF(P14&lt;=19.9, "КМС", IF(P14&lt;=21.3, "I", IF(P14&lt;=23.1, "II", IF(P14&lt;=25, "III", IF(ISTEXT(P14), " ", IF(ISBLANK(P14), " ", "б/р"))))))))))</f>
        <v xml:space="preserve"> </v>
      </c>
      <c r="R14" s="233"/>
      <c r="S14" s="225"/>
      <c r="T14" s="91"/>
      <c r="U14" s="91"/>
      <c r="V14" s="233"/>
      <c r="W14" s="233"/>
      <c r="X14" s="233"/>
      <c r="Y14" s="233"/>
      <c r="Z14" s="233"/>
      <c r="AA14" s="233"/>
      <c r="AB14" s="224"/>
      <c r="AC14" s="224"/>
      <c r="AD14" s="224"/>
      <c r="AE14" s="224"/>
      <c r="AF14" s="224"/>
      <c r="AG14" s="224"/>
    </row>
    <row r="15" spans="3:33" ht="14.25" customHeight="1" x14ac:dyDescent="0.2">
      <c r="C15" s="58" t="s">
        <v>378</v>
      </c>
      <c r="D15" s="106"/>
      <c r="E15" s="106"/>
      <c r="F15" s="58"/>
      <c r="G15" s="58"/>
      <c r="H15" s="221"/>
      <c r="I15" s="234"/>
      <c r="J15" s="234"/>
      <c r="K15" s="235"/>
      <c r="L15" s="217"/>
      <c r="M15" s="217"/>
      <c r="N15" s="217"/>
      <c r="O15" s="231"/>
      <c r="P15" s="236"/>
      <c r="Q15" s="234"/>
      <c r="R15" s="224"/>
      <c r="S15" s="224"/>
      <c r="T15" s="224"/>
      <c r="U15" s="224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</row>
    <row r="16" spans="3:33" x14ac:dyDescent="0.2">
      <c r="C16" s="217"/>
      <c r="D16" s="217"/>
      <c r="E16" s="217"/>
      <c r="F16" s="217"/>
      <c r="G16" s="217"/>
      <c r="H16" s="225">
        <v>15.8</v>
      </c>
      <c r="I16" s="91" t="str">
        <f>IF(ISBLANK(H16), " ", IF(ISTEXT(H16), " ", IF(H16&lt;=Нормативы!$H$16, "МСМК", IF(H16&lt;=Нормативы!$H$17, "МС", IF(H16&lt;=Нормативы!$H$18, "КМС", IF(H16&lt;=Нормативы!$H$19, "I", IF(H16&lt;=Нормативы!$H$20, "II", IF(H16&lt;=Нормативы!$H$21, "III", IF(H16&lt;=Нормативы!$H$22, "I юн", IF(H16&lt;=Нормативы!$H$23, "II юн", IF(H16&lt;=Нормативы!$H$24, "III юн", "б/р")))))))))))</f>
        <v>МСМК</v>
      </c>
      <c r="J16" s="91" t="str">
        <f>IF(ISBLANK(H16), " ", IF(ISTEXT(H16), " ", IF(H16&lt;=Нормативы!$H$16, "МСМК", IF(H16&lt;=Нормативы!$H$17, "МС", IF(H16&lt;=Нормативы!$H$18, "КМС", IF(H16&lt;=Нормативы!$H$19, "I", IF(H16&lt;=Нормативы!$H$20, "II", IF(H16&lt;=Нормативы!$H$21, "III", IF(H16&lt;=Нормативы!$H$22, "I юн", IF(H16&lt;=Нормативы!$H$23, "II юн", IF(H16&lt;=Нормативы!$H$24, "III юн", "б/р")))))))))))</f>
        <v>МСМК</v>
      </c>
      <c r="K16" s="226"/>
      <c r="L16" s="225"/>
      <c r="M16" s="91" t="str">
        <f>IF(ISBLANK(L16), " ", IF(ISTEXT(L16), " ", IF(L16&lt;=Нормативы!$H$16, "КМС", IF(L16&lt;=Нормативы!$H$17, "КМС", IF(L16&lt;=Нормативы!$L$18, "КМС", IF(L16&lt;=Нормативы!$L$19, "I", IF(L16&lt;=Нормативы!$L$20, "II", IF(L16&lt;=Нормативы!$L$21, "III", IF(L16&lt;=Нормативы!$L$22, "I юн", IF(L16&lt;=Нормативы!$L$23, "II юн", IF(L16&lt;=Нормативы!$L$24, "III юн", "б/р")))))))))))</f>
        <v xml:space="preserve"> </v>
      </c>
      <c r="N16" s="91" t="str">
        <f>IF(ISBLANK(L16), " ", IF(ISTEXT(L16), " ", IF(L16&lt;=15.9, "МСМК", IF(L16&lt;=16.9, "МС", IF(L16&lt;=17.6, "КМС", IF(L16&lt;=18.5, "I", IF(L16&lt;=20.1, "II", IF(L16&lt;=21.9, "III", IF(L16&lt;=24, "I юн", IF(L16&lt;=26.2, "II юн", IF(L16&lt;=28.4, "III юн", "б/р")))))))))))</f>
        <v xml:space="preserve"> </v>
      </c>
      <c r="O16" s="230"/>
      <c r="P16" s="231"/>
      <c r="Q16" s="91" t="str">
        <f t="shared" ref="Q16:Q24" si="2">IF(ISBLANK(P16), " ", IF(ISTEXT(P16), " ", IF(P16&lt;=$H$16, "МСМК", IF(P16&lt;=$H$17, "МС", IF(P16&lt;=$H$18, "КМС", IF(P16&lt;=$H$19, "I", IF(P16&lt;=$H$20, "II", IF(P16&lt;=$H$21, "III", IF(P16&lt;=$H$22, "I юн", IF(P16&lt;=$H$23, "II юн", IF(P16&lt;=$H$24, "III юн", "б/р")))))))))))</f>
        <v xml:space="preserve"> </v>
      </c>
    </row>
    <row r="17" spans="3:17" x14ac:dyDescent="0.2">
      <c r="C17" s="3"/>
      <c r="D17" s="4"/>
      <c r="E17" s="4"/>
      <c r="F17" s="3"/>
      <c r="G17" s="3"/>
      <c r="H17" s="225">
        <v>16.7</v>
      </c>
      <c r="I17" s="91" t="str">
        <f>IF(ISBLANK(H17), " ", IF(ISTEXT(H17), " ", IF(H17&lt;=Нормативы!$H$16, "МСМК", IF(H17&lt;=Нормативы!$H$17, "МС", IF(H17&lt;=Нормативы!$H$18, "КМС", IF(H17&lt;=Нормативы!$H$19, "I", IF(H17&lt;=Нормативы!$H$20, "II", IF(H17&lt;=Нормативы!$H$21, "III", IF(H17&lt;=Нормативы!$H$22, "I юн", IF(H17&lt;=Нормативы!$H$23, "II юн", IF(H17&lt;=Нормативы!$H$24, "III юн", "б/р")))))))))))</f>
        <v>МС</v>
      </c>
      <c r="J17" s="91" t="str">
        <f>IF(ISBLANK(H17), " ", IF(ISTEXT(H17), " ", IF(H17&lt;=Нормативы!$H$16, "МСМК", IF(H17&lt;=Нормативы!$H$17, "МС", IF(H17&lt;=Нормативы!$H$18, "КМС", IF(H17&lt;=Нормативы!$H$19, "I", IF(H17&lt;=Нормативы!$H$20, "II", IF(H17&lt;=Нормативы!$H$21, "III", IF(H17&lt;=Нормативы!$H$22, "I юн", IF(H17&lt;=Нормативы!$H$23, "II юн", IF(H17&lt;=Нормативы!$H$24, "III юн", "б/р")))))))))))</f>
        <v>МС</v>
      </c>
      <c r="K17" s="226"/>
      <c r="L17" s="225"/>
      <c r="M17" s="91" t="str">
        <f>IF(ISBLANK(L17), " ", IF(ISTEXT(L17), " ", IF(L17&lt;=Нормативы!$H$16, "КМС", IF(L17&lt;=Нормативы!$H$17, "КМС", IF(L17&lt;=Нормативы!$L$18, "КМС", IF(L17&lt;=Нормативы!$L$19, "I", IF(L17&lt;=Нормативы!$L$20, "II", IF(L17&lt;=Нормативы!$L$21, "III", IF(L17&lt;=Нормативы!$L$22, "I юн", IF(L17&lt;=Нормативы!$L$23, "II юн", IF(L17&lt;=Нормативы!$L$24, "III юн", "б/р")))))))))))</f>
        <v xml:space="preserve"> </v>
      </c>
      <c r="N17" s="91" t="str">
        <f>IF(ISBLANK(L17), " ", IF(ISTEXT(L17), " ", IF(L17&lt;=15.9, "МСМК", IF(L17&lt;=16.9, "МС", IF(L17&lt;=17.6, "КМС", IF(L17&lt;=18.5, "I", IF(L17&lt;=20.1, "II", IF(L17&lt;=21.9, "III", IF(L17&lt;=24, "I юн", IF(L17&lt;=26.2, "II юн", IF(L17&lt;=28.4, "III юн", "б/р")))))))))))</f>
        <v xml:space="preserve"> </v>
      </c>
      <c r="O17" s="230"/>
      <c r="P17" s="231"/>
      <c r="Q17" s="91" t="str">
        <f t="shared" si="2"/>
        <v xml:space="preserve"> </v>
      </c>
    </row>
    <row r="18" spans="3:17" x14ac:dyDescent="0.2">
      <c r="C18" s="3"/>
      <c r="D18" s="4"/>
      <c r="E18" s="4"/>
      <c r="F18" s="3"/>
      <c r="G18" s="3"/>
      <c r="H18" s="225">
        <v>17.5</v>
      </c>
      <c r="I18" s="91" t="str">
        <f>IF(ISBLANK(H18), " ", IF(ISTEXT(H18), " ", IF(H18&lt;=Нормативы!$H$16, "МСМК", IF(H18&lt;=Нормативы!$H$17, "МС", IF(H18&lt;=Нормативы!$H$18, "КМС", IF(H18&lt;=Нормативы!$H$19, "I", IF(H18&lt;=Нормативы!$H$20, "II", IF(H18&lt;=Нормативы!$H$21, "III", IF(H18&lt;=Нормативы!$H$22, "I юн", IF(H18&lt;=Нормативы!$H$23, "II юн", IF(H18&lt;=Нормативы!$H$24, "III юн", "б/р")))))))))))</f>
        <v>КМС</v>
      </c>
      <c r="J18" s="91" t="str">
        <f>IF(ISBLANK(H18), " ", IF(ISTEXT(H18), " ", IF(H18&lt;=Нормативы!$H$16, "МСМК", IF(H18&lt;=Нормативы!$H$17, "МС", IF(H18&lt;=Нормативы!$H$18, "КМС", IF(H18&lt;=Нормативы!$H$19, "I", IF(H18&lt;=Нормативы!$H$20, "II", IF(H18&lt;=Нормативы!$H$21, "III", IF(H18&lt;=Нормативы!$H$22, "I юн", IF(H18&lt;=Нормативы!$H$23, "II юн", IF(H18&lt;=Нормативы!$H$24, "III юн", "б/р")))))))))))</f>
        <v>КМС</v>
      </c>
      <c r="K18" s="226"/>
      <c r="L18" s="225">
        <f t="shared" ref="L18:L24" si="3">H18-0.2</f>
        <v>17.3</v>
      </c>
      <c r="M18" s="91" t="str">
        <f>IF(ISBLANK(L18), " ", IF(ISTEXT(L18), " ", IF(L18&lt;=Нормативы!$H$16, "КМС", IF(L18&lt;=Нормативы!$H$17, "КМС", IF(L18&lt;=Нормативы!$L$18, "КМС", IF(L18&lt;=Нормативы!$L$19, "I", IF(L18&lt;=Нормативы!$L$20, "II", IF(L18&lt;=Нормативы!$L$21, "III", IF(L18&lt;=Нормативы!$L$22, "I юн", IF(L18&lt;=Нормативы!$L$23, "II юн", IF(L18&lt;=Нормативы!$L$24, "III юн", "б/р")))))))))))</f>
        <v>КМС</v>
      </c>
      <c r="N18" s="91" t="str">
        <f>IF(ISBLANK(L18), " ", IF(ISTEXT(L18), " ", IF(L18&lt;=Нормативы!$H$16, "КМС", IF(L18&lt;=Нормативы!$H$17, "КМС", IF(L18&lt;=Нормативы!$L$18, "КМС", IF(L18&lt;=Нормативы!$L$19, "I", IF(L18&lt;=Нормативы!$L$20, "II", IF(L18&lt;=Нормативы!$L$21, "III", IF(L18&lt;=Нормативы!$L$22, "I юн", IF(L18&lt;=Нормативы!$L$23, "II юн", IF(L18&lt;=Нормативы!$L$24, "III юн", "б/р")))))))))))</f>
        <v>КМС</v>
      </c>
      <c r="O18" s="230"/>
      <c r="P18" s="231"/>
      <c r="Q18" s="91" t="str">
        <f t="shared" si="2"/>
        <v xml:space="preserve"> </v>
      </c>
    </row>
    <row r="19" spans="3:17" x14ac:dyDescent="0.2">
      <c r="C19" s="3"/>
      <c r="D19" s="4"/>
      <c r="E19" s="4"/>
      <c r="F19" s="3"/>
      <c r="G19" s="3"/>
      <c r="H19" s="225">
        <v>18.5</v>
      </c>
      <c r="I19" s="91" t="str">
        <f>IF(ISBLANK(H19), " ", IF(ISTEXT(H19), " ", IF(H19&lt;=Нормативы!$H$16, "МСМК", IF(H19&lt;=Нормативы!$H$17, "МС", IF(H19&lt;=Нормативы!$H$18, "КМС", IF(H19&lt;=Нормативы!$H$19, "I", IF(H19&lt;=Нормативы!$H$20, "II", IF(H19&lt;=Нормативы!$H$21, "III", IF(H19&lt;=Нормативы!$H$22, "I юн", IF(H19&lt;=Нормативы!$H$23, "II юн", IF(H19&lt;=Нормативы!$H$24, "III юн", "б/р")))))))))))</f>
        <v>I</v>
      </c>
      <c r="J19" s="91" t="str">
        <f>IF(ISBLANK(H19), " ", IF(ISTEXT(H19), " ", IF(H19&lt;=Нормативы!$H$16, "МСМК", IF(H19&lt;=Нормативы!$H$17, "МС", IF(H19&lt;=Нормативы!$H$18, "КМС", IF(H19&lt;=Нормативы!$H$19, "I", IF(H19&lt;=Нормативы!$H$20, "II", IF(H19&lt;=Нормативы!$H$21, "III", IF(H19&lt;=Нормативы!$H$22, "I юн", IF(H19&lt;=Нормативы!$H$23, "II юн", IF(H19&lt;=Нормативы!$H$24, "III юн", "б/р")))))))))))</f>
        <v>I</v>
      </c>
      <c r="K19" s="226"/>
      <c r="L19" s="225">
        <f t="shared" si="3"/>
        <v>18.3</v>
      </c>
      <c r="M19" s="91" t="str">
        <f>IF(ISBLANK(L19), " ", IF(ISTEXT(L19), " ", IF(L19&lt;=Нормативы!$H$16, "КМС", IF(L19&lt;=Нормативы!$H$17, "КМС", IF(L19&lt;=Нормативы!$L$18, "КМС", IF(L19&lt;=Нормативы!$L$19, "I", IF(L19&lt;=Нормативы!$L$20, "II", IF(L19&lt;=Нормативы!$L$21, "III", IF(L19&lt;=Нормативы!$L$22, "I юн", IF(L19&lt;=Нормативы!$L$23, "II юн", IF(L19&lt;=Нормативы!$L$24, "III юн", "б/р")))))))))))</f>
        <v>I</v>
      </c>
      <c r="N19" s="91" t="str">
        <f>IF(ISBLANK(L19), " ", IF(ISTEXT(L19), " ", IF(L19&lt;=Нормативы!$H$16, "КМС", IF(L19&lt;=Нормативы!$H$17, "КМС", IF(L19&lt;=Нормативы!$L$18, "КМС", IF(L19&lt;=Нормативы!$L$19, "I", IF(L19&lt;=Нормативы!$L$20, "II", IF(L19&lt;=Нормативы!$L$21, "III", IF(L19&lt;=Нормативы!$L$22, "I юн", IF(L19&lt;=Нормативы!$L$23, "II юн", IF(L19&lt;=Нормативы!$L$24, "III юн", "б/р")))))))))))</f>
        <v>I</v>
      </c>
      <c r="O19" s="230"/>
      <c r="P19" s="231"/>
      <c r="Q19" s="91" t="str">
        <f t="shared" si="2"/>
        <v xml:space="preserve"> </v>
      </c>
    </row>
    <row r="20" spans="3:17" x14ac:dyDescent="0.2">
      <c r="C20" s="3"/>
      <c r="D20" s="4"/>
      <c r="E20" s="4"/>
      <c r="F20" s="3"/>
      <c r="G20" s="3"/>
      <c r="H20" s="225">
        <v>20.099999999999998</v>
      </c>
      <c r="I20" s="91" t="str">
        <f>IF(ISBLANK(H20), " ", IF(ISTEXT(H20), " ", IF(H20&lt;=Нормативы!$H$16, "МСМК", IF(H20&lt;=Нормативы!$H$17, "МС", IF(H20&lt;=Нормативы!$H$18, "КМС", IF(H20&lt;=Нормативы!$H$19, "I", IF(H20&lt;=Нормативы!$H$20, "II", IF(H20&lt;=Нормативы!$H$21, "III", IF(H20&lt;=Нормативы!$H$22, "I юн", IF(H20&lt;=Нормативы!$H$23, "II юн", IF(H20&lt;=Нормативы!$H$24, "III юн", "б/р")))))))))))</f>
        <v>II</v>
      </c>
      <c r="J20" s="91" t="str">
        <f>IF(ISBLANK(H20), " ", IF(ISTEXT(H20), " ", IF(H20&lt;=Нормативы!$H$16, "МСМК", IF(H20&lt;=Нормативы!$H$17, "МС", IF(H20&lt;=Нормативы!$H$18, "КМС", IF(H20&lt;=Нормативы!$H$19, "I", IF(H20&lt;=Нормативы!$H$20, "II", IF(H20&lt;=Нормативы!$H$21, "III", IF(H20&lt;=Нормативы!$H$22, "I юн", IF(H20&lt;=Нормативы!$H$23, "II юн", IF(H20&lt;=Нормативы!$H$24, "III юн", "б/р")))))))))))</f>
        <v>II</v>
      </c>
      <c r="K20" s="226"/>
      <c r="L20" s="225">
        <f t="shared" si="3"/>
        <v>19.899999999999999</v>
      </c>
      <c r="M20" s="91" t="str">
        <f>IF(ISBLANK(L20), " ", IF(ISTEXT(L20), " ", IF(L20&lt;=Нормативы!$H$16, "КМС", IF(L20&lt;=Нормативы!$H$17, "КМС", IF(L20&lt;=Нормативы!$L$18, "КМС", IF(L20&lt;=Нормативы!$L$19, "I", IF(L20&lt;=Нормативы!$L$20, "II", IF(L20&lt;=Нормативы!$L$21, "III", IF(L20&lt;=Нормативы!$L$22, "I юн", IF(L20&lt;=Нормативы!$L$23, "II юн", IF(L20&lt;=Нормативы!$L$24, "III юн", "б/р")))))))))))</f>
        <v>II</v>
      </c>
      <c r="N20" s="91" t="str">
        <f>IF(ISBLANK(L20), " ", IF(ISTEXT(L20), " ", IF(L20&lt;=Нормативы!$H$16, "КМС", IF(L20&lt;=Нормативы!$H$17, "КМС", IF(L20&lt;=Нормативы!$L$18, "КМС", IF(L20&lt;=Нормативы!$L$19, "I", IF(L20&lt;=Нормативы!$L$20, "II", IF(L20&lt;=Нормативы!$L$21, "III", IF(L20&lt;=Нормативы!$L$22, "I юн", IF(L20&lt;=Нормативы!$L$23, "II юн", IF(L20&lt;=Нормативы!$L$24, "III юн", "б/р")))))))))))</f>
        <v>II</v>
      </c>
      <c r="O20" s="230"/>
      <c r="P20" s="231"/>
      <c r="Q20" s="91" t="str">
        <f t="shared" si="2"/>
        <v xml:space="preserve"> </v>
      </c>
    </row>
    <row r="21" spans="3:17" x14ac:dyDescent="0.2">
      <c r="C21" s="3"/>
      <c r="D21" s="4"/>
      <c r="E21" s="4"/>
      <c r="F21" s="3"/>
      <c r="G21" s="3"/>
      <c r="H21" s="225">
        <v>21.8</v>
      </c>
      <c r="I21" s="91" t="str">
        <f>IF(ISBLANK(H21), " ", IF(ISTEXT(H21), " ", IF(H21&lt;=Нормативы!$H$16, "МСМК", IF(H21&lt;=Нормативы!$H$17, "МС", IF(H21&lt;=Нормативы!$H$18, "КМС", IF(H21&lt;=Нормативы!$H$19, "I", IF(H21&lt;=Нормативы!$H$20, "II", IF(H21&lt;=Нормативы!$H$21, "III", IF(H21&lt;=Нормативы!$H$22, "I юн", IF(H21&lt;=Нормативы!$H$23, "II юн", IF(H21&lt;=Нормативы!$H$24, "III юн", "б/р")))))))))))</f>
        <v>III</v>
      </c>
      <c r="J21" s="91" t="str">
        <f>IF(ISBLANK(H21), " ", IF(ISTEXT(H21), " ", IF(H21&lt;=Нормативы!$H$16, "МСМК", IF(H21&lt;=Нормативы!$H$17, "МС", IF(H21&lt;=Нормативы!$H$18, "КМС", IF(H21&lt;=Нормативы!$H$19, "I", IF(H21&lt;=Нормативы!$H$20, "II", IF(H21&lt;=Нормативы!$H$21, "III", IF(H21&lt;=Нормативы!$H$22, "I юн", IF(H21&lt;=Нормативы!$H$23, "II юн", IF(H21&lt;=Нормативы!$H$24, "III юн", "б/р")))))))))))</f>
        <v>III</v>
      </c>
      <c r="K21" s="226"/>
      <c r="L21" s="225">
        <f t="shared" si="3"/>
        <v>21.6</v>
      </c>
      <c r="M21" s="91" t="str">
        <f>IF(ISBLANK(L21), " ", IF(ISTEXT(L21), " ", IF(L21&lt;=Нормативы!$H$16, "КМС", IF(L21&lt;=Нормативы!$H$17, "КМС", IF(L21&lt;=Нормативы!$L$18, "КМС", IF(L21&lt;=Нормативы!$L$19, "I", IF(L21&lt;=Нормативы!$L$20, "II", IF(L21&lt;=Нормативы!$L$21, "III", IF(L21&lt;=Нормативы!$L$22, "I юн", IF(L21&lt;=Нормативы!$L$23, "II юн", IF(L21&lt;=Нормативы!$L$24, "III юн", "б/р")))))))))))</f>
        <v>III</v>
      </c>
      <c r="N21" s="91" t="str">
        <f>IF(ISBLANK(L21), " ", IF(ISTEXT(L21), " ", IF(L21&lt;=Нормативы!$H$16, "КМС", IF(L21&lt;=Нормативы!$H$17, "КМС", IF(L21&lt;=Нормативы!$L$18, "КМС", IF(L21&lt;=Нормативы!$L$19, "I", IF(L21&lt;=Нормативы!$L$20, "II", IF(L21&lt;=Нормативы!$L$21, "III", IF(L21&lt;=Нормативы!$L$22, "I юн", IF(L21&lt;=Нормативы!$L$23, "II юн", IF(L21&lt;=Нормативы!$L$24, "III юн", "б/р")))))))))))</f>
        <v>III</v>
      </c>
      <c r="O21" s="230"/>
      <c r="P21" s="231"/>
      <c r="Q21" s="91" t="str">
        <f t="shared" si="2"/>
        <v xml:space="preserve"> </v>
      </c>
    </row>
    <row r="22" spans="3:17" x14ac:dyDescent="0.2">
      <c r="C22" s="3"/>
      <c r="D22" s="4"/>
      <c r="E22" s="4"/>
      <c r="F22" s="3"/>
      <c r="G22" s="3"/>
      <c r="H22" s="225">
        <v>24</v>
      </c>
      <c r="I22" s="91" t="str">
        <f>IF(ISBLANK(H22), " ", IF(ISTEXT(H22), " ", IF(H22&lt;=Нормативы!$H$16, "МСМК", IF(H22&lt;=Нормативы!$H$17, "МС", IF(H22&lt;=Нормативы!$H$18, "КМС", IF(H22&lt;=Нормативы!$H$19, "I", IF(H22&lt;=Нормативы!$H$20, "II", IF(H22&lt;=Нормативы!$H$21, "III", IF(H22&lt;=Нормативы!$H$22, "I юн", IF(H22&lt;=Нормативы!$H$23, "II юн", IF(H22&lt;=Нормативы!$H$24, "III юн", "б/р")))))))))))</f>
        <v>I юн</v>
      </c>
      <c r="J22" s="91" t="str">
        <f>IF(ISBLANK(H22), " ", IF(ISTEXT(H22), " ", IF(H22&lt;=Нормативы!$H$16, "МСМК", IF(H22&lt;=Нормативы!$H$17, "МС", IF(H22&lt;=Нормативы!$H$18, "КМС", IF(H22&lt;=Нормативы!$H$19, "I", IF(H22&lt;=Нормативы!$H$20, "II", IF(H22&lt;=Нормативы!$H$21, "III", IF(H22&lt;=Нормативы!$H$22, "I юн", IF(H22&lt;=Нормативы!$H$23, "II юн", IF(H22&lt;=Нормативы!$H$24, "III юн", "б/р")))))))))))</f>
        <v>I юн</v>
      </c>
      <c r="K22" s="226"/>
      <c r="L22" s="225">
        <f t="shared" si="3"/>
        <v>23.8</v>
      </c>
      <c r="M22" s="91" t="str">
        <f>IF(ISBLANK(L22), " ", IF(ISTEXT(L22), " ", IF(L22&lt;=Нормативы!$H$16, "КМС", IF(L22&lt;=Нормативы!$H$17, "КМС", IF(L22&lt;=Нормативы!$L$18, "КМС", IF(L22&lt;=Нормативы!$L$19, "I", IF(L22&lt;=Нормативы!$L$20, "II", IF(L22&lt;=Нормативы!$L$21, "III", IF(L22&lt;=Нормативы!$L$22, "I юн", IF(L22&lt;=Нормативы!$L$23, "II юн", IF(L22&lt;=Нормативы!$L$24, "III юн", "б/р")))))))))))</f>
        <v>I юн</v>
      </c>
      <c r="N22" s="91" t="str">
        <f>IF(ISBLANK(L22), " ", IF(ISTEXT(L22), " ", IF(L22&lt;=Нормативы!$H$16, "КМС", IF(L22&lt;=Нормативы!$H$17, "КМС", IF(L22&lt;=Нормативы!$L$18, "КМС", IF(L22&lt;=Нормативы!$L$19, "I", IF(L22&lt;=Нормативы!$L$20, "II", IF(L22&lt;=Нормативы!$L$21, "III", IF(L22&lt;=Нормативы!$L$22, "I юн", IF(L22&lt;=Нормативы!$L$23, "II юн", IF(L22&lt;=Нормативы!$L$24, "III юн", "б/р")))))))))))</f>
        <v>I юн</v>
      </c>
      <c r="O22" s="230"/>
      <c r="P22" s="231"/>
      <c r="Q22" s="91" t="str">
        <f t="shared" si="2"/>
        <v xml:space="preserve"> </v>
      </c>
    </row>
    <row r="23" spans="3:17" x14ac:dyDescent="0.2">
      <c r="C23" s="3"/>
      <c r="D23" s="4"/>
      <c r="E23" s="4"/>
      <c r="F23" s="3"/>
      <c r="G23" s="3"/>
      <c r="H23" s="225">
        <v>26.2</v>
      </c>
      <c r="I23" s="91" t="str">
        <f>IF(ISBLANK(H23), " ", IF(ISTEXT(H23), " ", IF(H23&lt;=Нормативы!$H$16, "МСМК", IF(H23&lt;=Нормативы!$H$17, "МС", IF(H23&lt;=Нормативы!$H$18, "КМС", IF(H23&lt;=Нормативы!$H$19, "I", IF(H23&lt;=Нормативы!$H$20, "II", IF(H23&lt;=Нормативы!$H$21, "III", IF(H23&lt;=Нормативы!$H$22, "I юн", IF(H23&lt;=Нормативы!$H$23, "II юн", IF(H23&lt;=Нормативы!$H$24, "III юн", "б/р")))))))))))</f>
        <v>II юн</v>
      </c>
      <c r="J23" s="91" t="str">
        <f>IF(ISBLANK(H23), " ", IF(ISTEXT(H23), " ", IF(H23&lt;=Нормативы!$H$16, "МСМК", IF(H23&lt;=Нормативы!$H$17, "МС", IF(H23&lt;=Нормативы!$H$18, "КМС", IF(H23&lt;=Нормативы!$H$19, "I", IF(H23&lt;=Нормативы!$H$20, "II", IF(H23&lt;=Нормативы!$H$21, "III", IF(H23&lt;=Нормативы!$H$22, "I юн", IF(H23&lt;=Нормативы!$H$23, "II юн", IF(H23&lt;=Нормативы!$H$24, "III юн", "б/р")))))))))))</f>
        <v>II юн</v>
      </c>
      <c r="K23" s="226"/>
      <c r="L23" s="225">
        <f t="shared" si="3"/>
        <v>26</v>
      </c>
      <c r="M23" s="91" t="str">
        <f>IF(ISBLANK(L23), " ", IF(ISTEXT(L23), " ", IF(L23&lt;=Нормативы!$H$16, "КМС", IF(L23&lt;=Нормативы!$H$17, "КМС", IF(L23&lt;=Нормативы!$L$18, "КМС", IF(L23&lt;=Нормативы!$L$19, "I", IF(L23&lt;=Нормативы!$L$20, "II", IF(L23&lt;=Нормативы!$L$21, "III", IF(L23&lt;=Нормативы!$L$22, "I юн", IF(L23&lt;=Нормативы!$L$23, "II юн", IF(L23&lt;=Нормативы!$L$24, "III юн", "б/р")))))))))))</f>
        <v>II юн</v>
      </c>
      <c r="N23" s="91" t="str">
        <f>IF(ISBLANK(L23), " ", IF(ISTEXT(L23), " ", IF(L23&lt;=Нормативы!$H$16, "КМС", IF(L23&lt;=Нормативы!$H$17, "КМС", IF(L23&lt;=Нормативы!$L$18, "КМС", IF(L23&lt;=Нормативы!$L$19, "I", IF(L23&lt;=Нормативы!$L$20, "II", IF(L23&lt;=Нормативы!$L$21, "III", IF(L23&lt;=Нормативы!$L$22, "I юн", IF(L23&lt;=Нормативы!$L$23, "II юн", IF(L23&lt;=Нормативы!$L$24, "III юн", "б/р")))))))))))</f>
        <v>II юн</v>
      </c>
      <c r="O23" s="230"/>
      <c r="P23" s="231"/>
      <c r="Q23" s="91" t="str">
        <f t="shared" si="2"/>
        <v xml:space="preserve"> </v>
      </c>
    </row>
    <row r="24" spans="3:17" x14ac:dyDescent="0.2">
      <c r="C24" s="3"/>
      <c r="D24" s="4"/>
      <c r="E24" s="4"/>
      <c r="F24" s="3"/>
      <c r="G24" s="3"/>
      <c r="H24" s="225">
        <v>28.2</v>
      </c>
      <c r="I24" s="91" t="str">
        <f>IF(ISBLANK(H24), " ", IF(ISTEXT(H24), " ", IF(H24&lt;=Нормативы!$H$16, "МСМК", IF(H24&lt;=Нормативы!$H$17, "МС", IF(H24&lt;=Нормативы!$H$18, "КМС", IF(H24&lt;=Нормативы!$H$19, "I", IF(H24&lt;=Нормативы!$H$20, "II", IF(H24&lt;=Нормативы!$H$21, "III", IF(H24&lt;=Нормативы!$H$22, "I юн", IF(H24&lt;=Нормативы!$H$23, "II юн", IF(H24&lt;=Нормативы!$H$24, "III юн", "б/р")))))))))))</f>
        <v>III юн</v>
      </c>
      <c r="J24" s="91" t="str">
        <f>IF(ISBLANK(H24), " ", IF(ISTEXT(H24), " ", IF(H24&lt;=Нормативы!$H$16, "МСМК", IF(H24&lt;=Нормативы!$H$17, "МС", IF(H24&lt;=Нормативы!$H$18, "КМС", IF(H24&lt;=Нормативы!$H$19, "I", IF(H24&lt;=Нормативы!$H$20, "II", IF(H24&lt;=Нормативы!$H$21, "III", IF(H24&lt;=Нормативы!$H$22, "I юн", IF(H24&lt;=Нормативы!$H$23, "II юн", IF(H24&lt;=Нормативы!$H$24, "III юн", "б/р")))))))))))</f>
        <v>III юн</v>
      </c>
      <c r="K24" s="226"/>
      <c r="L24" s="225">
        <f t="shared" si="3"/>
        <v>28</v>
      </c>
      <c r="M24" s="91" t="str">
        <f>IF(ISBLANK(L24), " ", IF(ISTEXT(L24), " ", IF(L24&lt;=Нормативы!$H$16, "КМС", IF(L24&lt;=Нормативы!$H$17, "КМС", IF(L24&lt;=Нормативы!$L$18, "КМС", IF(L24&lt;=Нормативы!$L$19, "I", IF(L24&lt;=Нормативы!$L$20, "II", IF(L24&lt;=Нормативы!$L$21, "III", IF(L24&lt;=Нормативы!$L$22, "I юн", IF(L24&lt;=Нормативы!$L$23, "II юн", IF(L24&lt;=Нормативы!$L$24, "III юн", "б/р")))))))))))</f>
        <v>III юн</v>
      </c>
      <c r="N24" s="91" t="str">
        <f>IF(ISBLANK(L24), " ", IF(ISTEXT(L24), " ", IF(L24&lt;=Нормативы!$H$16, "КМС", IF(L24&lt;=Нормативы!$H$17, "КМС", IF(L24&lt;=Нормативы!$L$18, "КМС", IF(L24&lt;=Нормативы!$L$19, "I", IF(L24&lt;=Нормативы!$L$20, "II", IF(L24&lt;=Нормативы!$L$21, "III", IF(L24&lt;=Нормативы!$L$22, "I юн", IF(L24&lt;=Нормативы!$L$23, "II юн", IF(L24&lt;=Нормативы!$L$24, "III юн", "б/р")))))))))))</f>
        <v>III юн</v>
      </c>
      <c r="O24" s="230"/>
      <c r="P24" s="231"/>
      <c r="Q24" s="91" t="str">
        <f t="shared" si="2"/>
        <v xml:space="preserve"> </v>
      </c>
    </row>
    <row r="25" spans="3:17" x14ac:dyDescent="0.2">
      <c r="C25" s="217"/>
      <c r="D25" s="217"/>
      <c r="E25" s="217"/>
      <c r="F25" s="217"/>
      <c r="G25" s="217"/>
      <c r="H25" s="222"/>
      <c r="I25" s="217"/>
      <c r="J25" s="217"/>
      <c r="K25" s="226"/>
      <c r="L25" s="217"/>
      <c r="M25" s="217"/>
      <c r="N25" s="217"/>
      <c r="O25" s="231"/>
      <c r="P25" s="231"/>
      <c r="Q25" s="217"/>
    </row>
    <row r="26" spans="3:17" x14ac:dyDescent="0.2">
      <c r="C26" s="58" t="s">
        <v>379</v>
      </c>
      <c r="D26" s="217"/>
      <c r="E26" s="217"/>
      <c r="F26" s="217"/>
      <c r="G26" s="217"/>
      <c r="H26" s="234"/>
      <c r="I26" s="217"/>
      <c r="J26" s="217"/>
      <c r="K26" s="235"/>
      <c r="L26" s="217"/>
      <c r="M26" s="217"/>
      <c r="N26" s="217"/>
      <c r="Q26" s="217"/>
    </row>
    <row r="27" spans="3:17" x14ac:dyDescent="0.2">
      <c r="C27" s="217"/>
      <c r="D27" s="217"/>
      <c r="E27" s="217"/>
      <c r="F27" s="217"/>
      <c r="G27" s="217"/>
      <c r="H27" s="222">
        <v>22</v>
      </c>
      <c r="I27" s="91" t="str">
        <f>IF(ISBLANK(H27), " ", IF(ISTEXT(H27), " ", IF(H27&lt;=Нормативы!$H$27, "МСМК", IF(H27&lt;=Нормативы!$H$28, "МС", IF(H27&lt;=Нормативы!$H$29, "КМС", IF(H27&lt;=Нормативы!$H$30, "I", IF(H27&lt;=Нормативы!$H$31, "II", IF(H27&lt;=Нормативы!$H$32, "III", IF(H27&lt;=Нормативы!$H$33, "I юн", IF(H27&lt;=Нормативы!$H$34, "II юн", IF(H27&lt;=Нормативы!$H$35, "III юн", "б/р")))))))))))</f>
        <v>МСМК</v>
      </c>
      <c r="J27" s="91" t="str">
        <f>IF(ISBLANK(H27), " ", IF(ISTEXT(H27), " ", IF(H27&lt;=Нормативы!$H$27, "МСМК", IF(H27&lt;=Нормативы!$H$28, "МС", IF(H27&lt;=Нормативы!$H$29, "КМС", IF(H27&lt;=Нормативы!$H$30, "I", IF(H27&lt;=Нормативы!$H$31, "II", IF(H27&lt;=Нормативы!$H$32, "III", IF(H27&lt;=Нормативы!$H$33, "I юн", IF(H27&lt;=Нормативы!$H$34, "II юн", IF(H27&lt;=Нормативы!$H$35, "III юн", "б/р")))))))))))</f>
        <v>МСМК</v>
      </c>
      <c r="K27" s="226"/>
      <c r="L27" s="222"/>
      <c r="M27" s="91" t="str">
        <f>IF(ISBLANK(L27), " ", IF(ISTEXT(L27), " ", IF(L27&lt;=Нормативы!$H$27, "КМС", IF(L27&lt;=Нормативы!$H$28, "КМС", IF(L27&lt;=Нормативы!$L$29, "КМС", IF(L27&lt;=Нормативы!$L$30, "I", IF(L27&lt;=Нормативы!$L$31, "II", IF(L27&lt;=Нормативы!$L$32, "III", IF(L27&lt;=Нормативы!$L$33, "I юн", IF(L27&lt;=Нормативы!$L$34, "II юн", IF(L27&lt;=Нормативы!$L$35, "III юн", "б/р")))))))))))</f>
        <v xml:space="preserve"> </v>
      </c>
      <c r="N27" s="91" t="str">
        <f>IF(ISBLANK(L27), " ", IF(ISTEXT(L27), " ", IF(L27&lt;=22.3, "МСМК", IF(L27&lt;=23.7, "МС", IF(L27&lt;=24.6, "КМС", IF(L27&lt;=26.4, "I", IF(L27&lt;=28, "II", IF(L27&lt;=30.5, "III", IF(L27&lt;=33.5, "I юн", IF(L27&lt;=36.7, "II юн", IF(L27&lt;=39.8, "III юн", "б/р")))))))))))</f>
        <v xml:space="preserve"> </v>
      </c>
      <c r="O27" s="228"/>
      <c r="Q27" s="91" t="str">
        <f t="shared" ref="Q27:Q35" si="4">IF(ISBLANK(P27), " ", IF(ISTEXT(P27), " ", IF(P27&lt;=$H$27, "МСМК", IF(P27&lt;=$H$28, "МС", IF(P27&lt;=$H$29, "КМС", IF(P27&lt;=$H$30, "I", IF(P27&lt;=$H$31, "II", IF(P27&lt;=$H$32, "III", IF(P27&lt;=$H$33, "I юн", IF(P27&lt;=$H$34, "II юн", IF(P27&lt;=$H$35, "III юн", "б/р")))))))))))</f>
        <v xml:space="preserve"> </v>
      </c>
    </row>
    <row r="28" spans="3:17" x14ac:dyDescent="0.2">
      <c r="C28" s="217"/>
      <c r="D28" s="217"/>
      <c r="E28" s="217"/>
      <c r="F28" s="217"/>
      <c r="G28" s="217"/>
      <c r="H28" s="222">
        <v>23.2</v>
      </c>
      <c r="I28" s="91" t="str">
        <f>IF(ISBLANK(H28), " ", IF(ISTEXT(H28), " ", IF(H28&lt;=Нормативы!$H$27, "МСМК", IF(H28&lt;=Нормативы!$H$28, "МС", IF(H28&lt;=Нормативы!$H$29, "КМС", IF(H28&lt;=Нормативы!$H$30, "I", IF(H28&lt;=Нормативы!$H$31, "II", IF(H28&lt;=Нормативы!$H$32, "III", IF(H28&lt;=Нормативы!$H$33, "I юн", IF(H28&lt;=Нормативы!$H$34, "II юн", IF(H28&lt;=Нормативы!$H$35, "III юн", "б/р")))))))))))</f>
        <v>МС</v>
      </c>
      <c r="J28" s="91" t="str">
        <f>IF(ISBLANK(H28), " ", IF(ISTEXT(H28), " ", IF(H28&lt;=Нормативы!$H$27, "МСМК", IF(H28&lt;=Нормативы!$H$28, "МС", IF(H28&lt;=Нормативы!$H$29, "КМС", IF(H28&lt;=Нормативы!$H$30, "I", IF(H28&lt;=Нормативы!$H$31, "II", IF(H28&lt;=Нормативы!$H$32, "III", IF(H28&lt;=Нормативы!$H$33, "I юн", IF(H28&lt;=Нормативы!$H$34, "II юн", IF(H28&lt;=Нормативы!$H$35, "III юн", "б/р")))))))))))</f>
        <v>МС</v>
      </c>
      <c r="K28" s="226"/>
      <c r="L28" s="222"/>
      <c r="M28" s="91" t="str">
        <f>IF(ISBLANK(L28), " ", IF(ISTEXT(L28), " ", IF(L28&lt;=Нормативы!$H$27, "КМС", IF(L28&lt;=Нормативы!$H$28, "КМС", IF(L28&lt;=Нормативы!$L$29, "КМС", IF(L28&lt;=Нормативы!$L$30, "I", IF(L28&lt;=Нормативы!$L$31, "II", IF(L28&lt;=Нормативы!$L$32, "III", IF(L28&lt;=Нормативы!$L$33, "I юн", IF(L28&lt;=Нормативы!$L$34, "II юн", IF(L28&lt;=Нормативы!$L$35, "III юн", "б/р")))))))))))</f>
        <v xml:space="preserve"> </v>
      </c>
      <c r="N28" s="91" t="str">
        <f>IF(ISBLANK(L28), " ", IF(ISTEXT(L28), " ", IF(L28&lt;=22.3, "МСМК", IF(L28&lt;=23.7, "МС", IF(L28&lt;=24.6, "КМС", IF(L28&lt;=26.4, "I", IF(L28&lt;=28, "II", IF(L28&lt;=30.5, "III", IF(L28&lt;=33.5, "I юн", IF(L28&lt;=36.7, "II юн", IF(L28&lt;=39.8, "III юн", "б/р")))))))))))</f>
        <v xml:space="preserve"> </v>
      </c>
      <c r="O28" s="228"/>
      <c r="Q28" s="91" t="str">
        <f t="shared" si="4"/>
        <v xml:space="preserve"> </v>
      </c>
    </row>
    <row r="29" spans="3:17" x14ac:dyDescent="0.2">
      <c r="C29" s="217"/>
      <c r="D29" s="217"/>
      <c r="E29" s="217"/>
      <c r="F29" s="217"/>
      <c r="G29" s="217"/>
      <c r="H29" s="222">
        <v>24.5</v>
      </c>
      <c r="I29" s="91" t="str">
        <f>IF(ISBLANK(H29), " ", IF(ISTEXT(H29), " ", IF(H29&lt;=Нормативы!$H$27, "МСМК", IF(H29&lt;=Нормативы!$H$28, "МС", IF(H29&lt;=Нормативы!$H$29, "КМС", IF(H29&lt;=Нормативы!$H$30, "I", IF(H29&lt;=Нормативы!$H$31, "II", IF(H29&lt;=Нормативы!$H$32, "III", IF(H29&lt;=Нормативы!$H$33, "I юн", IF(H29&lt;=Нормативы!$H$34, "II юн", IF(H29&lt;=Нормативы!$H$35, "III юн", "б/р")))))))))))</f>
        <v>КМС</v>
      </c>
      <c r="J29" s="91" t="str">
        <f>IF(ISBLANK(H29), " ", IF(ISTEXT(H29), " ", IF(H29&lt;=Нормативы!$H$27, "МСМК", IF(H29&lt;=Нормативы!$H$28, "МС", IF(H29&lt;=Нормативы!$H$29, "КМС", IF(H29&lt;=Нормативы!$H$30, "I", IF(H29&lt;=Нормативы!$H$31, "II", IF(H29&lt;=Нормативы!$H$32, "III", IF(H29&lt;=Нормативы!$H$33, "I юн", IF(H29&lt;=Нормативы!$H$34, "II юн", IF(H29&lt;=Нормативы!$H$35, "III юн", "б/р")))))))))))</f>
        <v>КМС</v>
      </c>
      <c r="K29" s="226"/>
      <c r="L29" s="225">
        <f t="shared" ref="L29:L35" si="5">H29-0.2</f>
        <v>24.3</v>
      </c>
      <c r="M29" s="91" t="str">
        <f>IF(ISBLANK(L29), " ", IF(ISTEXT(L29), " ", IF(L29&lt;=Нормативы!$H$27, "КМС", IF(L29&lt;=Нормативы!$H$28, "КМС", IF(L29&lt;=Нормативы!$L$29, "КМС", IF(L29&lt;=Нормативы!$L$30, "I", IF(L29&lt;=Нормативы!$L$31, "II", IF(L29&lt;=Нормативы!$L$32, "III", IF(L29&lt;=Нормативы!$L$33, "I юн", IF(L29&lt;=Нормативы!$L$34, "II юн", IF(L29&lt;=Нормативы!$L$35, "III юн", "б/р")))))))))))</f>
        <v>КМС</v>
      </c>
      <c r="N29" s="91" t="str">
        <f>IF(ISBLANK(L29), " ", IF(ISTEXT(L29), " ", IF(L29&lt;=Нормативы!$H$27, "КМС", IF(L29&lt;=Нормативы!$H$28, "КМС", IF(L29&lt;=Нормативы!$L$29, "КМС", IF(L29&lt;=Нормативы!$L$30, "I", IF(L29&lt;=Нормативы!$L$31, "II", IF(L29&lt;=Нормативы!$L$32, "III", IF(L29&lt;=Нормативы!$L$33, "I юн", IF(L29&lt;=Нормативы!$L$34, "II юн", IF(L29&lt;=Нормативы!$L$35, "III юн", "б/р")))))))))))</f>
        <v>КМС</v>
      </c>
      <c r="O29" s="91"/>
      <c r="Q29" s="91" t="str">
        <f t="shared" si="4"/>
        <v xml:space="preserve"> </v>
      </c>
    </row>
    <row r="30" spans="3:17" x14ac:dyDescent="0.2">
      <c r="C30" s="217"/>
      <c r="D30" s="217"/>
      <c r="E30" s="217"/>
      <c r="F30" s="217"/>
      <c r="G30" s="217"/>
      <c r="H30" s="222">
        <v>26.2</v>
      </c>
      <c r="I30" s="91" t="str">
        <f>IF(ISBLANK(H30), " ", IF(ISTEXT(H30), " ", IF(H30&lt;=Нормативы!$H$27, "МСМК", IF(H30&lt;=Нормативы!$H$28, "МС", IF(H30&lt;=Нормативы!$H$29, "КМС", IF(H30&lt;=Нормативы!$H$30, "I", IF(H30&lt;=Нормативы!$H$31, "II", IF(H30&lt;=Нормативы!$H$32, "III", IF(H30&lt;=Нормативы!$H$33, "I юн", IF(H30&lt;=Нормативы!$H$34, "II юн", IF(H30&lt;=Нормативы!$H$35, "III юн", "б/р")))))))))))</f>
        <v>I</v>
      </c>
      <c r="J30" s="91" t="str">
        <f>IF(ISBLANK(H30), " ", IF(ISTEXT(H30), " ", IF(H30&lt;=Нормативы!$H$27, "МСМК", IF(H30&lt;=Нормативы!$H$28, "МС", IF(H30&lt;=Нормативы!$H$29, "КМС", IF(H30&lt;=Нормативы!$H$30, "I", IF(H30&lt;=Нормативы!$H$31, "II", IF(H30&lt;=Нормативы!$H$32, "III", IF(H30&lt;=Нормативы!$H$33, "I юн", IF(H30&lt;=Нормативы!$H$34, "II юн", IF(H30&lt;=Нормативы!$H$35, "III юн", "б/р")))))))))))</f>
        <v>I</v>
      </c>
      <c r="K30" s="226"/>
      <c r="L30" s="225">
        <f t="shared" si="5"/>
        <v>26</v>
      </c>
      <c r="M30" s="91" t="str">
        <f>IF(ISBLANK(L30), " ", IF(ISTEXT(L30), " ", IF(L30&lt;=Нормативы!$H$27, "КМС", IF(L30&lt;=Нормативы!$H$28, "КМС", IF(L30&lt;=Нормативы!$L$29, "КМС", IF(L30&lt;=Нормативы!$L$30, "I", IF(L30&lt;=Нормативы!$L$31, "II", IF(L30&lt;=Нормативы!$L$32, "III", IF(L30&lt;=Нормативы!$L$33, "I юн", IF(L30&lt;=Нормативы!$L$34, "II юн", IF(L30&lt;=Нормативы!$L$35, "III юн", "б/р")))))))))))</f>
        <v>I</v>
      </c>
      <c r="N30" s="91" t="str">
        <f>IF(ISBLANK(L30), " ", IF(ISTEXT(L30), " ", IF(L30&lt;=Нормативы!$H$27, "КМС", IF(L30&lt;=Нормативы!$H$28, "КМС", IF(L30&lt;=Нормативы!$L$29, "КМС", IF(L30&lt;=Нормативы!$L$30, "I", IF(L30&lt;=Нормативы!$L$31, "II", IF(L30&lt;=Нормативы!$L$32, "III", IF(L30&lt;=Нормативы!$L$33, "I юн", IF(L30&lt;=Нормативы!$L$34, "II юн", IF(L30&lt;=Нормативы!$L$35, "III юн", "б/р")))))))))))</f>
        <v>I</v>
      </c>
      <c r="O30" s="91"/>
      <c r="Q30" s="91" t="str">
        <f t="shared" si="4"/>
        <v xml:space="preserve"> </v>
      </c>
    </row>
    <row r="31" spans="3:17" x14ac:dyDescent="0.2">
      <c r="C31" s="217"/>
      <c r="D31" s="217"/>
      <c r="E31" s="217"/>
      <c r="F31" s="217"/>
      <c r="G31" s="217"/>
      <c r="H31" s="222">
        <v>27.7</v>
      </c>
      <c r="I31" s="91" t="str">
        <f>IF(ISBLANK(H31), " ", IF(ISTEXT(H31), " ", IF(H31&lt;=Нормативы!$H$27, "МСМК", IF(H31&lt;=Нормативы!$H$28, "МС", IF(H31&lt;=Нормативы!$H$29, "КМС", IF(H31&lt;=Нормативы!$H$30, "I", IF(H31&lt;=Нормативы!$H$31, "II", IF(H31&lt;=Нормативы!$H$32, "III", IF(H31&lt;=Нормативы!$H$33, "I юн", IF(H31&lt;=Нормативы!$H$34, "II юн", IF(H31&lt;=Нормативы!$H$35, "III юн", "б/р")))))))))))</f>
        <v>II</v>
      </c>
      <c r="J31" s="91" t="str">
        <f>IF(ISBLANK(H31), " ", IF(ISTEXT(H31), " ", IF(H31&lt;=Нормативы!$H$27, "МСМК", IF(H31&lt;=Нормативы!$H$28, "МС", IF(H31&lt;=Нормативы!$H$29, "КМС", IF(H31&lt;=Нормативы!$H$30, "I", IF(H31&lt;=Нормативы!$H$31, "II", IF(H31&lt;=Нормативы!$H$32, "III", IF(H31&lt;=Нормативы!$H$33, "I юн", IF(H31&lt;=Нормативы!$H$34, "II юн", IF(H31&lt;=Нормативы!$H$35, "III юн", "б/р")))))))))))</f>
        <v>II</v>
      </c>
      <c r="K31" s="226"/>
      <c r="L31" s="225">
        <f t="shared" si="5"/>
        <v>27.5</v>
      </c>
      <c r="M31" s="91" t="str">
        <f>IF(ISBLANK(L31), " ", IF(ISTEXT(L31), " ", IF(L31&lt;=Нормативы!$H$27, "КМС", IF(L31&lt;=Нормативы!$H$28, "КМС", IF(L31&lt;=Нормативы!$L$29, "КМС", IF(L31&lt;=Нормативы!$L$30, "I", IF(L31&lt;=Нормативы!$L$31, "II", IF(L31&lt;=Нормативы!$L$32, "III", IF(L31&lt;=Нормативы!$L$33, "I юн", IF(L31&lt;=Нормативы!$L$34, "II юн", IF(L31&lt;=Нормативы!$L$35, "III юн", "б/р")))))))))))</f>
        <v>II</v>
      </c>
      <c r="N31" s="91" t="str">
        <f>IF(ISBLANK(L31), " ", IF(ISTEXT(L31), " ", IF(L31&lt;=Нормативы!$H$27, "КМС", IF(L31&lt;=Нормативы!$H$28, "КМС", IF(L31&lt;=Нормативы!$L$29, "КМС", IF(L31&lt;=Нормативы!$L$30, "I", IF(L31&lt;=Нормативы!$L$31, "II", IF(L31&lt;=Нормативы!$L$32, "III", IF(L31&lt;=Нормативы!$L$33, "I юн", IF(L31&lt;=Нормативы!$L$34, "II юн", IF(L31&lt;=Нормативы!$L$35, "III юн", "б/р")))))))))))</f>
        <v>II</v>
      </c>
      <c r="O31" s="91"/>
      <c r="Q31" s="91" t="str">
        <f t="shared" si="4"/>
        <v xml:space="preserve"> </v>
      </c>
    </row>
    <row r="32" spans="3:17" x14ac:dyDescent="0.2">
      <c r="C32" s="217"/>
      <c r="D32" s="217"/>
      <c r="E32" s="217"/>
      <c r="F32" s="217"/>
      <c r="G32" s="217"/>
      <c r="H32" s="222">
        <v>30.3</v>
      </c>
      <c r="I32" s="91" t="str">
        <f>IF(ISBLANK(H32), " ", IF(ISTEXT(H32), " ", IF(H32&lt;=Нормативы!$H$27, "МСМК", IF(H32&lt;=Нормативы!$H$28, "МС", IF(H32&lt;=Нормативы!$H$29, "КМС", IF(H32&lt;=Нормативы!$H$30, "I", IF(H32&lt;=Нормативы!$H$31, "II", IF(H32&lt;=Нормативы!$H$32, "III", IF(H32&lt;=Нормативы!$H$33, "I юн", IF(H32&lt;=Нормативы!$H$34, "II юн", IF(H32&lt;=Нормативы!$H$35, "III юн", "б/р")))))))))))</f>
        <v>III</v>
      </c>
      <c r="J32" s="91" t="str">
        <f>IF(ISBLANK(H32), " ", IF(ISTEXT(H32), " ", IF(H32&lt;=Нормативы!$H$27, "МСМК", IF(H32&lt;=Нормативы!$H$28, "МС", IF(H32&lt;=Нормативы!$H$29, "КМС", IF(H32&lt;=Нормативы!$H$30, "I", IF(H32&lt;=Нормативы!$H$31, "II", IF(H32&lt;=Нормативы!$H$32, "III", IF(H32&lt;=Нормативы!$H$33, "I юн", IF(H32&lt;=Нормативы!$H$34, "II юн", IF(H32&lt;=Нормативы!$H$35, "III юн", "б/р")))))))))))</f>
        <v>III</v>
      </c>
      <c r="K32" s="226"/>
      <c r="L32" s="225">
        <f t="shared" si="5"/>
        <v>30.1</v>
      </c>
      <c r="M32" s="91" t="str">
        <f>IF(ISBLANK(L32), " ", IF(ISTEXT(L32), " ", IF(L32&lt;=Нормативы!$H$27, "КМС", IF(L32&lt;=Нормативы!$H$28, "КМС", IF(L32&lt;=Нормативы!$L$29, "КМС", IF(L32&lt;=Нормативы!$L$30, "I", IF(L32&lt;=Нормативы!$L$31, "II", IF(L32&lt;=Нормативы!$L$32, "III", IF(L32&lt;=Нормативы!$L$33, "I юн", IF(L32&lt;=Нормативы!$L$34, "II юн", IF(L32&lt;=Нормативы!$L$35, "III юн", "б/р")))))))))))</f>
        <v>III</v>
      </c>
      <c r="N32" s="91" t="str">
        <f>IF(ISBLANK(L32), " ", IF(ISTEXT(L32), " ", IF(L32&lt;=Нормативы!$H$27, "КМС", IF(L32&lt;=Нормативы!$H$28, "КМС", IF(L32&lt;=Нормативы!$L$29, "КМС", IF(L32&lt;=Нормативы!$L$30, "I", IF(L32&lt;=Нормативы!$L$31, "II", IF(L32&lt;=Нормативы!$L$32, "III", IF(L32&lt;=Нормативы!$L$33, "I юн", IF(L32&lt;=Нормативы!$L$34, "II юн", IF(L32&lt;=Нормативы!$L$35, "III юн", "б/р")))))))))))</f>
        <v>III</v>
      </c>
      <c r="O32" s="91"/>
      <c r="Q32" s="91" t="str">
        <f t="shared" si="4"/>
        <v xml:space="preserve"> </v>
      </c>
    </row>
    <row r="33" spans="3:33" x14ac:dyDescent="0.2">
      <c r="C33" s="217"/>
      <c r="D33" s="217"/>
      <c r="E33" s="217"/>
      <c r="F33" s="217"/>
      <c r="G33" s="217"/>
      <c r="H33" s="222">
        <v>33.200000000000003</v>
      </c>
      <c r="I33" s="91" t="str">
        <f>IF(ISBLANK(H33), " ", IF(ISTEXT(H33), " ", IF(H33&lt;=Нормативы!$H$27, "МСМК", IF(H33&lt;=Нормативы!$H$28, "МС", IF(H33&lt;=Нормативы!$H$29, "КМС", IF(H33&lt;=Нормативы!$H$30, "I", IF(H33&lt;=Нормативы!$H$31, "II", IF(H33&lt;=Нормативы!$H$32, "III", IF(H33&lt;=Нормативы!$H$33, "I юн", IF(H33&lt;=Нормативы!$H$34, "II юн", IF(H33&lt;=Нормативы!$H$35, "III юн", "б/р")))))))))))</f>
        <v>I юн</v>
      </c>
      <c r="J33" s="91" t="str">
        <f>IF(ISBLANK(H33), " ", IF(ISTEXT(H33), " ", IF(H33&lt;=Нормативы!$H$27, "МСМК", IF(H33&lt;=Нормативы!$H$28, "МС", IF(H33&lt;=Нормативы!$H$29, "КМС", IF(H33&lt;=Нормативы!$H$30, "I", IF(H33&lt;=Нормативы!$H$31, "II", IF(H33&lt;=Нормативы!$H$32, "III", IF(H33&lt;=Нормативы!$H$33, "I юн", IF(H33&lt;=Нормативы!$H$34, "II юн", IF(H33&lt;=Нормативы!$H$35, "III юн", "б/р")))))))))))</f>
        <v>I юн</v>
      </c>
      <c r="K33" s="226"/>
      <c r="L33" s="225">
        <f t="shared" si="5"/>
        <v>33</v>
      </c>
      <c r="M33" s="91" t="str">
        <f>IF(ISBLANK(L33), " ", IF(ISTEXT(L33), " ", IF(L33&lt;=Нормативы!$H$27, "КМС", IF(L33&lt;=Нормативы!$H$28, "КМС", IF(L33&lt;=Нормативы!$L$29, "КМС", IF(L33&lt;=Нормативы!$L$30, "I", IF(L33&lt;=Нормативы!$L$31, "II", IF(L33&lt;=Нормативы!$L$32, "III", IF(L33&lt;=Нормативы!$L$33, "I юн", IF(L33&lt;=Нормативы!$L$34, "II юн", IF(L33&lt;=Нормативы!$L$35, "III юн", "б/р")))))))))))</f>
        <v>I юн</v>
      </c>
      <c r="N33" s="91" t="str">
        <f>IF(ISBLANK(L33), " ", IF(ISTEXT(L33), " ", IF(L33&lt;=Нормативы!$H$27, "КМС", IF(L33&lt;=Нормативы!$H$28, "КМС", IF(L33&lt;=Нормативы!$L$29, "КМС", IF(L33&lt;=Нормативы!$L$30, "I", IF(L33&lt;=Нормативы!$L$31, "II", IF(L33&lt;=Нормативы!$L$32, "III", IF(L33&lt;=Нормативы!$L$33, "I юн", IF(L33&lt;=Нормативы!$L$34, "II юн", IF(L33&lt;=Нормативы!$L$35, "III юн", "б/р")))))))))))</f>
        <v>I юн</v>
      </c>
      <c r="O33" s="91"/>
      <c r="Q33" s="91" t="str">
        <f t="shared" si="4"/>
        <v xml:space="preserve"> </v>
      </c>
    </row>
    <row r="34" spans="3:33" x14ac:dyDescent="0.2">
      <c r="C34" s="217"/>
      <c r="D34" s="217"/>
      <c r="E34" s="217"/>
      <c r="F34" s="217"/>
      <c r="G34" s="217"/>
      <c r="H34" s="222">
        <v>36.200000000000003</v>
      </c>
      <c r="I34" s="91" t="str">
        <f>IF(ISBLANK(H34), " ", IF(ISTEXT(H34), " ", IF(H34&lt;=Нормативы!$H$27, "МСМК", IF(H34&lt;=Нормативы!$H$28, "МС", IF(H34&lt;=Нормативы!$H$29, "КМС", IF(H34&lt;=Нормативы!$H$30, "I", IF(H34&lt;=Нормативы!$H$31, "II", IF(H34&lt;=Нормативы!$H$32, "III", IF(H34&lt;=Нормативы!$H$33, "I юн", IF(H34&lt;=Нормативы!$H$34, "II юн", IF(H34&lt;=Нормативы!$H$35, "III юн", "б/р")))))))))))</f>
        <v>II юн</v>
      </c>
      <c r="J34" s="91" t="str">
        <f>IF(ISBLANK(H34), " ", IF(ISTEXT(H34), " ", IF(H34&lt;=Нормативы!$H$27, "МСМК", IF(H34&lt;=Нормативы!$H$28, "МС", IF(H34&lt;=Нормативы!$H$29, "КМС", IF(H34&lt;=Нормативы!$H$30, "I", IF(H34&lt;=Нормативы!$H$31, "II", IF(H34&lt;=Нормативы!$H$32, "III", IF(H34&lt;=Нормативы!$H$33, "I юн", IF(H34&lt;=Нормативы!$H$34, "II юн", IF(H34&lt;=Нормативы!$H$35, "III юн", "б/р")))))))))))</f>
        <v>II юн</v>
      </c>
      <c r="K34" s="226"/>
      <c r="L34" s="225">
        <f t="shared" si="5"/>
        <v>36</v>
      </c>
      <c r="M34" s="91" t="str">
        <f>IF(ISBLANK(L34), " ", IF(ISTEXT(L34), " ", IF(L34&lt;=Нормативы!$H$27, "КМС", IF(L34&lt;=Нормативы!$H$28, "КМС", IF(L34&lt;=Нормативы!$L$29, "КМС", IF(L34&lt;=Нормативы!$L$30, "I", IF(L34&lt;=Нормативы!$L$31, "II", IF(L34&lt;=Нормативы!$L$32, "III", IF(L34&lt;=Нормативы!$L$33, "I юн", IF(L34&lt;=Нормативы!$L$34, "II юн", IF(L34&lt;=Нормативы!$L$35, "III юн", "б/р")))))))))))</f>
        <v>II юн</v>
      </c>
      <c r="N34" s="91" t="str">
        <f>IF(ISBLANK(L34), " ", IF(ISTEXT(L34), " ", IF(L34&lt;=Нормативы!$H$27, "КМС", IF(L34&lt;=Нормативы!$H$28, "КМС", IF(L34&lt;=Нормативы!$L$29, "КМС", IF(L34&lt;=Нормативы!$L$30, "I", IF(L34&lt;=Нормативы!$L$31, "II", IF(L34&lt;=Нормативы!$L$32, "III", IF(L34&lt;=Нормативы!$L$33, "I юн", IF(L34&lt;=Нормативы!$L$34, "II юн", IF(L34&lt;=Нормативы!$L$35, "III юн", "б/р")))))))))))</f>
        <v>II юн</v>
      </c>
      <c r="O34" s="91"/>
      <c r="Q34" s="91" t="str">
        <f t="shared" si="4"/>
        <v xml:space="preserve"> </v>
      </c>
    </row>
    <row r="35" spans="3:33" x14ac:dyDescent="0.2">
      <c r="C35" s="217"/>
      <c r="D35" s="217"/>
      <c r="E35" s="217"/>
      <c r="F35" s="217"/>
      <c r="G35" s="217"/>
      <c r="H35" s="222">
        <v>39.200000000000003</v>
      </c>
      <c r="I35" s="91" t="str">
        <f>IF(ISBLANK(H35), " ", IF(ISTEXT(H35), " ", IF(H35&lt;=Нормативы!$H$27, "МСМК", IF(H35&lt;=Нормативы!$H$28, "МС", IF(H35&lt;=Нормативы!$H$29, "КМС", IF(H35&lt;=Нормативы!$H$30, "I", IF(H35&lt;=Нормативы!$H$31, "II", IF(H35&lt;=Нормативы!$H$32, "III", IF(H35&lt;=Нормативы!$H$33, "I юн", IF(H35&lt;=Нормативы!$H$34, "II юн", IF(H35&lt;=Нормативы!$H$35, "III юн", "б/р")))))))))))</f>
        <v>III юн</v>
      </c>
      <c r="J35" s="91" t="str">
        <f>IF(ISBLANK(H35), " ", IF(ISTEXT(H35), " ", IF(H35&lt;=Нормативы!$H$27, "МСМК", IF(H35&lt;=Нормативы!$H$28, "МС", IF(H35&lt;=Нормативы!$H$29, "КМС", IF(H35&lt;=Нормативы!$H$30, "I", IF(H35&lt;=Нормативы!$H$31, "II", IF(H35&lt;=Нормативы!$H$32, "III", IF(H35&lt;=Нормативы!$H$33, "I юн", IF(H35&lt;=Нормативы!$H$34, "II юн", IF(H35&lt;=Нормативы!$H$35, "III юн", "б/р")))))))))))</f>
        <v>III юн</v>
      </c>
      <c r="K35" s="226"/>
      <c r="L35" s="225">
        <f t="shared" si="5"/>
        <v>39</v>
      </c>
      <c r="M35" s="91" t="str">
        <f>IF(ISBLANK(L35), " ", IF(ISTEXT(L35), " ", IF(L35&lt;=Нормативы!$H$27, "КМС", IF(L35&lt;=Нормативы!$H$28, "КМС", IF(L35&lt;=Нормативы!$L$29, "КМС", IF(L35&lt;=Нормативы!$L$30, "I", IF(L35&lt;=Нормативы!$L$31, "II", IF(L35&lt;=Нормативы!$L$32, "III", IF(L35&lt;=Нормативы!$L$33, "I юн", IF(L35&lt;=Нормативы!$L$34, "II юн", IF(L35&lt;=Нормативы!$L$35, "III юн", "б/р")))))))))))</f>
        <v>III юн</v>
      </c>
      <c r="N35" s="91" t="str">
        <f>IF(ISBLANK(L35), " ", IF(ISTEXT(L35), " ", IF(L35&lt;=Нормативы!$H$27, "КМС", IF(L35&lt;=Нормативы!$H$28, "КМС", IF(L35&lt;=Нормативы!$L$29, "КМС", IF(L35&lt;=Нормативы!$L$30, "I", IF(L35&lt;=Нормативы!$L$31, "II", IF(L35&lt;=Нормативы!$L$32, "III", IF(L35&lt;=Нормативы!$L$33, "I юн", IF(L35&lt;=Нормативы!$L$34, "II юн", IF(L35&lt;=Нормативы!$L$35, "III юн", "б/р")))))))))))</f>
        <v>III юн</v>
      </c>
      <c r="O35" s="91"/>
      <c r="Q35" s="91" t="str">
        <f t="shared" si="4"/>
        <v xml:space="preserve"> </v>
      </c>
    </row>
    <row r="36" spans="3:33" x14ac:dyDescent="0.2">
      <c r="C36" s="217"/>
      <c r="D36" s="217"/>
      <c r="E36" s="217"/>
      <c r="F36" s="217"/>
      <c r="G36" s="217"/>
      <c r="H36" s="234"/>
      <c r="I36" s="217"/>
      <c r="J36" s="217"/>
      <c r="K36" s="226"/>
      <c r="L36" s="217"/>
      <c r="M36" s="217"/>
      <c r="N36" s="217"/>
      <c r="P36" s="233"/>
      <c r="Q36" s="217"/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233"/>
      <c r="AE36" s="233"/>
      <c r="AF36" s="224"/>
      <c r="AG36" s="233"/>
    </row>
    <row r="37" spans="3:33" x14ac:dyDescent="0.2">
      <c r="C37" s="58" t="s">
        <v>380</v>
      </c>
      <c r="D37" s="217"/>
      <c r="E37" s="217"/>
      <c r="F37" s="217"/>
      <c r="G37" s="217"/>
      <c r="H37" s="234"/>
      <c r="I37" s="217"/>
      <c r="J37" s="217"/>
      <c r="K37" s="235"/>
      <c r="L37" s="217"/>
      <c r="M37" s="217"/>
      <c r="N37" s="217"/>
      <c r="P37" s="224"/>
      <c r="Q37" s="217"/>
      <c r="R37" s="224"/>
      <c r="S37" s="224"/>
      <c r="T37" s="224"/>
      <c r="U37" s="224"/>
      <c r="V37" s="224"/>
      <c r="W37" s="224"/>
      <c r="X37" s="224"/>
      <c r="Y37" s="224"/>
      <c r="Z37" s="224"/>
      <c r="AA37" s="224"/>
      <c r="AB37" s="224"/>
      <c r="AC37" s="224"/>
      <c r="AD37" s="224"/>
      <c r="AE37" s="224"/>
      <c r="AF37" s="224"/>
      <c r="AG37" s="224"/>
    </row>
    <row r="38" spans="3:33" x14ac:dyDescent="0.2">
      <c r="C38" s="217"/>
      <c r="D38" s="217"/>
      <c r="E38" s="217"/>
      <c r="F38" s="217"/>
      <c r="G38" s="217"/>
      <c r="H38" s="222">
        <v>19.3</v>
      </c>
      <c r="I38" s="91" t="str">
        <f>IF(ISBLANK(H38), " ", IF(ISTEXT(H38), " ", IF(H38&lt;=Нормативы!$H$38, "МСМК", IF(H38&lt;=Нормативы!$H$39, "МС", IF(H38&lt;=Нормативы!$H$40, "КМС", IF(H38&lt;=Нормативы!$H$41, "I", IF(H38&lt;=Нормативы!$H$42, "II", IF(H38&lt;=Нормативы!$H$43, "III", IF(H38&lt;=Нормативы!$H$44, "I юн", IF(H38&lt;=Нормативы!$H$45, "II юн", IF(H38&lt;=Нормативы!$H$46, "III юн", "б/р")))))))))))</f>
        <v>МСМК</v>
      </c>
      <c r="J38" s="91" t="str">
        <f>IF(ISBLANK(H38), " ", IF(ISTEXT(H38), " ", IF(H38&lt;=Нормативы!$H$38, "МСМК", IF(H38&lt;=Нормативы!$H$39, "МС", IF(H38&lt;=Нормативы!$H$40, "КМС", IF(H38&lt;=Нормативы!$H$41, "I", IF(H38&lt;=Нормативы!$H$42, "II", IF(H38&lt;=Нормативы!$H$43, "III", IF(H38&lt;=Нормативы!$H$44, "I юн", IF(H38&lt;=Нормативы!$H$45, "II юн", IF(H38&lt;=Нормативы!$H$46, "III юн", "б/р")))))))))))</f>
        <v>МСМК</v>
      </c>
      <c r="K38" s="226"/>
      <c r="L38" s="222"/>
      <c r="M38" s="91" t="str">
        <f>IF(ISBLANK(L38), " ", IF(ISTEXT(L38), " ", IF(L38&lt;=Нормативы!$H$38, "КМС", IF(L38&lt;=Нормативы!$H$39, "КМС", IF(L38&lt;=Нормативы!$L$40, "КМС", IF(L38&lt;=Нормативы!$L$41, "I", IF(L38&lt;=Нормативы!$L$42, "II", IF(L38&lt;=Нормативы!$L$43, "III", IF(L38&lt;=Нормативы!$L$44, "I юн", IF(L38&lt;=Нормативы!$L$45, "II юн", IF(L38&lt;=Нормативы!$L$46, "III юн", "б/р")))))))))))</f>
        <v xml:space="preserve"> </v>
      </c>
      <c r="N38" s="91" t="str">
        <f>IF(ISBLANK(L38), " ", IF(ISTEXT(L38), " ", IF(L38&lt;=19.4, "МСМК", IF(L38&lt;=20.5, "МС", IF(L38&lt;=21.3, "КМС", IF(L38&lt;=23, "I", IF(L38&lt;=24.8, "II", IF(L38&lt;=26.5, "III", IF(L38&lt;=29.8, "I юн", IF(L38&lt;=32.4, "II юн", IF(L38&lt;=35.5, "III юн", "б/р")))))))))))</f>
        <v xml:space="preserve"> </v>
      </c>
      <c r="O38" s="228"/>
      <c r="P38" s="233"/>
      <c r="Q38" s="91" t="str">
        <f t="shared" ref="Q38:Q46" si="6">IF(ISBLANK(P38), " ", IF(ISTEXT(P38), " ", IF(P38&lt;=$H$38, "МСМК", IF(P38&lt;=$H$39, "МС", IF(P38&lt;=$H$40, "КМС", IF(P38&lt;=$H$41, "I", IF(P38&lt;=$H$42, "II", IF(P38&lt;=$H$43, "III", IF(P38&lt;=$H$44, "I юн", IF(P38&lt;=$H$45, "II юн", IF(P38&lt;=$H$46, "III юн", "б/р")))))))))))</f>
        <v xml:space="preserve"> </v>
      </c>
      <c r="R38" s="233"/>
      <c r="S38" s="233"/>
      <c r="T38" s="233"/>
      <c r="U38" s="233"/>
      <c r="V38" s="233"/>
      <c r="W38" s="233"/>
      <c r="X38" s="233"/>
      <c r="Y38" s="233"/>
      <c r="Z38" s="233"/>
      <c r="AA38" s="233"/>
      <c r="AB38" s="233"/>
      <c r="AC38" s="233"/>
      <c r="AD38" s="233"/>
      <c r="AE38" s="233"/>
      <c r="AF38" s="224"/>
      <c r="AG38" s="233"/>
    </row>
    <row r="39" spans="3:33" x14ac:dyDescent="0.2">
      <c r="C39" s="217"/>
      <c r="D39" s="217"/>
      <c r="E39" s="217"/>
      <c r="F39" s="217"/>
      <c r="G39" s="217"/>
      <c r="H39" s="222">
        <v>20.2</v>
      </c>
      <c r="I39" s="91" t="str">
        <f>IF(ISBLANK(H39), " ", IF(ISTEXT(H39), " ", IF(H39&lt;=Нормативы!$H$38, "МСМК", IF(H39&lt;=Нормативы!$H$39, "МС", IF(H39&lt;=Нормативы!$H$40, "КМС", IF(H39&lt;=Нормативы!$H$41, "I", IF(H39&lt;=Нормативы!$H$42, "II", IF(H39&lt;=Нормативы!$H$43, "III", IF(H39&lt;=Нормативы!$H$44, "I юн", IF(H39&lt;=Нормативы!$H$45, "II юн", IF(H39&lt;=Нормативы!$H$46, "III юн", "б/р")))))))))))</f>
        <v>МС</v>
      </c>
      <c r="J39" s="91" t="str">
        <f>IF(ISBLANK(H39), " ", IF(ISTEXT(H39), " ", IF(H39&lt;=Нормативы!$H$38, "МСМК", IF(H39&lt;=Нормативы!$H$39, "МС", IF(H39&lt;=Нормативы!$H$40, "КМС", IF(H39&lt;=Нормативы!$H$41, "I", IF(H39&lt;=Нормативы!$H$42, "II", IF(H39&lt;=Нормативы!$H$43, "III", IF(H39&lt;=Нормативы!$H$44, "I юн", IF(H39&lt;=Нормативы!$H$45, "II юн", IF(H39&lt;=Нормативы!$H$46, "III юн", "б/р")))))))))))</f>
        <v>МС</v>
      </c>
      <c r="K39" s="226"/>
      <c r="L39" s="222"/>
      <c r="M39" s="91" t="str">
        <f>IF(ISBLANK(L39), " ", IF(ISTEXT(L39), " ", IF(L39&lt;=Нормативы!$H$38, "КМС", IF(L39&lt;=Нормативы!$H$39, "КМС", IF(L39&lt;=Нормативы!$L$40, "КМС", IF(L39&lt;=Нормативы!$L$41, "I", IF(L39&lt;=Нормативы!$L$42, "II", IF(L39&lt;=Нормативы!$L$43, "III", IF(L39&lt;=Нормативы!$L$44, "I юн", IF(L39&lt;=Нормативы!$L$45, "II юн", IF(L39&lt;=Нормативы!$L$46, "III юн", "б/р")))))))))))</f>
        <v xml:space="preserve"> </v>
      </c>
      <c r="N39" s="91" t="str">
        <f>IF(ISBLANK(L39), " ", IF(ISTEXT(L39), " ", IF(L39&lt;=19.4, "МСМК", IF(L39&lt;=20.5, "МС", IF(L39&lt;=21.3, "КМС", IF(L39&lt;=23, "I", IF(L39&lt;=24.8, "II", IF(L39&lt;=26.5, "III", IF(L39&lt;=29.8, "I юн", IF(L39&lt;=32.4, "II юн", IF(L39&lt;=35.5, "III юн", "б/р")))))))))))</f>
        <v xml:space="preserve"> </v>
      </c>
      <c r="O39" s="228"/>
      <c r="P39" s="224"/>
      <c r="Q39" s="91" t="str">
        <f t="shared" si="6"/>
        <v xml:space="preserve"> </v>
      </c>
      <c r="R39" s="224"/>
      <c r="S39" s="224"/>
      <c r="T39" s="224"/>
      <c r="U39" s="224"/>
      <c r="V39" s="224"/>
      <c r="W39" s="224"/>
      <c r="X39" s="224"/>
      <c r="Y39" s="224"/>
      <c r="Z39" s="224"/>
      <c r="AA39" s="224"/>
      <c r="AB39" s="224"/>
      <c r="AC39" s="224"/>
      <c r="AD39" s="224"/>
      <c r="AE39" s="224"/>
      <c r="AF39" s="224"/>
      <c r="AG39" s="224"/>
    </row>
    <row r="40" spans="3:33" x14ac:dyDescent="0.2">
      <c r="C40" s="217"/>
      <c r="D40" s="217"/>
      <c r="E40" s="217"/>
      <c r="F40" s="217"/>
      <c r="G40" s="217"/>
      <c r="H40" s="222">
        <v>21.2</v>
      </c>
      <c r="I40" s="91" t="str">
        <f>IF(ISBLANK(H40), " ", IF(ISTEXT(H40), " ", IF(H40&lt;=Нормативы!$H$38, "МСМК", IF(H40&lt;=Нормативы!$H$39, "МС", IF(H40&lt;=Нормативы!$H$40, "КМС", IF(H40&lt;=Нормативы!$H$41, "I", IF(H40&lt;=Нормативы!$H$42, "II", IF(H40&lt;=Нормативы!$H$43, "III", IF(H40&lt;=Нормативы!$H$44, "I юн", IF(H40&lt;=Нормативы!$H$45, "II юн", IF(H40&lt;=Нормативы!$H$46, "III юн", "б/р")))))))))))</f>
        <v>КМС</v>
      </c>
      <c r="J40" s="91" t="str">
        <f>IF(ISBLANK(H40), " ", IF(ISTEXT(H40), " ", IF(H40&lt;=Нормативы!$H$38, "МСМК", IF(H40&lt;=Нормативы!$H$39, "МС", IF(H40&lt;=Нормативы!$H$40, "КМС", IF(H40&lt;=Нормативы!$H$41, "I", IF(H40&lt;=Нормативы!$H$42, "II", IF(H40&lt;=Нормативы!$H$43, "III", IF(H40&lt;=Нормативы!$H$44, "I юн", IF(H40&lt;=Нормативы!$H$45, "II юн", IF(H40&lt;=Нормативы!$H$46, "III юн", "б/р")))))))))))</f>
        <v>КМС</v>
      </c>
      <c r="K40" s="226"/>
      <c r="L40" s="225">
        <f t="shared" ref="L40:L46" si="7">H40-0.2</f>
        <v>21</v>
      </c>
      <c r="M40" s="91" t="str">
        <f>IF(ISBLANK(L40), " ", IF(ISTEXT(L40), " ", IF(L40&lt;=Нормативы!$H$38, "КМС", IF(L40&lt;=Нормативы!$H$39, "КМС", IF(L40&lt;=Нормативы!$L$40, "КМС", IF(L40&lt;=Нормативы!$L$41, "I", IF(L40&lt;=Нормативы!$L$42, "II", IF(L40&lt;=Нормативы!$L$43, "III", IF(L40&lt;=Нормативы!$L$44, "I юн", IF(L40&lt;=Нормативы!$L$45, "II юн", IF(L40&lt;=Нормативы!$L$46, "III юн", "б/р")))))))))))</f>
        <v>КМС</v>
      </c>
      <c r="N40" s="91" t="str">
        <f>IF(ISBLANK(L40), " ", IF(ISTEXT(L40), " ", IF(L40&lt;=Нормативы!$H$38, "КМС", IF(L40&lt;=Нормативы!$H$39, "КМС", IF(L40&lt;=Нормативы!$L$40, "КМС", IF(L40&lt;=Нормативы!$L$41, "I", IF(L40&lt;=Нормативы!$L$42, "II", IF(L40&lt;=Нормативы!$L$43, "III", IF(L40&lt;=Нормативы!$L$44, "I юн", IF(L40&lt;=Нормативы!$L$45, "II юн", IF(L40&lt;=Нормативы!$L$46, "III юн", "б/р")))))))))))</f>
        <v>КМС</v>
      </c>
      <c r="O40" s="91"/>
      <c r="Q40" s="91" t="str">
        <f t="shared" si="6"/>
        <v xml:space="preserve"> </v>
      </c>
    </row>
    <row r="41" spans="3:33" x14ac:dyDescent="0.2">
      <c r="C41" s="217"/>
      <c r="D41" s="217"/>
      <c r="E41" s="217"/>
      <c r="F41" s="217"/>
      <c r="G41" s="217"/>
      <c r="H41" s="222">
        <v>22.9</v>
      </c>
      <c r="I41" s="91" t="str">
        <f>IF(ISBLANK(H41), " ", IF(ISTEXT(H41), " ", IF(H41&lt;=Нормативы!$H$38, "МСМК", IF(H41&lt;=Нормативы!$H$39, "МС", IF(H41&lt;=Нормативы!$H$40, "КМС", IF(H41&lt;=Нормативы!$H$41, "I", IF(H41&lt;=Нормативы!$H$42, "II", IF(H41&lt;=Нормативы!$H$43, "III", IF(H41&lt;=Нормативы!$H$44, "I юн", IF(H41&lt;=Нормативы!$H$45, "II юн", IF(H41&lt;=Нормативы!$H$46, "III юн", "б/р")))))))))))</f>
        <v>I</v>
      </c>
      <c r="J41" s="91" t="str">
        <f>IF(ISBLANK(H41), " ", IF(ISTEXT(H41), " ", IF(H41&lt;=Нормативы!$H$38, "МСМК", IF(H41&lt;=Нормативы!$H$39, "МС", IF(H41&lt;=Нормативы!$H$40, "КМС", IF(H41&lt;=Нормативы!$H$41, "I", IF(H41&lt;=Нормативы!$H$42, "II", IF(H41&lt;=Нормативы!$H$43, "III", IF(H41&lt;=Нормативы!$H$44, "I юн", IF(H41&lt;=Нормативы!$H$45, "II юн", IF(H41&lt;=Нормативы!$H$46, "III юн", "б/р")))))))))))</f>
        <v>I</v>
      </c>
      <c r="K41" s="226"/>
      <c r="L41" s="225">
        <f t="shared" si="7"/>
        <v>22.7</v>
      </c>
      <c r="M41" s="91" t="str">
        <f>IF(ISBLANK(L41), " ", IF(ISTEXT(L41), " ", IF(L41&lt;=Нормативы!$H$38, "КМС", IF(L41&lt;=Нормативы!$H$39, "КМС", IF(L41&lt;=Нормативы!$L$40, "КМС", IF(L41&lt;=Нормативы!$L$41, "I", IF(L41&lt;=Нормативы!$L$42, "II", IF(L41&lt;=Нормативы!$L$43, "III", IF(L41&lt;=Нормативы!$L$44, "I юн", IF(L41&lt;=Нормативы!$L$45, "II юн", IF(L41&lt;=Нормативы!$L$46, "III юн", "б/р")))))))))))</f>
        <v>I</v>
      </c>
      <c r="N41" s="91" t="str">
        <f>IF(ISBLANK(L41), " ", IF(ISTEXT(L41), " ", IF(L41&lt;=Нормативы!$H$38, "КМС", IF(L41&lt;=Нормативы!$H$39, "КМС", IF(L41&lt;=Нормативы!$L$40, "КМС", IF(L41&lt;=Нормативы!$L$41, "I", IF(L41&lt;=Нормативы!$L$42, "II", IF(L41&lt;=Нормативы!$L$43, "III", IF(L41&lt;=Нормативы!$L$44, "I юн", IF(L41&lt;=Нормативы!$L$45, "II юн", IF(L41&lt;=Нормативы!$L$46, "III юн", "б/р")))))))))))</f>
        <v>I</v>
      </c>
      <c r="O41" s="91"/>
      <c r="Q41" s="91" t="str">
        <f t="shared" si="6"/>
        <v xml:space="preserve"> </v>
      </c>
    </row>
    <row r="42" spans="3:33" x14ac:dyDescent="0.2">
      <c r="C42" s="217"/>
      <c r="D42" s="217"/>
      <c r="E42" s="217"/>
      <c r="F42" s="217"/>
      <c r="G42" s="217"/>
      <c r="H42" s="222">
        <v>24.7</v>
      </c>
      <c r="I42" s="91" t="str">
        <f>IF(ISBLANK(H42), " ", IF(ISTEXT(H42), " ", IF(H42&lt;=Нормативы!$H$38, "МСМК", IF(H42&lt;=Нормативы!$H$39, "МС", IF(H42&lt;=Нормативы!$H$40, "КМС", IF(H42&lt;=Нормативы!$H$41, "I", IF(H42&lt;=Нормативы!$H$42, "II", IF(H42&lt;=Нормативы!$H$43, "III", IF(H42&lt;=Нормативы!$H$44, "I юн", IF(H42&lt;=Нормативы!$H$45, "II юн", IF(H42&lt;=Нормативы!$H$46, "III юн", "б/р")))))))))))</f>
        <v>II</v>
      </c>
      <c r="J42" s="91" t="str">
        <f>IF(ISBLANK(H42), " ", IF(ISTEXT(H42), " ", IF(H42&lt;=Нормативы!$H$38, "МСМК", IF(H42&lt;=Нормативы!$H$39, "МС", IF(H42&lt;=Нормативы!$H$40, "КМС", IF(H42&lt;=Нормативы!$H$41, "I", IF(H42&lt;=Нормативы!$H$42, "II", IF(H42&lt;=Нормативы!$H$43, "III", IF(H42&lt;=Нормативы!$H$44, "I юн", IF(H42&lt;=Нормативы!$H$45, "II юн", IF(H42&lt;=Нормативы!$H$46, "III юн", "б/р")))))))))))</f>
        <v>II</v>
      </c>
      <c r="K42" s="226"/>
      <c r="L42" s="225">
        <f t="shared" si="7"/>
        <v>24.5</v>
      </c>
      <c r="M42" s="91" t="str">
        <f>IF(ISBLANK(L42), " ", IF(ISTEXT(L42), " ", IF(L42&lt;=Нормативы!$H$38, "КМС", IF(L42&lt;=Нормативы!$H$39, "КМС", IF(L42&lt;=Нормативы!$L$40, "КМС", IF(L42&lt;=Нормативы!$L$41, "I", IF(L42&lt;=Нормативы!$L$42, "II", IF(L42&lt;=Нормативы!$L$43, "III", IF(L42&lt;=Нормативы!$L$44, "I юн", IF(L42&lt;=Нормативы!$L$45, "II юн", IF(L42&lt;=Нормативы!$L$46, "III юн", "б/р")))))))))))</f>
        <v>II</v>
      </c>
      <c r="N42" s="91" t="str">
        <f>IF(ISBLANK(L42), " ", IF(ISTEXT(L42), " ", IF(L42&lt;=Нормативы!$H$38, "КМС", IF(L42&lt;=Нормативы!$H$39, "КМС", IF(L42&lt;=Нормативы!$L$40, "КМС", IF(L42&lt;=Нормативы!$L$41, "I", IF(L42&lt;=Нормативы!$L$42, "II", IF(L42&lt;=Нормативы!$L$43, "III", IF(L42&lt;=Нормативы!$L$44, "I юн", IF(L42&lt;=Нормативы!$L$45, "II юн", IF(L42&lt;=Нормативы!$L$46, "III юн", "б/р")))))))))))</f>
        <v>II</v>
      </c>
      <c r="O42" s="91"/>
      <c r="Q42" s="91" t="str">
        <f t="shared" si="6"/>
        <v xml:space="preserve"> </v>
      </c>
    </row>
    <row r="43" spans="3:33" x14ac:dyDescent="0.2">
      <c r="C43" s="217"/>
      <c r="D43" s="217"/>
      <c r="E43" s="217"/>
      <c r="F43" s="217"/>
      <c r="G43" s="217"/>
      <c r="H43" s="222">
        <v>26.3</v>
      </c>
      <c r="I43" s="91" t="str">
        <f>IF(ISBLANK(H43), " ", IF(ISTEXT(H43), " ", IF(H43&lt;=Нормативы!$H$38, "МСМК", IF(H43&lt;=Нормативы!$H$39, "МС", IF(H43&lt;=Нормативы!$H$40, "КМС", IF(H43&lt;=Нормативы!$H$41, "I", IF(H43&lt;=Нормативы!$H$42, "II", IF(H43&lt;=Нормативы!$H$43, "III", IF(H43&lt;=Нормативы!$H$44, "I юн", IF(H43&lt;=Нормативы!$H$45, "II юн", IF(H43&lt;=Нормативы!$H$46, "III юн", "б/р")))))))))))</f>
        <v>III</v>
      </c>
      <c r="J43" s="91" t="str">
        <f>IF(ISBLANK(H43), " ", IF(ISTEXT(H43), " ", IF(H43&lt;=Нормативы!$H$38, "МСМК", IF(H43&lt;=Нормативы!$H$39, "МС", IF(H43&lt;=Нормативы!$H$40, "КМС", IF(H43&lt;=Нормативы!$H$41, "I", IF(H43&lt;=Нормативы!$H$42, "II", IF(H43&lt;=Нормативы!$H$43, "III", IF(H43&lt;=Нормативы!$H$44, "I юн", IF(H43&lt;=Нормативы!$H$45, "II юн", IF(H43&lt;=Нормативы!$H$46, "III юн", "б/р")))))))))))</f>
        <v>III</v>
      </c>
      <c r="K43" s="226"/>
      <c r="L43" s="225">
        <f t="shared" si="7"/>
        <v>26.1</v>
      </c>
      <c r="M43" s="91" t="str">
        <f>IF(ISBLANK(L43), " ", IF(ISTEXT(L43), " ", IF(L43&lt;=Нормативы!$H$38, "КМС", IF(L43&lt;=Нормативы!$H$39, "КМС", IF(L43&lt;=Нормативы!$L$40, "КМС", IF(L43&lt;=Нормативы!$L$41, "I", IF(L43&lt;=Нормативы!$L$42, "II", IF(L43&lt;=Нормативы!$L$43, "III", IF(L43&lt;=Нормативы!$L$44, "I юн", IF(L43&lt;=Нормативы!$L$45, "II юн", IF(L43&lt;=Нормативы!$L$46, "III юн", "б/р")))))))))))</f>
        <v>III</v>
      </c>
      <c r="N43" s="91" t="str">
        <f>IF(ISBLANK(L43), " ", IF(ISTEXT(L43), " ", IF(L43&lt;=Нормативы!$H$38, "КМС", IF(L43&lt;=Нормативы!$H$39, "КМС", IF(L43&lt;=Нормативы!$L$40, "КМС", IF(L43&lt;=Нормативы!$L$41, "I", IF(L43&lt;=Нормативы!$L$42, "II", IF(L43&lt;=Нормативы!$L$43, "III", IF(L43&lt;=Нормативы!$L$44, "I юн", IF(L43&lt;=Нормативы!$L$45, "II юн", IF(L43&lt;=Нормативы!$L$46, "III юн", "б/р")))))))))))</f>
        <v>III</v>
      </c>
      <c r="O43" s="91"/>
      <c r="Q43" s="91" t="str">
        <f t="shared" si="6"/>
        <v xml:space="preserve"> </v>
      </c>
    </row>
    <row r="44" spans="3:33" x14ac:dyDescent="0.2">
      <c r="C44" s="217"/>
      <c r="D44" s="217"/>
      <c r="E44" s="217"/>
      <c r="F44" s="217"/>
      <c r="G44" s="217"/>
      <c r="H44" s="222">
        <v>29.7</v>
      </c>
      <c r="I44" s="91" t="str">
        <f>IF(ISBLANK(H44), " ", IF(ISTEXT(H44), " ", IF(H44&lt;=Нормативы!$H$38, "МСМК", IF(H44&lt;=Нормативы!$H$39, "МС", IF(H44&lt;=Нормативы!$H$40, "КМС", IF(H44&lt;=Нормативы!$H$41, "I", IF(H44&lt;=Нормативы!$H$42, "II", IF(H44&lt;=Нормативы!$H$43, "III", IF(H44&lt;=Нормативы!$H$44, "I юн", IF(H44&lt;=Нормативы!$H$45, "II юн", IF(H44&lt;=Нормативы!$H$46, "III юн", "б/р")))))))))))</f>
        <v>I юн</v>
      </c>
      <c r="J44" s="91" t="str">
        <f>IF(ISBLANK(H44), " ", IF(ISTEXT(H44), " ", IF(H44&lt;=Нормативы!$H$38, "МСМК", IF(H44&lt;=Нормативы!$H$39, "МС", IF(H44&lt;=Нормативы!$H$40, "КМС", IF(H44&lt;=Нормативы!$H$41, "I", IF(H44&lt;=Нормативы!$H$42, "II", IF(H44&lt;=Нормативы!$H$43, "III", IF(H44&lt;=Нормативы!$H$44, "I юн", IF(H44&lt;=Нормативы!$H$45, "II юн", IF(H44&lt;=Нормативы!$H$46, "III юн", "б/р")))))))))))</f>
        <v>I юн</v>
      </c>
      <c r="K44" s="226"/>
      <c r="L44" s="225">
        <f t="shared" si="7"/>
        <v>29.5</v>
      </c>
      <c r="M44" s="91" t="str">
        <f>IF(ISBLANK(L44), " ", IF(ISTEXT(L44), " ", IF(L44&lt;=Нормативы!$H$38, "КМС", IF(L44&lt;=Нормативы!$H$39, "КМС", IF(L44&lt;=Нормативы!$L$40, "КМС", IF(L44&lt;=Нормативы!$L$41, "I", IF(L44&lt;=Нормативы!$L$42, "II", IF(L44&lt;=Нормативы!$L$43, "III", IF(L44&lt;=Нормативы!$L$44, "I юн", IF(L44&lt;=Нормативы!$L$45, "II юн", IF(L44&lt;=Нормативы!$L$46, "III юн", "б/р")))))))))))</f>
        <v>I юн</v>
      </c>
      <c r="N44" s="91" t="str">
        <f>IF(ISBLANK(L44), " ", IF(ISTEXT(L44), " ", IF(L44&lt;=Нормативы!$H$38, "КМС", IF(L44&lt;=Нормативы!$H$39, "КМС", IF(L44&lt;=Нормативы!$L$40, "КМС", IF(L44&lt;=Нормативы!$L$41, "I", IF(L44&lt;=Нормативы!$L$42, "II", IF(L44&lt;=Нормативы!$L$43, "III", IF(L44&lt;=Нормативы!$L$44, "I юн", IF(L44&lt;=Нормативы!$L$45, "II юн", IF(L44&lt;=Нормативы!$L$46, "III юн", "б/р")))))))))))</f>
        <v>I юн</v>
      </c>
      <c r="O44" s="91"/>
      <c r="Q44" s="91" t="str">
        <f t="shared" si="6"/>
        <v xml:space="preserve"> </v>
      </c>
    </row>
    <row r="45" spans="3:33" x14ac:dyDescent="0.2">
      <c r="C45" s="217"/>
      <c r="D45" s="217"/>
      <c r="E45" s="217"/>
      <c r="F45" s="217"/>
      <c r="G45" s="217"/>
      <c r="H45" s="222">
        <v>32.1</v>
      </c>
      <c r="I45" s="91" t="str">
        <f>IF(ISBLANK(H45), " ", IF(ISTEXT(H45), " ", IF(H45&lt;=Нормативы!$H$38, "МСМК", IF(H45&lt;=Нормативы!$H$39, "МС", IF(H45&lt;=Нормативы!$H$40, "КМС", IF(H45&lt;=Нормативы!$H$41, "I", IF(H45&lt;=Нормативы!$H$42, "II", IF(H45&lt;=Нормативы!$H$43, "III", IF(H45&lt;=Нормативы!$H$44, "I юн", IF(H45&lt;=Нормативы!$H$45, "II юн", IF(H45&lt;=Нормативы!$H$46, "III юн", "б/р")))))))))))</f>
        <v>II юн</v>
      </c>
      <c r="J45" s="91" t="str">
        <f>IF(ISBLANK(H45), " ", IF(ISTEXT(H45), " ", IF(H45&lt;=Нормативы!$H$38, "МСМК", IF(H45&lt;=Нормативы!$H$39, "МС", IF(H45&lt;=Нормативы!$H$40, "КМС", IF(H45&lt;=Нормативы!$H$41, "I", IF(H45&lt;=Нормативы!$H$42, "II", IF(H45&lt;=Нормативы!$H$43, "III", IF(H45&lt;=Нормативы!$H$44, "I юн", IF(H45&lt;=Нормативы!$H$45, "II юн", IF(H45&lt;=Нормативы!$H$46, "III юн", "б/р")))))))))))</f>
        <v>II юн</v>
      </c>
      <c r="K45" s="226"/>
      <c r="L45" s="225">
        <f t="shared" si="7"/>
        <v>31.900000000000002</v>
      </c>
      <c r="M45" s="91" t="str">
        <f>IF(ISBLANK(L45), " ", IF(ISTEXT(L45), " ", IF(L45&lt;=Нормативы!$H$38, "КМС", IF(L45&lt;=Нормативы!$H$39, "КМС", IF(L45&lt;=Нормативы!$L$40, "КМС", IF(L45&lt;=Нормативы!$L$41, "I", IF(L45&lt;=Нормативы!$L$42, "II", IF(L45&lt;=Нормативы!$L$43, "III", IF(L45&lt;=Нормативы!$L$44, "I юн", IF(L45&lt;=Нормативы!$L$45, "II юн", IF(L45&lt;=Нормативы!$L$46, "III юн", "б/р")))))))))))</f>
        <v>II юн</v>
      </c>
      <c r="N45" s="91" t="str">
        <f>IF(ISBLANK(L45), " ", IF(ISTEXT(L45), " ", IF(L45&lt;=Нормативы!$H$38, "КМС", IF(L45&lt;=Нормативы!$H$39, "КМС", IF(L45&lt;=Нормативы!$L$40, "КМС", IF(L45&lt;=Нормативы!$L$41, "I", IF(L45&lt;=Нормативы!$L$42, "II", IF(L45&lt;=Нормативы!$L$43, "III", IF(L45&lt;=Нормативы!$L$44, "I юн", IF(L45&lt;=Нормативы!$L$45, "II юн", IF(L45&lt;=Нормативы!$L$46, "III юн", "б/р")))))))))))</f>
        <v>II юн</v>
      </c>
      <c r="O45" s="91"/>
      <c r="Q45" s="91" t="str">
        <f t="shared" si="6"/>
        <v xml:space="preserve"> </v>
      </c>
    </row>
    <row r="46" spans="3:33" x14ac:dyDescent="0.2">
      <c r="C46" s="217"/>
      <c r="D46" s="217"/>
      <c r="E46" s="217"/>
      <c r="F46" s="217"/>
      <c r="G46" s="217"/>
      <c r="H46" s="222">
        <v>35.200000000000003</v>
      </c>
      <c r="I46" s="91" t="str">
        <f>IF(ISBLANK(H46), " ", IF(ISTEXT(H46), " ", IF(H46&lt;=Нормативы!$H$38, "МСМК", IF(H46&lt;=Нормативы!$H$39, "МС", IF(H46&lt;=Нормативы!$H$40, "КМС", IF(H46&lt;=Нормативы!$H$41, "I", IF(H46&lt;=Нормативы!$H$42, "II", IF(H46&lt;=Нормативы!$H$43, "III", IF(H46&lt;=Нормативы!$H$44, "I юн", IF(H46&lt;=Нормативы!$H$45, "II юн", IF(H46&lt;=Нормативы!$H$46, "III юн", "б/р")))))))))))</f>
        <v>III юн</v>
      </c>
      <c r="J46" s="91" t="str">
        <f>IF(ISBLANK(H46), " ", IF(ISTEXT(H46), " ", IF(H46&lt;=Нормативы!$H$38, "МСМК", IF(H46&lt;=Нормативы!$H$39, "МС", IF(H46&lt;=Нормативы!$H$40, "КМС", IF(H46&lt;=Нормативы!$H$41, "I", IF(H46&lt;=Нормативы!$H$42, "II", IF(H46&lt;=Нормативы!$H$43, "III", IF(H46&lt;=Нормативы!$H$44, "I юн", IF(H46&lt;=Нормативы!$H$45, "II юн", IF(H46&lt;=Нормативы!$H$46, "III юн", "б/р")))))))))))</f>
        <v>III юн</v>
      </c>
      <c r="K46" s="226"/>
      <c r="L46" s="225">
        <f t="shared" si="7"/>
        <v>35</v>
      </c>
      <c r="M46" s="91" t="str">
        <f>IF(ISBLANK(L46), " ", IF(ISTEXT(L46), " ", IF(L46&lt;=Нормативы!$H$38, "КМС", IF(L46&lt;=Нормативы!$H$39, "КМС", IF(L46&lt;=Нормативы!$L$40, "КМС", IF(L46&lt;=Нормативы!$L$41, "I", IF(L46&lt;=Нормативы!$L$42, "II", IF(L46&lt;=Нормативы!$L$43, "III", IF(L46&lt;=Нормативы!$L$44, "I юн", IF(L46&lt;=Нормативы!$L$45, "II юн", IF(L46&lt;=Нормативы!$L$46, "III юн", "б/р")))))))))))</f>
        <v>III юн</v>
      </c>
      <c r="N46" s="91" t="str">
        <f>IF(ISBLANK(L46), " ", IF(ISTEXT(L46), " ", IF(L46&lt;=Нормативы!$H$38, "КМС", IF(L46&lt;=Нормативы!$H$39, "КМС", IF(L46&lt;=Нормативы!$L$40, "КМС", IF(L46&lt;=Нормативы!$L$41, "I", IF(L46&lt;=Нормативы!$L$42, "II", IF(L46&lt;=Нормативы!$L$43, "III", IF(L46&lt;=Нормативы!$L$44, "I юн", IF(L46&lt;=Нормативы!$L$45, "II юн", IF(L46&lt;=Нормативы!$L$46, "III юн", "б/р")))))))))))</f>
        <v>III юн</v>
      </c>
      <c r="O46" s="91"/>
      <c r="Q46" s="91" t="str">
        <f t="shared" si="6"/>
        <v xml:space="preserve"> </v>
      </c>
    </row>
    <row r="47" spans="3:33" x14ac:dyDescent="0.2">
      <c r="C47" s="217"/>
      <c r="D47" s="217"/>
      <c r="E47" s="217"/>
      <c r="F47" s="217"/>
      <c r="G47" s="217"/>
      <c r="H47" s="225"/>
      <c r="I47" s="217"/>
      <c r="J47" s="217"/>
      <c r="K47" s="226"/>
      <c r="L47" s="217"/>
      <c r="M47" s="217"/>
      <c r="N47" s="217"/>
      <c r="Q47" s="217"/>
    </row>
    <row r="48" spans="3:33" x14ac:dyDescent="0.2">
      <c r="C48" s="58" t="s">
        <v>381</v>
      </c>
      <c r="D48" s="106"/>
      <c r="E48" s="106"/>
      <c r="F48" s="58"/>
      <c r="G48" s="58"/>
      <c r="H48" s="221"/>
      <c r="I48" s="217"/>
      <c r="J48" s="217"/>
      <c r="K48" s="237"/>
      <c r="L48" s="217"/>
      <c r="M48" s="217"/>
      <c r="N48" s="217"/>
      <c r="Q48" s="217"/>
    </row>
    <row r="49" spans="3:33" x14ac:dyDescent="0.2">
      <c r="C49" s="3"/>
      <c r="D49" s="3"/>
      <c r="E49" s="3"/>
      <c r="F49" s="3"/>
      <c r="G49" s="3"/>
      <c r="H49" s="225">
        <v>40</v>
      </c>
      <c r="I49" s="91" t="str">
        <f>IF(ISBLANK(H49), " ", IF(ISTEXT(H49), " ", IF(H49&lt;=Нормативы!$H$49, "МСМК", IF(H49&lt;=Нормативы!$H$50, "МС", IF(H49&lt;=Нормативы!$H$51, "КМС", IF(H49&lt;=Нормативы!$H$52, "I", IF(H49&lt;=Нормативы!$H$53, "II", IF(H49&lt;=Нормативы!$H$54, "III", IF(H49&lt;=Нормативы!$H$55, "I юн", IF(H49&lt;=Нормативы!$H$56, "II юн", IF(H49&lt;=Нормативы!$H$57, "III юн", "б/р")))))))))))</f>
        <v>МСМК</v>
      </c>
      <c r="J49" s="91" t="str">
        <f>IF(ISBLANK(H49), " ", IF(ISTEXT(H49), " ", IF(H49&lt;=Нормативы!$H$49, "МСМК", IF(H49&lt;=Нормативы!$H$50, "МС", IF(H49&lt;=Нормативы!$H$51, "КМС", IF(H49&lt;=Нормативы!$H$52, "I", IF(H49&lt;=Нормативы!$H$53, "II", IF(H49&lt;=Нормативы!$H$54, "III", IF(H49&lt;=Нормативы!$H$55, "I юн", IF(H49&lt;=Нормативы!$H$56, "II юн", IF(H49&lt;=Нормативы!$H$57, "III юн", "б/р")))))))))))</f>
        <v>МСМК</v>
      </c>
      <c r="K49" s="226"/>
      <c r="L49" s="225"/>
      <c r="M49" s="91" t="str">
        <f>IF(ISBLANK(L49), " ", IF(ISTEXT(L49), " ", IF(L49&lt;=Нормативы!$H$49, "КМС", IF(L49&lt;=Нормативы!$H$50, "КМС", IF(L49&lt;=Нормативы!$L$51, "КМС", IF(L49&lt;=Нормативы!$L$52, "I", IF(L49&lt;=Нормативы!$L$53, "II", IF(L49&lt;=Нормативы!$L$54, "III", IF(L49&lt;=Нормативы!$L$55, "I юн", IF(L49&lt;=Нормативы!$L$56, "II юн", IF(L49&lt;=Нормативы!$L$57, "III юн", "б/р")))))))))))</f>
        <v xml:space="preserve"> </v>
      </c>
      <c r="N49" s="91" t="str">
        <f>IF(ISBLANK(L49), " ", IF(ISTEXT(L49), " ", IF(L49&lt;=40, "МСМК", IF(L49&lt;=42, "МС", IF(L49&lt;=43.8, "КМС", IF(L49&lt;=47, "I", IF(L49&lt;=51, "II", IF(L49&lt;=55.2, "III", IF(L49&lt;=59.8, "I юн", IF(L49&lt;=105.4, "II юн", IF(L49&lt;=110.4, "III юн", "б/р")))))))))))</f>
        <v xml:space="preserve"> </v>
      </c>
      <c r="O49" s="228"/>
      <c r="Q49" s="91" t="str">
        <f t="shared" ref="Q49:Q57" si="8">IF(ISBLANK(P49), " ", IF(ISTEXT(P49), " ", IF(P49&lt;=$H$49, "МСМК", IF(P49&lt;=$H$50, "МС", IF(P49&lt;=$H$51, "КМС", IF(P49&lt;=$H$52, "I", IF(P49&lt;=$H$53, "II", IF(P49&lt;=$H$54, "III", IF(P49&lt;=$H$55, "I юн", IF(P49&lt;=$H$56, "II юн", IF(P49&lt;=$H$57, "III юн", "б/р")))))))))))</f>
        <v xml:space="preserve"> </v>
      </c>
    </row>
    <row r="50" spans="3:33" x14ac:dyDescent="0.2">
      <c r="C50" s="3"/>
      <c r="D50" s="4"/>
      <c r="E50" s="4"/>
      <c r="F50" s="3"/>
      <c r="G50" s="3"/>
      <c r="H50" s="225">
        <v>42</v>
      </c>
      <c r="I50" s="91" t="str">
        <f>IF(ISBLANK(H50), " ", IF(ISTEXT(H50), " ", IF(H50&lt;=Нормативы!$H$49, "МСМК", IF(H50&lt;=Нормативы!$H$50, "МС", IF(H50&lt;=Нормативы!$H$51, "КМС", IF(H50&lt;=Нормативы!$H$52, "I", IF(H50&lt;=Нормативы!$H$53, "II", IF(H50&lt;=Нормативы!$H$54, "III", IF(H50&lt;=Нормативы!$H$55, "I юн", IF(H50&lt;=Нормативы!$H$56, "II юн", IF(H50&lt;=Нормативы!$H$57, "III юн", "б/р")))))))))))</f>
        <v>МС</v>
      </c>
      <c r="J50" s="91" t="str">
        <f>IF(ISBLANK(H50), " ", IF(ISTEXT(H50), " ", IF(H50&lt;=Нормативы!$H$49, "МСМК", IF(H50&lt;=Нормативы!$H$50, "МС", IF(H50&lt;=Нормативы!$H$51, "КМС", IF(H50&lt;=Нормативы!$H$52, "I", IF(H50&lt;=Нормативы!$H$53, "II", IF(H50&lt;=Нормативы!$H$54, "III", IF(H50&lt;=Нормативы!$H$55, "I юн", IF(H50&lt;=Нормативы!$H$56, "II юн", IF(H50&lt;=Нормативы!$H$57, "III юн", "б/р")))))))))))</f>
        <v>МС</v>
      </c>
      <c r="K50" s="226"/>
      <c r="L50" s="225"/>
      <c r="M50" s="91" t="str">
        <f>IF(ISBLANK(L50), " ", IF(ISTEXT(L50), " ", IF(L50&lt;=Нормативы!$H$49, "КМС", IF(L50&lt;=Нормативы!$H$50, "КМС", IF(L50&lt;=Нормативы!$L$51, "КМС", IF(L50&lt;=Нормативы!$L$52, "I", IF(L50&lt;=Нормативы!$L$53, "II", IF(L50&lt;=Нормативы!$L$54, "III", IF(L50&lt;=Нормативы!$L$55, "I юн", IF(L50&lt;=Нормативы!$L$56, "II юн", IF(L50&lt;=Нормативы!$L$57, "III юн", "б/р")))))))))))</f>
        <v xml:space="preserve"> </v>
      </c>
      <c r="N50" s="91" t="str">
        <f>IF(ISBLANK(L50), " ", IF(ISTEXT(L50), " ", IF(L50&lt;=40, "МСМК", IF(L50&lt;=42, "МС", IF(L50&lt;=43.8, "КМС", IF(L50&lt;=47, "I", IF(L50&lt;=51, "II", IF(L50&lt;=55.2, "III", IF(L50&lt;=59.8, "I юн", IF(L50&lt;=105.4, "II юн", IF(L50&lt;=110.4, "III юн", "б/р")))))))))))</f>
        <v xml:space="preserve"> </v>
      </c>
      <c r="O50" s="228"/>
      <c r="Q50" s="91" t="str">
        <f t="shared" si="8"/>
        <v xml:space="preserve"> </v>
      </c>
    </row>
    <row r="51" spans="3:33" x14ac:dyDescent="0.2">
      <c r="C51" s="3"/>
      <c r="D51" s="4"/>
      <c r="E51" s="4"/>
      <c r="F51" s="3"/>
      <c r="G51" s="3"/>
      <c r="H51" s="225">
        <v>44</v>
      </c>
      <c r="I51" s="91" t="str">
        <f>IF(ISBLANK(H51), " ", IF(ISTEXT(H51), " ", IF(H51&lt;=Нормативы!$H$49, "МСМК", IF(H51&lt;=Нормативы!$H$50, "МС", IF(H51&lt;=Нормативы!$H$51, "КМС", IF(H51&lt;=Нормативы!$H$52, "I", IF(H51&lt;=Нормативы!$H$53, "II", IF(H51&lt;=Нормативы!$H$54, "III", IF(H51&lt;=Нормативы!$H$55, "I юн", IF(H51&lt;=Нормативы!$H$56, "II юн", IF(H51&lt;=Нормативы!$H$57, "III юн", "б/р")))))))))))</f>
        <v>КМС</v>
      </c>
      <c r="J51" s="91" t="str">
        <f>IF(ISBLANK(H51), " ", IF(ISTEXT(H51), " ", IF(H51&lt;=Нормативы!$H$49, "МСМК", IF(H51&lt;=Нормативы!$H$50, "МС", IF(H51&lt;=Нормативы!$H$51, "КМС", IF(H51&lt;=Нормативы!$H$52, "I", IF(H51&lt;=Нормативы!$H$53, "II", IF(H51&lt;=Нормативы!$H$54, "III", IF(H51&lt;=Нормативы!$H$55, "I юн", IF(H51&lt;=Нормативы!$H$56, "II юн", IF(H51&lt;=Нормативы!$H$57, "III юн", "б/р")))))))))))</f>
        <v>КМС</v>
      </c>
      <c r="K51" s="226"/>
      <c r="L51" s="225">
        <f t="shared" ref="L51:L57" si="9">H51-0.2</f>
        <v>43.8</v>
      </c>
      <c r="M51" s="91" t="str">
        <f>IF(ISBLANK(L51), " ", IF(ISTEXT(L51), " ", IF(L51&lt;=Нормативы!$H$49, "КМС", IF(L51&lt;=Нормативы!$H$50, "КМС", IF(L51&lt;=Нормативы!$L$51, "КМС", IF(L51&lt;=Нормативы!$L$52, "I", IF(L51&lt;=Нормативы!$L$53, "II", IF(L51&lt;=Нормативы!$L$54, "III", IF(L51&lt;=Нормативы!$L$55, "I юн", IF(L51&lt;=Нормативы!$L$56, "II юн", IF(L51&lt;=Нормативы!$L$57, "III юн", "б/р")))))))))))</f>
        <v>КМС</v>
      </c>
      <c r="N51" s="91" t="str">
        <f>IF(ISBLANK(L51), " ", IF(ISTEXT(L51), " ", IF(L51&lt;=Нормативы!$H$49, "КМС", IF(L51&lt;=Нормативы!$H$50, "КМС", IF(L51&lt;=Нормативы!$L$51, "КМС", IF(L51&lt;=Нормативы!$L$52, "I", IF(L51&lt;=Нормативы!$L$53, "II", IF(L51&lt;=Нормативы!$L$54, "III", IF(L51&lt;=Нормативы!$L$55, "I юн", IF(L51&lt;=Нормативы!$L$56, "II юн", IF(L51&lt;=Нормативы!$L$57, "III юн", "б/р")))))))))))</f>
        <v>КМС</v>
      </c>
      <c r="O51" s="91"/>
      <c r="Q51" s="91" t="str">
        <f t="shared" si="8"/>
        <v xml:space="preserve"> </v>
      </c>
    </row>
    <row r="52" spans="3:33" x14ac:dyDescent="0.2">
      <c r="C52" s="3"/>
      <c r="D52" s="4"/>
      <c r="E52" s="4"/>
      <c r="F52" s="3"/>
      <c r="G52" s="3"/>
      <c r="H52" s="225">
        <v>47.2</v>
      </c>
      <c r="I52" s="91" t="str">
        <f>IF(ISBLANK(H52), " ", IF(ISTEXT(H52), " ", IF(H52&lt;=Нормативы!$H$49, "МСМК", IF(H52&lt;=Нормативы!$H$50, "МС", IF(H52&lt;=Нормативы!$H$51, "КМС", IF(H52&lt;=Нормативы!$H$52, "I", IF(H52&lt;=Нормативы!$H$53, "II", IF(H52&lt;=Нормативы!$H$54, "III", IF(H52&lt;=Нормативы!$H$55, "I юн", IF(H52&lt;=Нормативы!$H$56, "II юн", IF(H52&lt;=Нормативы!$H$57, "III юн", "б/р")))))))))))</f>
        <v>I</v>
      </c>
      <c r="J52" s="91" t="str">
        <f>IF(ISBLANK(H52), " ", IF(ISTEXT(H52), " ", IF(H52&lt;=Нормативы!$H$49, "МСМК", IF(H52&lt;=Нормативы!$H$50, "МС", IF(H52&lt;=Нормативы!$H$51, "КМС", IF(H52&lt;=Нормативы!$H$52, "I", IF(H52&lt;=Нормативы!$H$53, "II", IF(H52&lt;=Нормативы!$H$54, "III", IF(H52&lt;=Нормативы!$H$55, "I юн", IF(H52&lt;=Нормативы!$H$56, "II юн", IF(H52&lt;=Нормативы!$H$57, "III юн", "б/р")))))))))))</f>
        <v>I</v>
      </c>
      <c r="K52" s="226"/>
      <c r="L52" s="225">
        <f t="shared" si="9"/>
        <v>47</v>
      </c>
      <c r="M52" s="91" t="str">
        <f>IF(ISBLANK(L52), " ", IF(ISTEXT(L52), " ", IF(L52&lt;=Нормативы!$H$49, "КМС", IF(L52&lt;=Нормативы!$H$50, "КМС", IF(L52&lt;=Нормативы!$L$51, "КМС", IF(L52&lt;=Нормативы!$L$52, "I", IF(L52&lt;=Нормативы!$L$53, "II", IF(L52&lt;=Нормативы!$L$54, "III", IF(L52&lt;=Нормативы!$L$55, "I юн", IF(L52&lt;=Нормативы!$L$56, "II юн", IF(L52&lt;=Нормативы!$L$57, "III юн", "б/р")))))))))))</f>
        <v>I</v>
      </c>
      <c r="N52" s="91" t="str">
        <f>IF(ISBLANK(L52), " ", IF(ISTEXT(L52), " ", IF(L52&lt;=Нормативы!$H$49, "КМС", IF(L52&lt;=Нормативы!$H$50, "КМС", IF(L52&lt;=Нормативы!$L$51, "КМС", IF(L52&lt;=Нормативы!$L$52, "I", IF(L52&lt;=Нормативы!$L$53, "II", IF(L52&lt;=Нормативы!$L$54, "III", IF(L52&lt;=Нормативы!$L$55, "I юн", IF(L52&lt;=Нормативы!$L$56, "II юн", IF(L52&lt;=Нормативы!$L$57, "III юн", "б/р")))))))))))</f>
        <v>I</v>
      </c>
      <c r="O52" s="91"/>
      <c r="Q52" s="91" t="str">
        <f t="shared" si="8"/>
        <v xml:space="preserve"> </v>
      </c>
    </row>
    <row r="53" spans="3:33" x14ac:dyDescent="0.2">
      <c r="C53" s="3"/>
      <c r="D53" s="4"/>
      <c r="E53" s="4"/>
      <c r="F53" s="3"/>
      <c r="G53" s="3"/>
      <c r="H53" s="225">
        <v>51.2</v>
      </c>
      <c r="I53" s="91" t="str">
        <f>IF(ISBLANK(H53), " ", IF(ISTEXT(H53), " ", IF(H53&lt;=Нормативы!$H$49, "МСМК", IF(H53&lt;=Нормативы!$H$50, "МС", IF(H53&lt;=Нормативы!$H$51, "КМС", IF(H53&lt;=Нормативы!$H$52, "I", IF(H53&lt;=Нормативы!$H$53, "II", IF(H53&lt;=Нормативы!$H$54, "III", IF(H53&lt;=Нормативы!$H$55, "I юн", IF(H53&lt;=Нормативы!$H$56, "II юн", IF(H53&lt;=Нормативы!$H$57, "III юн", "б/р")))))))))))</f>
        <v>II</v>
      </c>
      <c r="J53" s="91" t="str">
        <f>IF(ISBLANK(H53), " ", IF(ISTEXT(H53), " ", IF(H53&lt;=Нормативы!$H$49, "МСМК", IF(H53&lt;=Нормативы!$H$50, "МС", IF(H53&lt;=Нормативы!$H$51, "КМС", IF(H53&lt;=Нормативы!$H$52, "I", IF(H53&lt;=Нормативы!$H$53, "II", IF(H53&lt;=Нормативы!$H$54, "III", IF(H53&lt;=Нормативы!$H$55, "I юн", IF(H53&lt;=Нормативы!$H$56, "II юн", IF(H53&lt;=Нормативы!$H$57, "III юн", "б/р")))))))))))</f>
        <v>II</v>
      </c>
      <c r="K53" s="226"/>
      <c r="L53" s="225">
        <f t="shared" si="9"/>
        <v>51</v>
      </c>
      <c r="M53" s="91" t="str">
        <f>IF(ISBLANK(L53), " ", IF(ISTEXT(L53), " ", IF(L53&lt;=Нормативы!$H$49, "КМС", IF(L53&lt;=Нормативы!$H$50, "КМС", IF(L53&lt;=Нормативы!$L$51, "КМС", IF(L53&lt;=Нормативы!$L$52, "I", IF(L53&lt;=Нормативы!$L$53, "II", IF(L53&lt;=Нормативы!$L$54, "III", IF(L53&lt;=Нормативы!$L$55, "I юн", IF(L53&lt;=Нормативы!$L$56, "II юн", IF(L53&lt;=Нормативы!$L$57, "III юн", "б/р")))))))))))</f>
        <v>II</v>
      </c>
      <c r="N53" s="91" t="str">
        <f>IF(ISBLANK(L53), " ", IF(ISTEXT(L53), " ", IF(L53&lt;=Нормативы!$H$49, "КМС", IF(L53&lt;=Нормативы!$H$50, "КМС", IF(L53&lt;=Нормативы!$L$51, "КМС", IF(L53&lt;=Нормативы!$L$52, "I", IF(L53&lt;=Нормативы!$L$53, "II", IF(L53&lt;=Нормативы!$L$54, "III", IF(L53&lt;=Нормативы!$L$55, "I юн", IF(L53&lt;=Нормативы!$L$56, "II юн", IF(L53&lt;=Нормативы!$L$57, "III юн", "б/р")))))))))))</f>
        <v>II</v>
      </c>
      <c r="O53" s="91"/>
      <c r="Q53" s="91" t="str">
        <f t="shared" si="8"/>
        <v xml:space="preserve"> </v>
      </c>
    </row>
    <row r="54" spans="3:33" x14ac:dyDescent="0.2">
      <c r="C54" s="3"/>
      <c r="D54" s="4"/>
      <c r="E54" s="3"/>
      <c r="F54" s="3"/>
      <c r="G54" s="3"/>
      <c r="H54" s="225">
        <v>55.4</v>
      </c>
      <c r="I54" s="91" t="str">
        <f>IF(ISBLANK(H54), " ", IF(ISTEXT(H54), " ", IF(H54&lt;=Нормативы!$H$49, "МСМК", IF(H54&lt;=Нормативы!$H$50, "МС", IF(H54&lt;=Нормативы!$H$51, "КМС", IF(H54&lt;=Нормативы!$H$52, "I", IF(H54&lt;=Нормативы!$H$53, "II", IF(H54&lt;=Нормативы!$H$54, "III", IF(H54&lt;=Нормативы!$H$55, "I юн", IF(H54&lt;=Нормативы!$H$56, "II юн", IF(H54&lt;=Нормативы!$H$57, "III юн", "б/р")))))))))))</f>
        <v>III</v>
      </c>
      <c r="J54" s="91" t="str">
        <f>IF(ISBLANK(H54), " ", IF(ISTEXT(H54), " ", IF(H54&lt;=Нормативы!$H$49, "МСМК", IF(H54&lt;=Нормативы!$H$50, "МС", IF(H54&lt;=Нормативы!$H$51, "КМС", IF(H54&lt;=Нормативы!$H$52, "I", IF(H54&lt;=Нормативы!$H$53, "II", IF(H54&lt;=Нормативы!$H$54, "III", IF(H54&lt;=Нормативы!$H$55, "I юн", IF(H54&lt;=Нормативы!$H$56, "II юн", IF(H54&lt;=Нормативы!$H$57, "III юн", "б/р")))))))))))</f>
        <v>III</v>
      </c>
      <c r="K54" s="226"/>
      <c r="L54" s="225">
        <f t="shared" si="9"/>
        <v>55.199999999999996</v>
      </c>
      <c r="M54" s="91" t="str">
        <f>IF(ISBLANK(L54), " ", IF(ISTEXT(L54), " ", IF(L54&lt;=Нормативы!$H$49, "КМС", IF(L54&lt;=Нормативы!$H$50, "КМС", IF(L54&lt;=Нормативы!$L$51, "КМС", IF(L54&lt;=Нормативы!$L$52, "I", IF(L54&lt;=Нормативы!$L$53, "II", IF(L54&lt;=Нормативы!$L$54, "III", IF(L54&lt;=Нормативы!$L$55, "I юн", IF(L54&lt;=Нормативы!$L$56, "II юн", IF(L54&lt;=Нормативы!$L$57, "III юн", "б/р")))))))))))</f>
        <v>III</v>
      </c>
      <c r="N54" s="91" t="str">
        <f>IF(ISBLANK(L54), " ", IF(ISTEXT(L54), " ", IF(L54&lt;=Нормативы!$H$49, "КМС", IF(L54&lt;=Нормативы!$H$50, "КМС", IF(L54&lt;=Нормативы!$L$51, "КМС", IF(L54&lt;=Нормативы!$L$52, "I", IF(L54&lt;=Нормативы!$L$53, "II", IF(L54&lt;=Нормативы!$L$54, "III", IF(L54&lt;=Нормативы!$L$55, "I юн", IF(L54&lt;=Нормативы!$L$56, "II юн", IF(L54&lt;=Нормативы!$L$57, "III юн", "б/р")))))))))))</f>
        <v>III</v>
      </c>
      <c r="O54" s="91"/>
      <c r="Q54" s="91" t="str">
        <f t="shared" si="8"/>
        <v xml:space="preserve"> </v>
      </c>
    </row>
    <row r="55" spans="3:33" x14ac:dyDescent="0.2">
      <c r="C55" s="3"/>
      <c r="D55" s="4"/>
      <c r="E55" s="3"/>
      <c r="F55" s="3"/>
      <c r="G55" s="3"/>
      <c r="H55" s="225">
        <v>100</v>
      </c>
      <c r="I55" s="91" t="str">
        <f>IF(ISBLANK(H55), " ", IF(ISTEXT(H55), " ", IF(H55&lt;=Нормативы!$H$49, "МСМК", IF(H55&lt;=Нормативы!$H$50, "МС", IF(H55&lt;=Нормативы!$H$51, "КМС", IF(H55&lt;=Нормативы!$H$52, "I", IF(H55&lt;=Нормативы!$H$53, "II", IF(H55&lt;=Нормативы!$H$54, "III", IF(H55&lt;=Нормативы!$H$55, "I юн", IF(H55&lt;=Нормативы!$H$56, "II юн", IF(H55&lt;=Нормативы!$H$57, "III юн", "б/р")))))))))))</f>
        <v>I юн</v>
      </c>
      <c r="J55" s="91" t="str">
        <f>IF(ISBLANK(H55), " ", IF(ISTEXT(H55), " ", IF(H55&lt;=Нормативы!$H$49, "МСМК", IF(H55&lt;=Нормативы!$H$50, "МС", IF(H55&lt;=Нормативы!$H$51, "КМС", IF(H55&lt;=Нормативы!$H$52, "I", IF(H55&lt;=Нормативы!$H$53, "II", IF(H55&lt;=Нормативы!$H$54, "III", IF(H55&lt;=Нормативы!$H$55, "I юн", IF(H55&lt;=Нормативы!$H$56, "II юн", IF(H55&lt;=Нормативы!$H$57, "III юн", "б/р")))))))))))</f>
        <v>I юн</v>
      </c>
      <c r="K55" s="226"/>
      <c r="L55" s="225">
        <f t="shared" si="9"/>
        <v>99.8</v>
      </c>
      <c r="M55" s="91" t="str">
        <f>IF(ISBLANK(L55), " ", IF(ISTEXT(L55), " ", IF(L55&lt;=Нормативы!$H$49, "КМС", IF(L55&lt;=Нормативы!$H$50, "КМС", IF(L55&lt;=Нормативы!$L$51, "КМС", IF(L55&lt;=Нормативы!$L$52, "I", IF(L55&lt;=Нормативы!$L$53, "II", IF(L55&lt;=Нормативы!$L$54, "III", IF(L55&lt;=Нормативы!$L$55, "I юн", IF(L55&lt;=Нормативы!$L$56, "II юн", IF(L55&lt;=Нормативы!$L$57, "III юн", "б/р")))))))))))</f>
        <v>I юн</v>
      </c>
      <c r="N55" s="91" t="str">
        <f>IF(ISBLANK(L55), " ", IF(ISTEXT(L55), " ", IF(L55&lt;=Нормативы!$H$49, "КМС", IF(L55&lt;=Нормативы!$H$50, "КМС", IF(L55&lt;=Нормативы!$L$51, "КМС", IF(L55&lt;=Нормативы!$L$52, "I", IF(L55&lt;=Нормативы!$L$53, "II", IF(L55&lt;=Нормативы!$L$54, "III", IF(L55&lt;=Нормативы!$L$55, "I юн", IF(L55&lt;=Нормативы!$L$56, "II юн", IF(L55&lt;=Нормативы!$L$57, "III юн", "б/р")))))))))))</f>
        <v>I юн</v>
      </c>
      <c r="O55" s="91"/>
      <c r="Q55" s="91" t="str">
        <f t="shared" si="8"/>
        <v xml:space="preserve"> </v>
      </c>
    </row>
    <row r="56" spans="3:33" x14ac:dyDescent="0.2">
      <c r="C56" s="3"/>
      <c r="D56" s="4"/>
      <c r="E56" s="3"/>
      <c r="F56" s="3"/>
      <c r="G56" s="3"/>
      <c r="H56" s="225">
        <v>105.6</v>
      </c>
      <c r="I56" s="91" t="str">
        <f>IF(ISBLANK(H56), " ", IF(ISTEXT(H56), " ", IF(H56&lt;=Нормативы!$H$49, "МСМК", IF(H56&lt;=Нормативы!$H$50, "МС", IF(H56&lt;=Нормативы!$H$51, "КМС", IF(H56&lt;=Нормативы!$H$52, "I", IF(H56&lt;=Нормативы!$H$53, "II", IF(H56&lt;=Нормативы!$H$54, "III", IF(H56&lt;=Нормативы!$H$55, "I юн", IF(H56&lt;=Нормативы!$H$56, "II юн", IF(H56&lt;=Нормативы!$H$57, "III юн", "б/р")))))))))))</f>
        <v>II юн</v>
      </c>
      <c r="J56" s="91" t="str">
        <f>IF(ISBLANK(H56), " ", IF(ISTEXT(H56), " ", IF(H56&lt;=Нормативы!$H$49, "МСМК", IF(H56&lt;=Нормативы!$H$50, "МС", IF(H56&lt;=Нормативы!$H$51, "КМС", IF(H56&lt;=Нормативы!$H$52, "I", IF(H56&lt;=Нормативы!$H$53, "II", IF(H56&lt;=Нормативы!$H$54, "III", IF(H56&lt;=Нормативы!$H$55, "I юн", IF(H56&lt;=Нормативы!$H$56, "II юн", IF(H56&lt;=Нормативы!$H$57, "III юн", "б/р")))))))))))</f>
        <v>II юн</v>
      </c>
      <c r="K56" s="226"/>
      <c r="L56" s="225">
        <f t="shared" si="9"/>
        <v>105.39999999999999</v>
      </c>
      <c r="M56" s="91" t="str">
        <f>IF(ISBLANK(L56), " ", IF(ISTEXT(L56), " ", IF(L56&lt;=Нормативы!$H$49, "КМС", IF(L56&lt;=Нормативы!$H$50, "КМС", IF(L56&lt;=Нормативы!$L$51, "КМС", IF(L56&lt;=Нормативы!$L$52, "I", IF(L56&lt;=Нормативы!$L$53, "II", IF(L56&lt;=Нормативы!$L$54, "III", IF(L56&lt;=Нормативы!$L$55, "I юн", IF(L56&lt;=Нормативы!$L$56, "II юн", IF(L56&lt;=Нормативы!$L$57, "III юн", "б/р")))))))))))</f>
        <v>II юн</v>
      </c>
      <c r="N56" s="91" t="str">
        <f>IF(ISBLANK(L56), " ", IF(ISTEXT(L56), " ", IF(L56&lt;=Нормативы!$H$49, "КМС", IF(L56&lt;=Нормативы!$H$50, "КМС", IF(L56&lt;=Нормативы!$L$51, "КМС", IF(L56&lt;=Нормативы!$L$52, "I", IF(L56&lt;=Нормативы!$L$53, "II", IF(L56&lt;=Нормативы!$L$54, "III", IF(L56&lt;=Нормативы!$L$55, "I юн", IF(L56&lt;=Нормативы!$L$56, "II юн", IF(L56&lt;=Нормативы!$L$57, "III юн", "б/р")))))))))))</f>
        <v>II юн</v>
      </c>
      <c r="O56" s="91"/>
      <c r="Q56" s="91" t="str">
        <f t="shared" si="8"/>
        <v xml:space="preserve"> </v>
      </c>
    </row>
    <row r="57" spans="3:33" x14ac:dyDescent="0.2">
      <c r="C57" s="3"/>
      <c r="D57" s="4"/>
      <c r="E57" s="4"/>
      <c r="F57" s="3"/>
      <c r="G57" s="3"/>
      <c r="H57" s="225">
        <v>110.6</v>
      </c>
      <c r="I57" s="91" t="str">
        <f>IF(ISBLANK(H57), " ", IF(ISTEXT(H57), " ", IF(H57&lt;=Нормативы!$H$49, "МСМК", IF(H57&lt;=Нормативы!$H$50, "МС", IF(H57&lt;=Нормативы!$H$51, "КМС", IF(H57&lt;=Нормативы!$H$52, "I", IF(H57&lt;=Нормативы!$H$53, "II", IF(H57&lt;=Нормативы!$H$54, "III", IF(H57&lt;=Нормативы!$H$55, "I юн", IF(H57&lt;=Нормативы!$H$56, "II юн", IF(H57&lt;=Нормативы!$H$57, "III юн", "б/р")))))))))))</f>
        <v>III юн</v>
      </c>
      <c r="J57" s="91" t="str">
        <f>IF(ISBLANK(H57), " ", IF(ISTEXT(H57), " ", IF(H57&lt;=Нормативы!$H$49, "МСМК", IF(H57&lt;=Нормативы!$H$50, "МС", IF(H57&lt;=Нормативы!$H$51, "КМС", IF(H57&lt;=Нормативы!$H$52, "I", IF(H57&lt;=Нормативы!$H$53, "II", IF(H57&lt;=Нормативы!$H$54, "III", IF(H57&lt;=Нормативы!$H$55, "I юн", IF(H57&lt;=Нормативы!$H$56, "II юн", IF(H57&lt;=Нормативы!$H$57, "III юн", "б/р")))))))))))</f>
        <v>III юн</v>
      </c>
      <c r="K57" s="226"/>
      <c r="L57" s="225">
        <f t="shared" si="9"/>
        <v>110.39999999999999</v>
      </c>
      <c r="M57" s="91" t="str">
        <f>IF(ISBLANK(L57), " ", IF(ISTEXT(L57), " ", IF(L57&lt;=Нормативы!$H$49, "КМС", IF(L57&lt;=Нормативы!$H$50, "КМС", IF(L57&lt;=Нормативы!$L$51, "КМС", IF(L57&lt;=Нормативы!$L$52, "I", IF(L57&lt;=Нормативы!$L$53, "II", IF(L57&lt;=Нормативы!$L$54, "III", IF(L57&lt;=Нормативы!$L$55, "I юн", IF(L57&lt;=Нормативы!$L$56, "II юн", IF(L57&lt;=Нормативы!$L$57, "III юн", "б/р")))))))))))</f>
        <v>III юн</v>
      </c>
      <c r="N57" s="91" t="str">
        <f>IF(ISBLANK(L57), " ", IF(ISTEXT(L57), " ", IF(L57&lt;=Нормативы!$H$49, "КМС", IF(L57&lt;=Нормативы!$H$50, "КМС", IF(L57&lt;=Нормативы!$L$51, "КМС", IF(L57&lt;=Нормативы!$L$52, "I", IF(L57&lt;=Нормативы!$L$53, "II", IF(L57&lt;=Нормативы!$L$54, "III", IF(L57&lt;=Нормативы!$L$55, "I юн", IF(L57&lt;=Нормативы!$L$56, "II юн", IF(L57&lt;=Нормативы!$L$57, "III юн", "б/р")))))))))))</f>
        <v>III юн</v>
      </c>
      <c r="O57" s="91"/>
      <c r="Q57" s="91" t="str">
        <f t="shared" si="8"/>
        <v xml:space="preserve"> </v>
      </c>
    </row>
    <row r="58" spans="3:33" x14ac:dyDescent="0.2">
      <c r="C58" s="3"/>
      <c r="D58" s="4"/>
      <c r="E58" s="4"/>
      <c r="F58" s="3"/>
      <c r="G58" s="3"/>
      <c r="H58" s="225"/>
      <c r="I58" s="217"/>
      <c r="J58" s="217"/>
      <c r="K58" s="226"/>
      <c r="L58" s="217"/>
      <c r="M58" s="217"/>
      <c r="N58" s="217"/>
      <c r="P58" s="233"/>
      <c r="Q58" s="217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24"/>
      <c r="AC58" s="224"/>
      <c r="AD58" s="224"/>
      <c r="AE58" s="224"/>
      <c r="AF58" s="224"/>
      <c r="AG58" s="233"/>
    </row>
    <row r="59" spans="3:33" x14ac:dyDescent="0.2">
      <c r="C59" s="58" t="s">
        <v>382</v>
      </c>
      <c r="D59" s="106"/>
      <c r="E59" s="106"/>
      <c r="F59" s="58"/>
      <c r="G59" s="58"/>
      <c r="H59" s="221"/>
      <c r="I59" s="217"/>
      <c r="J59" s="217"/>
      <c r="K59" s="235"/>
      <c r="L59" s="217"/>
      <c r="M59" s="217"/>
      <c r="N59" s="217"/>
      <c r="P59" s="224"/>
      <c r="Q59" s="217"/>
      <c r="R59" s="224"/>
      <c r="S59" s="224"/>
      <c r="T59" s="224"/>
      <c r="U59" s="224"/>
      <c r="V59" s="224"/>
      <c r="W59" s="224"/>
      <c r="X59" s="224"/>
      <c r="Y59" s="224"/>
      <c r="Z59" s="224"/>
      <c r="AA59" s="224"/>
      <c r="AB59" s="224"/>
      <c r="AC59" s="224"/>
      <c r="AD59" s="224"/>
      <c r="AE59" s="224"/>
      <c r="AF59" s="224"/>
      <c r="AG59" s="224"/>
    </row>
    <row r="60" spans="3:33" x14ac:dyDescent="0.2">
      <c r="C60" s="217"/>
      <c r="D60" s="217"/>
      <c r="E60" s="217"/>
      <c r="F60" s="217"/>
      <c r="G60" s="217"/>
      <c r="H60" s="238">
        <v>35.5</v>
      </c>
      <c r="I60" s="91" t="str">
        <f>IF(ISBLANK(H60), " ", IF(ISTEXT(H60), " ", IF(H60&lt;=Нормативы!$H$60, "МСМК", IF(H60&lt;=Нормативы!$H$61, "МС", IF(H60&lt;=Нормативы!$H$62, "КМС", IF(H60&lt;=Нормативы!$H$63, "I", IF(H60&lt;=Нормативы!$H$64, "II", IF(H60&lt;=Нормативы!$H$65, "III", IF(H60&lt;=Нормативы!$H$66, "I юн", IF(H60&lt;=Нормативы!$H$67, "II юн", IF(H60&lt;=Нормативы!$H$68, "III юн", "б/р")))))))))))</f>
        <v>МСМК</v>
      </c>
      <c r="J60" s="91" t="str">
        <f>IF(ISBLANK(H60), " ", IF(ISTEXT(H60), " ", IF(H60&lt;=Нормативы!$H$60, "МСМК", IF(H60&lt;=Нормативы!$H$61, "МС", IF(H60&lt;=Нормативы!$H$62, "КМС", IF(H60&lt;=Нормативы!$H$63, "I", IF(H60&lt;=Нормативы!$H$64, "II", IF(H60&lt;=Нормативы!$H$65, "III", IF(H60&lt;=Нормативы!$H$66, "I юн", IF(H60&lt;=Нормативы!$H$67, "II юн", IF(H60&lt;=Нормативы!$H$68, "III юн", "б/р")))))))))))</f>
        <v>МСМК</v>
      </c>
      <c r="K60" s="226"/>
      <c r="L60" s="239"/>
      <c r="M60" s="91" t="str">
        <f>IF(ISBLANK(L60), " ", IF(ISTEXT(L60), " ", IF(L60&lt;=Нормативы!$H$60, "КМС", IF(L60&lt;=Нормативы!$H$61, "КМС", IF(L60&lt;=Нормативы!$L$62, "КМС", IF(L60&lt;=Нормативы!$L$63, "I", IF(L60&lt;=Нормативы!$L$64, "II", IF(L60&lt;=Нормативы!$L$65, "III", IF(L60&lt;=Нормативы!$L$66, "I юн", IF(L60&lt;=Нормативы!$L$67, "II юн", IF(L60&lt;=Нормативы!$L$68, "III юн", "б/р")))))))))))</f>
        <v xml:space="preserve"> </v>
      </c>
      <c r="N60" s="91" t="str">
        <f>IF(ISBLANK(L60), " ", IF(ISTEXT(L60), " ", IF(L60&lt;=36, "МСМК", IF(L60&lt;=37.8, "МС", IF(L60&lt;=39.4, "КМС", IF(L60&lt;=42.3, "I", IF(L60&lt;=45.9, "II", IF(L60&lt;=49.8, "III", IF(L60&lt;=54.6, "I юн", IF(L60&lt;=59.6, "II юн", IF(L60&lt;=104.6, "III юн", "б/р")))))))))))</f>
        <v xml:space="preserve"> </v>
      </c>
      <c r="O60" s="228"/>
      <c r="Q60" s="91" t="str">
        <f t="shared" ref="Q60:Q68" si="10">IF(ISBLANK(P60), " ", IF(ISTEXT(P60), " ", IF(P60&lt;=$H$60, "МСМК", IF(P60&lt;=$H$61, "МС", IF(P60&lt;=$H$62, "КМС", IF(P60&lt;=$H$63, "I", IF(P60&lt;=$H$64, "II", IF(P60&lt;=$H$65, "III", IF(P60&lt;=$H$66, "I юн", IF(P60&lt;=$H$67, "II юн", IF(P60&lt;=$H$68, "III юн", "б/р")))))))))))</f>
        <v xml:space="preserve"> </v>
      </c>
    </row>
    <row r="61" spans="3:33" x14ac:dyDescent="0.2">
      <c r="C61" s="3"/>
      <c r="D61" s="4"/>
      <c r="E61" s="4"/>
      <c r="F61" s="3"/>
      <c r="G61" s="3"/>
      <c r="H61" s="225">
        <v>37.299999999999997</v>
      </c>
      <c r="I61" s="91" t="str">
        <f>IF(ISBLANK(H61), " ", IF(ISTEXT(H61), " ", IF(H61&lt;=Нормативы!$H$60, "МСМК", IF(H61&lt;=Нормативы!$H$61, "МС", IF(H61&lt;=Нормативы!$H$62, "КМС", IF(H61&lt;=Нормативы!$H$63, "I", IF(H61&lt;=Нормативы!$H$64, "II", IF(H61&lt;=Нормативы!$H$65, "III", IF(H61&lt;=Нормативы!$H$66, "I юн", IF(H61&lt;=Нормативы!$H$67, "II юн", IF(H61&lt;=Нормативы!$H$68, "III юн", "б/р")))))))))))</f>
        <v>МС</v>
      </c>
      <c r="J61" s="91" t="str">
        <f>IF(ISBLANK(H61), " ", IF(ISTEXT(H61), " ", IF(H61&lt;=Нормативы!$H$60, "МСМК", IF(H61&lt;=Нормативы!$H$61, "МС", IF(H61&lt;=Нормативы!$H$62, "КМС", IF(H61&lt;=Нормативы!$H$63, "I", IF(H61&lt;=Нормативы!$H$64, "II", IF(H61&lt;=Нормативы!$H$65, "III", IF(H61&lt;=Нормативы!$H$66, "I юн", IF(H61&lt;=Нормативы!$H$67, "II юн", IF(H61&lt;=Нормативы!$H$68, "III юн", "б/р")))))))))))</f>
        <v>МС</v>
      </c>
      <c r="K61" s="226"/>
      <c r="L61" s="225"/>
      <c r="M61" s="91" t="str">
        <f>IF(ISBLANK(L61), " ", IF(ISTEXT(L61), " ", IF(L61&lt;=Нормативы!$H$60, "КМС", IF(L61&lt;=Нормативы!$H$61, "КМС", IF(L61&lt;=Нормативы!$L$62, "КМС", IF(L61&lt;=Нормативы!$L$63, "I", IF(L61&lt;=Нормативы!$L$64, "II", IF(L61&lt;=Нормативы!$L$65, "III", IF(L61&lt;=Нормативы!$L$66, "I юн", IF(L61&lt;=Нормативы!$L$67, "II юн", IF(L61&lt;=Нормативы!$L$68, "III юн", "б/р")))))))))))</f>
        <v xml:space="preserve"> </v>
      </c>
      <c r="N61" s="91" t="str">
        <f>IF(ISBLANK(L61), " ", IF(ISTEXT(L61), " ", IF(L61&lt;=36, "МСМК", IF(L61&lt;=37.8, "МС", IF(L61&lt;=39.4, "КМС", IF(L61&lt;=42.3, "I", IF(L61&lt;=45.9, "II", IF(L61&lt;=49.8, "III", IF(L61&lt;=54.6, "I юн", IF(L61&lt;=59.6, "II юн", IF(L61&lt;=104.6, "III юн", "б/р")))))))))))</f>
        <v xml:space="preserve"> </v>
      </c>
      <c r="O61" s="228"/>
      <c r="Q61" s="91" t="str">
        <f t="shared" si="10"/>
        <v xml:space="preserve"> </v>
      </c>
    </row>
    <row r="62" spans="3:33" x14ac:dyDescent="0.2">
      <c r="C62" s="3"/>
      <c r="D62" s="4"/>
      <c r="E62" s="4"/>
      <c r="F62" s="3"/>
      <c r="G62" s="3"/>
      <c r="H62" s="225">
        <v>39.200000000000003</v>
      </c>
      <c r="I62" s="91" t="str">
        <f>IF(ISBLANK(H62), " ", IF(ISTEXT(H62), " ", IF(H62&lt;=Нормативы!$H$60, "МСМК", IF(H62&lt;=Нормативы!$H$61, "МС", IF(H62&lt;=Нормативы!$H$62, "КМС", IF(H62&lt;=Нормативы!$H$63, "I", IF(H62&lt;=Нормативы!$H$64, "II", IF(H62&lt;=Нормативы!$H$65, "III", IF(H62&lt;=Нормативы!$H$66, "I юн", IF(H62&lt;=Нормативы!$H$67, "II юн", IF(H62&lt;=Нормативы!$H$68, "III юн", "б/р")))))))))))</f>
        <v>КМС</v>
      </c>
      <c r="J62" s="91" t="str">
        <f>IF(ISBLANK(H62), " ", IF(ISTEXT(H62), " ", IF(H62&lt;=Нормативы!$H$60, "МСМК", IF(H62&lt;=Нормативы!$H$61, "МС", IF(H62&lt;=Нормативы!$H$62, "КМС", IF(H62&lt;=Нормативы!$H$63, "I", IF(H62&lt;=Нормативы!$H$64, "II", IF(H62&lt;=Нормативы!$H$65, "III", IF(H62&lt;=Нормативы!$H$66, "I юн", IF(H62&lt;=Нормативы!$H$67, "II юн", IF(H62&lt;=Нормативы!$H$68, "III юн", "б/р")))))))))))</f>
        <v>КМС</v>
      </c>
      <c r="K62" s="226"/>
      <c r="L62" s="225">
        <f t="shared" ref="L62:L68" si="11">H62-0.2</f>
        <v>39</v>
      </c>
      <c r="M62" s="91" t="str">
        <f>IF(ISBLANK(L62), " ", IF(ISTEXT(L62), " ", IF(L62&lt;=Нормативы!$H$60, "КМС", IF(L62&lt;=Нормативы!$H$61, "КМС", IF(L62&lt;=Нормативы!$L$62, "КМС", IF(L62&lt;=Нормативы!$L$63, "I", IF(L62&lt;=Нормативы!$L$64, "II", IF(L62&lt;=Нормативы!$L$65, "III", IF(L62&lt;=Нормативы!$L$66, "I юн", IF(L62&lt;=Нормативы!$L$67, "II юн", IF(L62&lt;=Нормативы!$L$68, "III юн", "б/р")))))))))))</f>
        <v>КМС</v>
      </c>
      <c r="N62" s="91" t="str">
        <f>IF(ISBLANK(L62), " ", IF(ISTEXT(L62), " ", IF(L62&lt;=Нормативы!$H$60, "КМС", IF(L62&lt;=Нормативы!$H$61, "КМС", IF(L62&lt;=Нормативы!$L$62, "КМС", IF(L62&lt;=Нормативы!$L$63, "I", IF(L62&lt;=Нормативы!$L$64, "II", IF(L62&lt;=Нормативы!$L$65, "III", IF(L62&lt;=Нормативы!$L$66, "I юн", IF(L62&lt;=Нормативы!$L$67, "II юн", IF(L62&lt;=Нормативы!$L$68, "III юн", "б/р")))))))))))</f>
        <v>КМС</v>
      </c>
      <c r="O62" s="91"/>
      <c r="Q62" s="91" t="str">
        <f t="shared" si="10"/>
        <v xml:space="preserve"> </v>
      </c>
    </row>
    <row r="63" spans="3:33" x14ac:dyDescent="0.2">
      <c r="C63" s="3"/>
      <c r="D63" s="4"/>
      <c r="E63" s="4"/>
      <c r="F63" s="3"/>
      <c r="G63" s="3"/>
      <c r="H63" s="225">
        <v>42</v>
      </c>
      <c r="I63" s="91" t="str">
        <f>IF(ISBLANK(H63), " ", IF(ISTEXT(H63), " ", IF(H63&lt;=Нормативы!$H$60, "МСМК", IF(H63&lt;=Нормативы!$H$61, "МС", IF(H63&lt;=Нормативы!$H$62, "КМС", IF(H63&lt;=Нормативы!$H$63, "I", IF(H63&lt;=Нормативы!$H$64, "II", IF(H63&lt;=Нормативы!$H$65, "III", IF(H63&lt;=Нормативы!$H$66, "I юн", IF(H63&lt;=Нормативы!$H$67, "II юн", IF(H63&lt;=Нормативы!$H$68, "III юн", "б/р")))))))))))</f>
        <v>I</v>
      </c>
      <c r="J63" s="91" t="str">
        <f>IF(ISBLANK(H63), " ", IF(ISTEXT(H63), " ", IF(H63&lt;=Нормативы!$H$60, "МСМК", IF(H63&lt;=Нормативы!$H$61, "МС", IF(H63&lt;=Нормативы!$H$62, "КМС", IF(H63&lt;=Нормативы!$H$63, "I", IF(H63&lt;=Нормативы!$H$64, "II", IF(H63&lt;=Нормативы!$H$65, "III", IF(H63&lt;=Нормативы!$H$66, "I юн", IF(H63&lt;=Нормативы!$H$67, "II юн", IF(H63&lt;=Нормативы!$H$68, "III юн", "б/р")))))))))))</f>
        <v>I</v>
      </c>
      <c r="K63" s="226"/>
      <c r="L63" s="225">
        <f t="shared" si="11"/>
        <v>41.8</v>
      </c>
      <c r="M63" s="91" t="str">
        <f>IF(ISBLANK(L63), " ", IF(ISTEXT(L63), " ", IF(L63&lt;=Нормативы!$H$60, "КМС", IF(L63&lt;=Нормативы!$H$61, "КМС", IF(L63&lt;=Нормативы!$L$62, "КМС", IF(L63&lt;=Нормативы!$L$63, "I", IF(L63&lt;=Нормативы!$L$64, "II", IF(L63&lt;=Нормативы!$L$65, "III", IF(L63&lt;=Нормативы!$L$66, "I юн", IF(L63&lt;=Нормативы!$L$67, "II юн", IF(L63&lt;=Нормативы!$L$68, "III юн", "б/р")))))))))))</f>
        <v>I</v>
      </c>
      <c r="N63" s="91" t="str">
        <f>IF(ISBLANK(L63), " ", IF(ISTEXT(L63), " ", IF(L63&lt;=Нормативы!$H$60, "КМС", IF(L63&lt;=Нормативы!$H$61, "КМС", IF(L63&lt;=Нормативы!$L$62, "КМС", IF(L63&lt;=Нормативы!$L$63, "I", IF(L63&lt;=Нормативы!$L$64, "II", IF(L63&lt;=Нормативы!$L$65, "III", IF(L63&lt;=Нормативы!$L$66, "I юн", IF(L63&lt;=Нормативы!$L$67, "II юн", IF(L63&lt;=Нормативы!$L$68, "III юн", "б/р")))))))))))</f>
        <v>I</v>
      </c>
      <c r="O63" s="91"/>
      <c r="Q63" s="91" t="str">
        <f t="shared" si="10"/>
        <v xml:space="preserve"> </v>
      </c>
    </row>
    <row r="64" spans="3:33" x14ac:dyDescent="0.2">
      <c r="C64" s="3"/>
      <c r="D64" s="4"/>
      <c r="E64" s="4"/>
      <c r="F64" s="3"/>
      <c r="G64" s="3"/>
      <c r="H64" s="225">
        <v>45.7</v>
      </c>
      <c r="I64" s="91" t="str">
        <f>IF(ISBLANK(H64), " ", IF(ISTEXT(H64), " ", IF(H64&lt;=Нормативы!$H$60, "МСМК", IF(H64&lt;=Нормативы!$H$61, "МС", IF(H64&lt;=Нормативы!$H$62, "КМС", IF(H64&lt;=Нормативы!$H$63, "I", IF(H64&lt;=Нормативы!$H$64, "II", IF(H64&lt;=Нормативы!$H$65, "III", IF(H64&lt;=Нормативы!$H$66, "I юн", IF(H64&lt;=Нормативы!$H$67, "II юн", IF(H64&lt;=Нормативы!$H$68, "III юн", "б/р")))))))))))</f>
        <v>II</v>
      </c>
      <c r="J64" s="91" t="str">
        <f>IF(ISBLANK(H64), " ", IF(ISTEXT(H64), " ", IF(H64&lt;=Нормативы!$H$60, "МСМК", IF(H64&lt;=Нормативы!$H$61, "МС", IF(H64&lt;=Нормативы!$H$62, "КМС", IF(H64&lt;=Нормативы!$H$63, "I", IF(H64&lt;=Нормативы!$H$64, "II", IF(H64&lt;=Нормативы!$H$65, "III", IF(H64&lt;=Нормативы!$H$66, "I юн", IF(H64&lt;=Нормативы!$H$67, "II юн", IF(H64&lt;=Нормативы!$H$68, "III юн", "б/р")))))))))))</f>
        <v>II</v>
      </c>
      <c r="K64" s="226"/>
      <c r="L64" s="225">
        <f t="shared" si="11"/>
        <v>45.5</v>
      </c>
      <c r="M64" s="91" t="str">
        <f>IF(ISBLANK(L64), " ", IF(ISTEXT(L64), " ", IF(L64&lt;=Нормативы!$H$60, "КМС", IF(L64&lt;=Нормативы!$H$61, "КМС", IF(L64&lt;=Нормативы!$L$62, "КМС", IF(L64&lt;=Нормативы!$L$63, "I", IF(L64&lt;=Нормативы!$L$64, "II", IF(L64&lt;=Нормативы!$L$65, "III", IF(L64&lt;=Нормативы!$L$66, "I юн", IF(L64&lt;=Нормативы!$L$67, "II юн", IF(L64&lt;=Нормативы!$L$68, "III юн", "б/р")))))))))))</f>
        <v>II</v>
      </c>
      <c r="N64" s="91" t="str">
        <f>IF(ISBLANK(L64), " ", IF(ISTEXT(L64), " ", IF(L64&lt;=Нормативы!$H$60, "КМС", IF(L64&lt;=Нормативы!$H$61, "КМС", IF(L64&lt;=Нормативы!$L$62, "КМС", IF(L64&lt;=Нормативы!$L$63, "I", IF(L64&lt;=Нормативы!$L$64, "II", IF(L64&lt;=Нормативы!$L$65, "III", IF(L64&lt;=Нормативы!$L$66, "I юн", IF(L64&lt;=Нормативы!$L$67, "II юн", IF(L64&lt;=Нормативы!$L$68, "III юн", "б/р")))))))))))</f>
        <v>II</v>
      </c>
      <c r="O64" s="91"/>
      <c r="Q64" s="91" t="str">
        <f t="shared" si="10"/>
        <v xml:space="preserve"> </v>
      </c>
    </row>
    <row r="65" spans="3:33" x14ac:dyDescent="0.2">
      <c r="C65" s="3"/>
      <c r="D65" s="4"/>
      <c r="E65" s="4"/>
      <c r="F65" s="3"/>
      <c r="G65" s="3"/>
      <c r="H65" s="225">
        <v>49.7</v>
      </c>
      <c r="I65" s="91" t="str">
        <f>IF(ISBLANK(H65), " ", IF(ISTEXT(H65), " ", IF(H65&lt;=Нормативы!$H$60, "МСМК", IF(H65&lt;=Нормативы!$H$61, "МС", IF(H65&lt;=Нормативы!$H$62, "КМС", IF(H65&lt;=Нормативы!$H$63, "I", IF(H65&lt;=Нормативы!$H$64, "II", IF(H65&lt;=Нормативы!$H$65, "III", IF(H65&lt;=Нормативы!$H$66, "I юн", IF(H65&lt;=Нормативы!$H$67, "II юн", IF(H65&lt;=Нормативы!$H$68, "III юн", "б/р")))))))))))</f>
        <v>III</v>
      </c>
      <c r="J65" s="91" t="str">
        <f>IF(ISBLANK(H65), " ", IF(ISTEXT(H65), " ", IF(H65&lt;=Нормативы!$H$60, "МСМК", IF(H65&lt;=Нормативы!$H$61, "МС", IF(H65&lt;=Нормативы!$H$62, "КМС", IF(H65&lt;=Нормативы!$H$63, "I", IF(H65&lt;=Нормативы!$H$64, "II", IF(H65&lt;=Нормативы!$H$65, "III", IF(H65&lt;=Нормативы!$H$66, "I юн", IF(H65&lt;=Нормативы!$H$67, "II юн", IF(H65&lt;=Нормативы!$H$68, "III юн", "б/р")))))))))))</f>
        <v>III</v>
      </c>
      <c r="K65" s="226"/>
      <c r="L65" s="225">
        <f t="shared" si="11"/>
        <v>49.5</v>
      </c>
      <c r="M65" s="91" t="str">
        <f>IF(ISBLANK(L65), " ", IF(ISTEXT(L65), " ", IF(L65&lt;=Нормативы!$H$60, "КМС", IF(L65&lt;=Нормативы!$H$61, "КМС", IF(L65&lt;=Нормативы!$L$62, "КМС", IF(L65&lt;=Нормативы!$L$63, "I", IF(L65&lt;=Нормативы!$L$64, "II", IF(L65&lt;=Нормативы!$L$65, "III", IF(L65&lt;=Нормативы!$L$66, "I юн", IF(L65&lt;=Нормативы!$L$67, "II юн", IF(L65&lt;=Нормативы!$L$68, "III юн", "б/р")))))))))))</f>
        <v>III</v>
      </c>
      <c r="N65" s="91" t="str">
        <f>IF(ISBLANK(L65), " ", IF(ISTEXT(L65), " ", IF(L65&lt;=Нормативы!$H$60, "КМС", IF(L65&lt;=Нормативы!$H$61, "КМС", IF(L65&lt;=Нормативы!$L$62, "КМС", IF(L65&lt;=Нормативы!$L$63, "I", IF(L65&lt;=Нормативы!$L$64, "II", IF(L65&lt;=Нормативы!$L$65, "III", IF(L65&lt;=Нормативы!$L$66, "I юн", IF(L65&lt;=Нормативы!$L$67, "II юн", IF(L65&lt;=Нормативы!$L$68, "III юн", "б/р")))))))))))</f>
        <v>III</v>
      </c>
      <c r="O65" s="91"/>
      <c r="Q65" s="91" t="str">
        <f t="shared" si="10"/>
        <v xml:space="preserve"> </v>
      </c>
    </row>
    <row r="66" spans="3:33" x14ac:dyDescent="0.2">
      <c r="C66" s="3"/>
      <c r="D66" s="4"/>
      <c r="E66" s="4"/>
      <c r="F66" s="3"/>
      <c r="G66" s="3"/>
      <c r="H66" s="225">
        <v>54.300000000000004</v>
      </c>
      <c r="I66" s="91" t="str">
        <f>IF(ISBLANK(H66), " ", IF(ISTEXT(H66), " ", IF(H66&lt;=Нормативы!$H$60, "МСМК", IF(H66&lt;=Нормативы!$H$61, "МС", IF(H66&lt;=Нормативы!$H$62, "КМС", IF(H66&lt;=Нормативы!$H$63, "I", IF(H66&lt;=Нормативы!$H$64, "II", IF(H66&lt;=Нормативы!$H$65, "III", IF(H66&lt;=Нормативы!$H$66, "I юн", IF(H66&lt;=Нормативы!$H$67, "II юн", IF(H66&lt;=Нормативы!$H$68, "III юн", "б/р")))))))))))</f>
        <v>I юн</v>
      </c>
      <c r="J66" s="91" t="str">
        <f>IF(ISBLANK(H66), " ", IF(ISTEXT(H66), " ", IF(H66&lt;=Нормативы!$H$60, "МСМК", IF(H66&lt;=Нормативы!$H$61, "МС", IF(H66&lt;=Нормативы!$H$62, "КМС", IF(H66&lt;=Нормативы!$H$63, "I", IF(H66&lt;=Нормативы!$H$64, "II", IF(H66&lt;=Нормативы!$H$65, "III", IF(H66&lt;=Нормативы!$H$66, "I юн", IF(H66&lt;=Нормативы!$H$67, "II юн", IF(H66&lt;=Нормативы!$H$68, "III юн", "б/р")))))))))))</f>
        <v>I юн</v>
      </c>
      <c r="K66" s="226"/>
      <c r="L66" s="225">
        <f t="shared" si="11"/>
        <v>54.1</v>
      </c>
      <c r="M66" s="91" t="str">
        <f>IF(ISBLANK(L66), " ", IF(ISTEXT(L66), " ", IF(L66&lt;=Нормативы!$H$60, "КМС", IF(L66&lt;=Нормативы!$H$61, "КМС", IF(L66&lt;=Нормативы!$L$62, "КМС", IF(L66&lt;=Нормативы!$L$63, "I", IF(L66&lt;=Нормативы!$L$64, "II", IF(L66&lt;=Нормативы!$L$65, "III", IF(L66&lt;=Нормативы!$L$66, "I юн", IF(L66&lt;=Нормативы!$L$67, "II юн", IF(L66&lt;=Нормативы!$L$68, "III юн", "б/р")))))))))))</f>
        <v>I юн</v>
      </c>
      <c r="N66" s="91" t="str">
        <f>IF(ISBLANK(L66), " ", IF(ISTEXT(L66), " ", IF(L66&lt;=Нормативы!$H$60, "КМС", IF(L66&lt;=Нормативы!$H$61, "КМС", IF(L66&lt;=Нормативы!$L$62, "КМС", IF(L66&lt;=Нормативы!$L$63, "I", IF(L66&lt;=Нормативы!$L$64, "II", IF(L66&lt;=Нормативы!$L$65, "III", IF(L66&lt;=Нормативы!$L$66, "I юн", IF(L66&lt;=Нормативы!$L$67, "II юн", IF(L66&lt;=Нормативы!$L$68, "III юн", "б/р")))))))))))</f>
        <v>I юн</v>
      </c>
      <c r="O66" s="91"/>
      <c r="Q66" s="91" t="str">
        <f t="shared" si="10"/>
        <v xml:space="preserve"> </v>
      </c>
    </row>
    <row r="67" spans="3:33" x14ac:dyDescent="0.2">
      <c r="C67" s="3"/>
      <c r="D67" s="4"/>
      <c r="E67" s="4"/>
      <c r="F67" s="3"/>
      <c r="G67" s="3"/>
      <c r="H67" s="225">
        <v>59.2</v>
      </c>
      <c r="I67" s="91" t="str">
        <f>IF(ISBLANK(H67), " ", IF(ISTEXT(H67), " ", IF(H67&lt;=Нормативы!$H$60, "МСМК", IF(H67&lt;=Нормативы!$H$61, "МС", IF(H67&lt;=Нормативы!$H$62, "КМС", IF(H67&lt;=Нормативы!$H$63, "I", IF(H67&lt;=Нормативы!$H$64, "II", IF(H67&lt;=Нормативы!$H$65, "III", IF(H67&lt;=Нормативы!$H$66, "I юн", IF(H67&lt;=Нормативы!$H$67, "II юн", IF(H67&lt;=Нормативы!$H$68, "III юн", "б/р")))))))))))</f>
        <v>II юн</v>
      </c>
      <c r="J67" s="91" t="str">
        <f>IF(ISBLANK(H67), " ", IF(ISTEXT(H67), " ", IF(H67&lt;=Нормативы!$H$60, "МСМК", IF(H67&lt;=Нормативы!$H$61, "МС", IF(H67&lt;=Нормативы!$H$62, "КМС", IF(H67&lt;=Нормативы!$H$63, "I", IF(H67&lt;=Нормативы!$H$64, "II", IF(H67&lt;=Нормативы!$H$65, "III", IF(H67&lt;=Нормативы!$H$66, "I юн", IF(H67&lt;=Нормативы!$H$67, "II юн", IF(H67&lt;=Нормативы!$H$68, "III юн", "б/р")))))))))))</f>
        <v>II юн</v>
      </c>
      <c r="K67" s="226"/>
      <c r="L67" s="225">
        <f t="shared" si="11"/>
        <v>59</v>
      </c>
      <c r="M67" s="91" t="str">
        <f>IF(ISBLANK(L67), " ", IF(ISTEXT(L67), " ", IF(L67&lt;=Нормативы!$H$60, "КМС", IF(L67&lt;=Нормативы!$H$61, "КМС", IF(L67&lt;=Нормативы!$L$62, "КМС", IF(L67&lt;=Нормативы!$L$63, "I", IF(L67&lt;=Нормативы!$L$64, "II", IF(L67&lt;=Нормативы!$L$65, "III", IF(L67&lt;=Нормативы!$L$66, "I юн", IF(L67&lt;=Нормативы!$L$67, "II юн", IF(L67&lt;=Нормативы!$L$68, "III юн", "б/р")))))))))))</f>
        <v>II юн</v>
      </c>
      <c r="N67" s="91" t="str">
        <f>IF(ISBLANK(L67), " ", IF(ISTEXT(L67), " ", IF(L67&lt;=Нормативы!$H$60, "КМС", IF(L67&lt;=Нормативы!$H$61, "КМС", IF(L67&lt;=Нормативы!$L$62, "КМС", IF(L67&lt;=Нормативы!$L$63, "I", IF(L67&lt;=Нормативы!$L$64, "II", IF(L67&lt;=Нормативы!$L$65, "III", IF(L67&lt;=Нормативы!$L$66, "I юн", IF(L67&lt;=Нормативы!$L$67, "II юн", IF(L67&lt;=Нормативы!$L$68, "III юн", "б/р")))))))))))</f>
        <v>II юн</v>
      </c>
      <c r="O67" s="91"/>
      <c r="Q67" s="91" t="str">
        <f t="shared" si="10"/>
        <v xml:space="preserve"> </v>
      </c>
    </row>
    <row r="68" spans="3:33" x14ac:dyDescent="0.2">
      <c r="C68" s="3"/>
      <c r="D68" s="4"/>
      <c r="E68" s="4"/>
      <c r="F68" s="3"/>
      <c r="G68" s="3"/>
      <c r="H68" s="225">
        <v>104.2</v>
      </c>
      <c r="I68" s="91" t="str">
        <f>IF(ISBLANK(H68), " ", IF(ISTEXT(H68), " ", IF(H68&lt;=Нормативы!$H$60, "МСМК", IF(H68&lt;=Нормативы!$H$61, "МС", IF(H68&lt;=Нормативы!$H$62, "КМС", IF(H68&lt;=Нормативы!$H$63, "I", IF(H68&lt;=Нормативы!$H$64, "II", IF(H68&lt;=Нормативы!$H$65, "III", IF(H68&lt;=Нормативы!$H$66, "I юн", IF(H68&lt;=Нормативы!$H$67, "II юн", IF(H68&lt;=Нормативы!$H$68, "III юн", "б/р")))))))))))</f>
        <v>III юн</v>
      </c>
      <c r="J68" s="91" t="str">
        <f>IF(ISBLANK(H68), " ", IF(ISTEXT(H68), " ", IF(H68&lt;=Нормативы!$H$60, "МСМК", IF(H68&lt;=Нормативы!$H$61, "МС", IF(H68&lt;=Нормативы!$H$62, "КМС", IF(H68&lt;=Нормативы!$H$63, "I", IF(H68&lt;=Нормативы!$H$64, "II", IF(H68&lt;=Нормативы!$H$65, "III", IF(H68&lt;=Нормативы!$H$66, "I юн", IF(H68&lt;=Нормативы!$H$67, "II юн", IF(H68&lt;=Нормативы!$H$68, "III юн", "б/р")))))))))))</f>
        <v>III юн</v>
      </c>
      <c r="K68" s="226"/>
      <c r="L68" s="225">
        <f t="shared" si="11"/>
        <v>104</v>
      </c>
      <c r="M68" s="91" t="str">
        <f>IF(ISBLANK(L68), " ", IF(ISTEXT(L68), " ", IF(L68&lt;=Нормативы!$H$60, "КМС", IF(L68&lt;=Нормативы!$H$61, "КМС", IF(L68&lt;=Нормативы!$L$62, "КМС", IF(L68&lt;=Нормативы!$L$63, "I", IF(L68&lt;=Нормативы!$L$64, "II", IF(L68&lt;=Нормативы!$L$65, "III", IF(L68&lt;=Нормативы!$L$66, "I юн", IF(L68&lt;=Нормативы!$L$67, "II юн", IF(L68&lt;=Нормативы!$L$68, "III юн", "б/р")))))))))))</f>
        <v>III юн</v>
      </c>
      <c r="N68" s="91" t="str">
        <f>IF(ISBLANK(L68), " ", IF(ISTEXT(L68), " ", IF(L68&lt;=Нормативы!$H$60, "КМС", IF(L68&lt;=Нормативы!$H$61, "КМС", IF(L68&lt;=Нормативы!$L$62, "КМС", IF(L68&lt;=Нормативы!$L$63, "I", IF(L68&lt;=Нормативы!$L$64, "II", IF(L68&lt;=Нормативы!$L$65, "III", IF(L68&lt;=Нормативы!$L$66, "I юн", IF(L68&lt;=Нормативы!$L$67, "II юн", IF(L68&lt;=Нормативы!$L$68, "III юн", "б/р")))))))))))</f>
        <v>III юн</v>
      </c>
      <c r="O68" s="91"/>
      <c r="Q68" s="91" t="str">
        <f t="shared" si="10"/>
        <v xml:space="preserve"> </v>
      </c>
    </row>
    <row r="69" spans="3:33" x14ac:dyDescent="0.2">
      <c r="C69" s="217"/>
      <c r="D69" s="217"/>
      <c r="E69" s="217"/>
      <c r="F69" s="217"/>
      <c r="G69" s="217"/>
      <c r="H69" s="225"/>
      <c r="I69" s="217"/>
      <c r="J69" s="217"/>
      <c r="K69" s="226"/>
      <c r="L69" s="217"/>
      <c r="M69" s="217"/>
      <c r="N69" s="217"/>
      <c r="O69" s="91"/>
      <c r="Q69" s="217"/>
    </row>
    <row r="70" spans="3:33" x14ac:dyDescent="0.2">
      <c r="C70" s="58" t="s">
        <v>383</v>
      </c>
      <c r="D70" s="217"/>
      <c r="E70" s="217"/>
      <c r="F70" s="217"/>
      <c r="G70" s="217"/>
      <c r="H70" s="234"/>
      <c r="I70" s="217"/>
      <c r="J70" s="217"/>
      <c r="K70" s="235"/>
      <c r="L70" s="217"/>
      <c r="M70" s="217"/>
      <c r="N70" s="217"/>
      <c r="Q70" s="217"/>
    </row>
    <row r="71" spans="3:33" x14ac:dyDescent="0.2">
      <c r="C71" s="217"/>
      <c r="D71" s="217"/>
      <c r="E71" s="217"/>
      <c r="F71" s="217"/>
      <c r="G71" s="217"/>
      <c r="H71" s="222">
        <v>47.9</v>
      </c>
      <c r="I71" s="91" t="str">
        <f>IF(ISBLANK(H71), " ", IF(ISTEXT(H71), " ", IF(H71&lt;=Нормативы!$H$71, "МСМК", IF(H71&lt;=Нормативы!$H$72, "МС", IF(H71&lt;=Нормативы!$H$73, "КМС", IF(H71&lt;=Нормативы!$H$74, "I", IF(H71&lt;=Нормативы!$H$75, "II", IF(H71&lt;=Нормативы!$H$76, "III", IF(H71&lt;=Нормативы!$H$77, "I юн", IF(H71&lt;=Нормативы!$H$78, "II юн", IF(H71&lt;=Нормативы!$H$79, "III юн", "б/р")))))))))))</f>
        <v>МСМК</v>
      </c>
      <c r="J71" s="91" t="str">
        <f>IF(ISBLANK(H71), " ", IF(ISTEXT(H71), " ", IF(H71&lt;=Нормативы!$H$71, "МСМК", IF(H71&lt;=Нормативы!$H$72, "МС", IF(H71&lt;=Нормативы!$H$73, "КМС", IF(H71&lt;=Нормативы!$H$74, "I", IF(H71&lt;=Нормативы!$H$75, "II", IF(H71&lt;=Нормативы!$H$76, "III", IF(H71&lt;=Нормативы!$H$77, "I юн", IF(H71&lt;=Нормативы!$H$78, "II юн", IF(H71&lt;=Нормативы!$H$79, "III юн", "б/р")))))))))))</f>
        <v>МСМК</v>
      </c>
      <c r="K71" s="226"/>
      <c r="L71" s="222"/>
      <c r="M71" s="91" t="str">
        <f>IF(ISBLANK(L71), " ", IF(ISTEXT(L71), " ", IF(L71&lt;=Нормативы!$H$71, "КМС", IF(L71&lt;=Нормативы!$H$72, "КМС", IF(L71&lt;=Нормативы!$L$73, "КМС", IF(L71&lt;=Нормативы!$L$74, "I", IF(L71&lt;=Нормативы!$L$75, "II", IF(L71&lt;=Нормативы!$L$76, "III", IF(L71&lt;=Нормативы!$L$77, "I юн", IF(L71&lt;=Нормативы!$L$78, "II юн", IF(L71&lt;=Нормативы!$L$79, "III юн", "б/р")))))))))))</f>
        <v xml:space="preserve"> </v>
      </c>
      <c r="N71" s="91" t="str">
        <f>IF(ISBLANK(L71), " ", IF(ISTEXT(L71), " ", IF(L71&lt;=48.1, "МСМК", IF(L71&lt;=51, "МС", IF(L71&lt;=53.3, "КМС", IF(L71&lt;=57.3, "I", IF(L71&lt;=101.9, "II", IF(L71&lt;=107.8, "III", IF(L71&lt;=113.5, "I юн", IF(L71&lt;=119.6, "II юн", IF(L71&lt;=126, "III юн", "б/р")))))))))))</f>
        <v xml:space="preserve"> </v>
      </c>
      <c r="O71" s="228"/>
      <c r="Q71" s="91" t="str">
        <f t="shared" ref="Q71:Q79" si="12">IF(ISBLANK(P71), " ", IF(ISTEXT(P71), " ", IF(P71&lt;=$H$71, "МСМК", IF(P71&lt;=$H$72, "МС", IF(P71&lt;=$H$73, "КМС", IF(P71&lt;=$H$74, "I", IF(P71&lt;=$H$75, "II", IF(P71&lt;=$H$76, "III", IF(P71&lt;=$H$77, "I юн", IF(P71&lt;=$H$78, "II юн", IF(P71&lt;=$H$79, "III юн", "б/р")))))))))))</f>
        <v xml:space="preserve"> </v>
      </c>
    </row>
    <row r="72" spans="3:33" x14ac:dyDescent="0.2">
      <c r="C72" s="217"/>
      <c r="D72" s="217"/>
      <c r="E72" s="217"/>
      <c r="F72" s="217"/>
      <c r="G72" s="217"/>
      <c r="H72" s="222">
        <v>50</v>
      </c>
      <c r="I72" s="91" t="str">
        <f>IF(ISBLANK(H72), " ", IF(ISTEXT(H72), " ", IF(H72&lt;=Нормативы!$H$71, "МСМК", IF(H72&lt;=Нормативы!$H$72, "МС", IF(H72&lt;=Нормативы!$H$73, "КМС", IF(H72&lt;=Нормативы!$H$74, "I", IF(H72&lt;=Нормативы!$H$75, "II", IF(H72&lt;=Нормативы!$H$76, "III", IF(H72&lt;=Нормативы!$H$77, "I юн", IF(H72&lt;=Нормативы!$H$78, "II юн", IF(H72&lt;=Нормативы!$H$79, "III юн", "б/р")))))))))))</f>
        <v>МС</v>
      </c>
      <c r="J72" s="91" t="str">
        <f>IF(ISBLANK(H72), " ", IF(ISTEXT(H72), " ", IF(H72&lt;=Нормативы!$H$71, "МСМК", IF(H72&lt;=Нормативы!$H$72, "МС", IF(H72&lt;=Нормативы!$H$73, "КМС", IF(H72&lt;=Нормативы!$H$74, "I", IF(H72&lt;=Нормативы!$H$75, "II", IF(H72&lt;=Нормативы!$H$76, "III", IF(H72&lt;=Нормативы!$H$77, "I юн", IF(H72&lt;=Нормативы!$H$78, "II юн", IF(H72&lt;=Нормативы!$H$79, "III юн", "б/р")))))))))))</f>
        <v>МС</v>
      </c>
      <c r="K72" s="226"/>
      <c r="L72" s="222"/>
      <c r="M72" s="91" t="str">
        <f>IF(ISBLANK(L72), " ", IF(ISTEXT(L72), " ", IF(L72&lt;=Нормативы!$H$71, "КМС", IF(L72&lt;=Нормативы!$H$72, "КМС", IF(L72&lt;=Нормативы!$L$73, "КМС", IF(L72&lt;=Нормативы!$L$74, "I", IF(L72&lt;=Нормативы!$L$75, "II", IF(L72&lt;=Нормативы!$L$76, "III", IF(L72&lt;=Нормативы!$L$77, "I юн", IF(L72&lt;=Нормативы!$L$78, "II юн", IF(L72&lt;=Нормативы!$L$79, "III юн", "б/р")))))))))))</f>
        <v xml:space="preserve"> </v>
      </c>
      <c r="N72" s="91" t="str">
        <f>IF(ISBLANK(L72), " ", IF(ISTEXT(L72), " ", IF(L72&lt;=48.1, "МСМК", IF(L72&lt;=51, "МС", IF(L72&lt;=53.3, "КМС", IF(L72&lt;=57.3, "I", IF(L72&lt;=101.9, "II", IF(L72&lt;=107.8, "III", IF(L72&lt;=113.5, "I юн", IF(L72&lt;=119.6, "II юн", IF(L72&lt;=126, "III юн", "б/р")))))))))))</f>
        <v xml:space="preserve"> </v>
      </c>
      <c r="O72" s="228"/>
      <c r="Q72" s="91" t="str">
        <f t="shared" si="12"/>
        <v xml:space="preserve"> </v>
      </c>
    </row>
    <row r="73" spans="3:33" x14ac:dyDescent="0.2">
      <c r="C73" s="217"/>
      <c r="D73" s="217"/>
      <c r="E73" s="217"/>
      <c r="F73" s="217"/>
      <c r="G73" s="217"/>
      <c r="H73" s="222">
        <v>53.2</v>
      </c>
      <c r="I73" s="91" t="str">
        <f>IF(ISBLANK(H73), " ", IF(ISTEXT(H73), " ", IF(H73&lt;=Нормативы!$H$71, "МСМК", IF(H73&lt;=Нормативы!$H$72, "МС", IF(H73&lt;=Нормативы!$H$73, "КМС", IF(H73&lt;=Нормативы!$H$74, "I", IF(H73&lt;=Нормативы!$H$75, "II", IF(H73&lt;=Нормативы!$H$76, "III", IF(H73&lt;=Нормативы!$H$77, "I юн", IF(H73&lt;=Нормативы!$H$78, "II юн", IF(H73&lt;=Нормативы!$H$79, "III юн", "б/р")))))))))))</f>
        <v>КМС</v>
      </c>
      <c r="J73" s="91" t="str">
        <f>IF(ISBLANK(H73), " ", IF(ISTEXT(H73), " ", IF(H73&lt;=Нормативы!$H$71, "МСМК", IF(H73&lt;=Нормативы!$H$72, "МС", IF(H73&lt;=Нормативы!$H$73, "КМС", IF(H73&lt;=Нормативы!$H$74, "I", IF(H73&lt;=Нормативы!$H$75, "II", IF(H73&lt;=Нормативы!$H$76, "III", IF(H73&lt;=Нормативы!$H$77, "I юн", IF(H73&lt;=Нормативы!$H$78, "II юн", IF(H73&lt;=Нормативы!$H$79, "III юн", "б/р")))))))))))</f>
        <v>КМС</v>
      </c>
      <c r="K73" s="226"/>
      <c r="L73" s="225">
        <f t="shared" ref="L73:L79" si="13">H73-0.2</f>
        <v>53</v>
      </c>
      <c r="M73" s="91" t="str">
        <f>IF(ISBLANK(L73), " ", IF(ISTEXT(L73), " ", IF(L73&lt;=Нормативы!$H$71, "КМС", IF(L73&lt;=Нормативы!$H$72, "КМС", IF(L73&lt;=Нормативы!$L$73, "КМС", IF(L73&lt;=Нормативы!$L$74, "I", IF(L73&lt;=Нормативы!$L$75, "II", IF(L73&lt;=Нормативы!$L$76, "III", IF(L73&lt;=Нормативы!$L$77, "I юн", IF(L73&lt;=Нормативы!$L$78, "II юн", IF(L73&lt;=Нормативы!$L$79, "III юн", "б/р")))))))))))</f>
        <v>КМС</v>
      </c>
      <c r="N73" s="91" t="str">
        <f>IF(ISBLANK(L73), " ", IF(ISTEXT(L73), " ", IF(L73&lt;=Нормативы!$H$71, "КМС", IF(L73&lt;=Нормативы!$H$72, "КМС", IF(L73&lt;=Нормативы!$L$73, "КМС", IF(L73&lt;=Нормативы!$L$74, "I", IF(L73&lt;=Нормативы!$L$75, "II", IF(L73&lt;=Нормативы!$L$76, "III", IF(L73&lt;=Нормативы!$L$77, "I юн", IF(L73&lt;=Нормативы!$L$78, "II юн", IF(L73&lt;=Нормативы!$L$79, "III юн", "б/р")))))))))))</f>
        <v>КМС</v>
      </c>
      <c r="O73" s="91"/>
      <c r="Q73" s="91" t="str">
        <f t="shared" si="12"/>
        <v xml:space="preserve"> </v>
      </c>
    </row>
    <row r="74" spans="3:33" x14ac:dyDescent="0.2">
      <c r="C74" s="217"/>
      <c r="D74" s="217"/>
      <c r="E74" s="217"/>
      <c r="F74" s="217"/>
      <c r="G74" s="217"/>
      <c r="H74" s="222">
        <v>57</v>
      </c>
      <c r="I74" s="91" t="str">
        <f>IF(ISBLANK(H74), " ", IF(ISTEXT(H74), " ", IF(H74&lt;=Нормативы!$H$71, "МСМК", IF(H74&lt;=Нормативы!$H$72, "МС", IF(H74&lt;=Нормативы!$H$73, "КМС", IF(H74&lt;=Нормативы!$H$74, "I", IF(H74&lt;=Нормативы!$H$75, "II", IF(H74&lt;=Нормативы!$H$76, "III", IF(H74&lt;=Нормативы!$H$77, "I юн", IF(H74&lt;=Нормативы!$H$78, "II юн", IF(H74&lt;=Нормативы!$H$79, "III юн", "б/р")))))))))))</f>
        <v>I</v>
      </c>
      <c r="J74" s="91" t="str">
        <f>IF(ISBLANK(H74), " ", IF(ISTEXT(H74), " ", IF(H74&lt;=Нормативы!$H$71, "МСМК", IF(H74&lt;=Нормативы!$H$72, "МС", IF(H74&lt;=Нормативы!$H$73, "КМС", IF(H74&lt;=Нормативы!$H$74, "I", IF(H74&lt;=Нормативы!$H$75, "II", IF(H74&lt;=Нормативы!$H$76, "III", IF(H74&lt;=Нормативы!$H$77, "I юн", IF(H74&lt;=Нормативы!$H$78, "II юн", IF(H74&lt;=Нормативы!$H$79, "III юн", "б/р")))))))))))</f>
        <v>I</v>
      </c>
      <c r="K74" s="226"/>
      <c r="L74" s="225">
        <f t="shared" si="13"/>
        <v>56.8</v>
      </c>
      <c r="M74" s="91" t="str">
        <f>IF(ISBLANK(L74), " ", IF(ISTEXT(L74), " ", IF(L74&lt;=Нормативы!$H$71, "КМС", IF(L74&lt;=Нормативы!$H$72, "КМС", IF(L74&lt;=Нормативы!$L$73, "КМС", IF(L74&lt;=Нормативы!$L$74, "I", IF(L74&lt;=Нормативы!$L$75, "II", IF(L74&lt;=Нормативы!$L$76, "III", IF(L74&lt;=Нормативы!$L$77, "I юн", IF(L74&lt;=Нормативы!$L$78, "II юн", IF(L74&lt;=Нормативы!$L$79, "III юн", "б/р")))))))))))</f>
        <v>I</v>
      </c>
      <c r="N74" s="91" t="str">
        <f>IF(ISBLANK(L74), " ", IF(ISTEXT(L74), " ", IF(L74&lt;=Нормативы!$H$71, "КМС", IF(L74&lt;=Нормативы!$H$72, "КМС", IF(L74&lt;=Нормативы!$L$73, "КМС", IF(L74&lt;=Нормативы!$L$74, "I", IF(L74&lt;=Нормативы!$L$75, "II", IF(L74&lt;=Нормативы!$L$76, "III", IF(L74&lt;=Нормативы!$L$77, "I юн", IF(L74&lt;=Нормативы!$L$78, "II юн", IF(L74&lt;=Нормативы!$L$79, "III юн", "б/р")))))))))))</f>
        <v>I</v>
      </c>
      <c r="O74" s="91"/>
      <c r="Q74" s="91" t="str">
        <f t="shared" si="12"/>
        <v xml:space="preserve"> </v>
      </c>
    </row>
    <row r="75" spans="3:33" x14ac:dyDescent="0.2">
      <c r="C75" s="217"/>
      <c r="D75" s="217"/>
      <c r="E75" s="217"/>
      <c r="F75" s="217"/>
      <c r="G75" s="217"/>
      <c r="H75" s="222">
        <v>101.60000000000001</v>
      </c>
      <c r="I75" s="91" t="str">
        <f>IF(ISBLANK(H75), " ", IF(ISTEXT(H75), " ", IF(H75&lt;=Нормативы!$H$71, "МСМК", IF(H75&lt;=Нормативы!$H$72, "МС", IF(H75&lt;=Нормативы!$H$73, "КМС", IF(H75&lt;=Нормативы!$H$74, "I", IF(H75&lt;=Нормативы!$H$75, "II", IF(H75&lt;=Нормативы!$H$76, "III", IF(H75&lt;=Нормативы!$H$77, "I юн", IF(H75&lt;=Нормативы!$H$78, "II юн", IF(H75&lt;=Нормативы!$H$79, "III юн", "б/р")))))))))))</f>
        <v>II</v>
      </c>
      <c r="J75" s="91" t="str">
        <f>IF(ISBLANK(H75), " ", IF(ISTEXT(H75), " ", IF(H75&lt;=Нормативы!$H$71, "МСМК", IF(H75&lt;=Нормативы!$H$72, "МС", IF(H75&lt;=Нормативы!$H$73, "КМС", IF(H75&lt;=Нормативы!$H$74, "I", IF(H75&lt;=Нормативы!$H$75, "II", IF(H75&lt;=Нормативы!$H$76, "III", IF(H75&lt;=Нормативы!$H$77, "I юн", IF(H75&lt;=Нормативы!$H$78, "II юн", IF(H75&lt;=Нормативы!$H$79, "III юн", "б/р")))))))))))</f>
        <v>II</v>
      </c>
      <c r="K75" s="226"/>
      <c r="L75" s="225">
        <f t="shared" si="13"/>
        <v>101.4</v>
      </c>
      <c r="M75" s="91" t="str">
        <f>IF(ISBLANK(L75), " ", IF(ISTEXT(L75), " ", IF(L75&lt;=Нормативы!$H$71, "КМС", IF(L75&lt;=Нормативы!$H$72, "КМС", IF(L75&lt;=Нормативы!$L$73, "КМС", IF(L75&lt;=Нормативы!$L$74, "I", IF(L75&lt;=Нормативы!$L$75, "II", IF(L75&lt;=Нормативы!$L$76, "III", IF(L75&lt;=Нормативы!$L$77, "I юн", IF(L75&lt;=Нормативы!$L$78, "II юн", IF(L75&lt;=Нормативы!$L$79, "III юн", "б/р")))))))))))</f>
        <v>II</v>
      </c>
      <c r="N75" s="91" t="str">
        <f>IF(ISBLANK(L75), " ", IF(ISTEXT(L75), " ", IF(L75&lt;=Нормативы!$H$71, "КМС", IF(L75&lt;=Нормативы!$H$72, "КМС", IF(L75&lt;=Нормативы!$L$73, "КМС", IF(L75&lt;=Нормативы!$L$74, "I", IF(L75&lt;=Нормативы!$L$75, "II", IF(L75&lt;=Нормативы!$L$76, "III", IF(L75&lt;=Нормативы!$L$77, "I юн", IF(L75&lt;=Нормативы!$L$78, "II юн", IF(L75&lt;=Нормативы!$L$79, "III юн", "б/р")))))))))))</f>
        <v>II</v>
      </c>
      <c r="O75" s="91"/>
      <c r="Q75" s="91" t="str">
        <f t="shared" si="12"/>
        <v xml:space="preserve"> </v>
      </c>
    </row>
    <row r="76" spans="3:33" x14ac:dyDescent="0.2">
      <c r="C76" s="217"/>
      <c r="D76" s="217"/>
      <c r="E76" s="217"/>
      <c r="F76" s="217"/>
      <c r="G76" s="217"/>
      <c r="H76" s="222">
        <v>107.4</v>
      </c>
      <c r="I76" s="91" t="str">
        <f>IF(ISBLANK(H76), " ", IF(ISTEXT(H76), " ", IF(H76&lt;=Нормативы!$H$71, "МСМК", IF(H76&lt;=Нормативы!$H$72, "МС", IF(H76&lt;=Нормативы!$H$73, "КМС", IF(H76&lt;=Нормативы!$H$74, "I", IF(H76&lt;=Нормативы!$H$75, "II", IF(H76&lt;=Нормативы!$H$76, "III", IF(H76&lt;=Нормативы!$H$77, "I юн", IF(H76&lt;=Нормативы!$H$78, "II юн", IF(H76&lt;=Нормативы!$H$79, "III юн", "б/р")))))))))))</f>
        <v>III</v>
      </c>
      <c r="J76" s="91" t="str">
        <f>IF(ISBLANK(H76), " ", IF(ISTEXT(H76), " ", IF(H76&lt;=Нормативы!$H$71, "МСМК", IF(H76&lt;=Нормативы!$H$72, "МС", IF(H76&lt;=Нормативы!$H$73, "КМС", IF(H76&lt;=Нормативы!$H$74, "I", IF(H76&lt;=Нормативы!$H$75, "II", IF(H76&lt;=Нормативы!$H$76, "III", IF(H76&lt;=Нормативы!$H$77, "I юн", IF(H76&lt;=Нормативы!$H$78, "II юн", IF(H76&lt;=Нормативы!$H$79, "III юн", "б/р")))))))))))</f>
        <v>III</v>
      </c>
      <c r="K76" s="226"/>
      <c r="L76" s="225">
        <f t="shared" si="13"/>
        <v>107.2</v>
      </c>
      <c r="M76" s="91" t="str">
        <f>IF(ISBLANK(L76), " ", IF(ISTEXT(L76), " ", IF(L76&lt;=Нормативы!$H$71, "КМС", IF(L76&lt;=Нормативы!$H$72, "КМС", IF(L76&lt;=Нормативы!$L$73, "КМС", IF(L76&lt;=Нормативы!$L$74, "I", IF(L76&lt;=Нормативы!$L$75, "II", IF(L76&lt;=Нормативы!$L$76, "III", IF(L76&lt;=Нормативы!$L$77, "I юн", IF(L76&lt;=Нормативы!$L$78, "II юн", IF(L76&lt;=Нормативы!$L$79, "III юн", "б/р")))))))))))</f>
        <v>III</v>
      </c>
      <c r="N76" s="91" t="str">
        <f>IF(ISBLANK(L76), " ", IF(ISTEXT(L76), " ", IF(L76&lt;=Нормативы!$H$71, "КМС", IF(L76&lt;=Нормативы!$H$72, "КМС", IF(L76&lt;=Нормативы!$L$73, "КМС", IF(L76&lt;=Нормативы!$L$74, "I", IF(L76&lt;=Нормативы!$L$75, "II", IF(L76&lt;=Нормативы!$L$76, "III", IF(L76&lt;=Нормативы!$L$77, "I юн", IF(L76&lt;=Нормативы!$L$78, "II юн", IF(L76&lt;=Нормативы!$L$79, "III юн", "б/р")))))))))))</f>
        <v>III</v>
      </c>
      <c r="O76" s="91"/>
      <c r="Q76" s="91" t="str">
        <f t="shared" si="12"/>
        <v xml:space="preserve"> </v>
      </c>
    </row>
    <row r="77" spans="3:33" x14ac:dyDescent="0.2">
      <c r="C77" s="217"/>
      <c r="D77" s="217"/>
      <c r="E77" s="217"/>
      <c r="F77" s="217"/>
      <c r="G77" s="217"/>
      <c r="H77" s="222">
        <v>113</v>
      </c>
      <c r="I77" s="91" t="str">
        <f>IF(ISBLANK(H77), " ", IF(ISTEXT(H77), " ", IF(H77&lt;=Нормативы!$H$71, "МСМК", IF(H77&lt;=Нормативы!$H$72, "МС", IF(H77&lt;=Нормативы!$H$73, "КМС", IF(H77&lt;=Нормативы!$H$74, "I", IF(H77&lt;=Нормативы!$H$75, "II", IF(H77&lt;=Нормативы!$H$76, "III", IF(H77&lt;=Нормативы!$H$77, "I юн", IF(H77&lt;=Нормативы!$H$78, "II юн", IF(H77&lt;=Нормативы!$H$79, "III юн", "б/р")))))))))))</f>
        <v>I юн</v>
      </c>
      <c r="J77" s="91" t="str">
        <f>IF(ISBLANK(H77), " ", IF(ISTEXT(H77), " ", IF(H77&lt;=Нормативы!$H$71, "МСМК", IF(H77&lt;=Нормативы!$H$72, "МС", IF(H77&lt;=Нормативы!$H$73, "КМС", IF(H77&lt;=Нормативы!$H$74, "I", IF(H77&lt;=Нормативы!$H$75, "II", IF(H77&lt;=Нормативы!$H$76, "III", IF(H77&lt;=Нормативы!$H$77, "I юн", IF(H77&lt;=Нормативы!$H$78, "II юн", IF(H77&lt;=Нормативы!$H$79, "III юн", "б/р")))))))))))</f>
        <v>I юн</v>
      </c>
      <c r="K77" s="226"/>
      <c r="L77" s="225">
        <f t="shared" si="13"/>
        <v>112.8</v>
      </c>
      <c r="M77" s="91" t="str">
        <f>IF(ISBLANK(L77), " ", IF(ISTEXT(L77), " ", IF(L77&lt;=Нормативы!$H$71, "КМС", IF(L77&lt;=Нормативы!$H$72, "КМС", IF(L77&lt;=Нормативы!$L$73, "КМС", IF(L77&lt;=Нормативы!$L$74, "I", IF(L77&lt;=Нормативы!$L$75, "II", IF(L77&lt;=Нормативы!$L$76, "III", IF(L77&lt;=Нормативы!$L$77, "I юн", IF(L77&lt;=Нормативы!$L$78, "II юн", IF(L77&lt;=Нормативы!$L$79, "III юн", "б/р")))))))))))</f>
        <v>I юн</v>
      </c>
      <c r="N77" s="91" t="str">
        <f>IF(ISBLANK(L77), " ", IF(ISTEXT(L77), " ", IF(L77&lt;=Нормативы!$H$71, "КМС", IF(L77&lt;=Нормативы!$H$72, "КМС", IF(L77&lt;=Нормативы!$L$73, "КМС", IF(L77&lt;=Нормативы!$L$74, "I", IF(L77&lt;=Нормативы!$L$75, "II", IF(L77&lt;=Нормативы!$L$76, "III", IF(L77&lt;=Нормативы!$L$77, "I юн", IF(L77&lt;=Нормативы!$L$78, "II юн", IF(L77&lt;=Нормативы!$L$79, "III юн", "б/р")))))))))))</f>
        <v>I юн</v>
      </c>
      <c r="O77" s="91"/>
      <c r="Q77" s="91" t="str">
        <f t="shared" si="12"/>
        <v xml:space="preserve"> </v>
      </c>
    </row>
    <row r="78" spans="3:33" x14ac:dyDescent="0.2">
      <c r="C78" s="217"/>
      <c r="D78" s="217"/>
      <c r="E78" s="217"/>
      <c r="F78" s="217"/>
      <c r="G78" s="217"/>
      <c r="H78" s="222">
        <v>119</v>
      </c>
      <c r="I78" s="91" t="str">
        <f>IF(ISBLANK(H78), " ", IF(ISTEXT(H78), " ", IF(H78&lt;=Нормативы!$H$71, "МСМК", IF(H78&lt;=Нормативы!$H$72, "МС", IF(H78&lt;=Нормативы!$H$73, "КМС", IF(H78&lt;=Нормативы!$H$74, "I", IF(H78&lt;=Нормативы!$H$75, "II", IF(H78&lt;=Нормативы!$H$76, "III", IF(H78&lt;=Нормативы!$H$77, "I юн", IF(H78&lt;=Нормативы!$H$78, "II юн", IF(H78&lt;=Нормативы!$H$79, "III юн", "б/р")))))))))))</f>
        <v>II юн</v>
      </c>
      <c r="J78" s="91" t="str">
        <f>IF(ISBLANK(H78), " ", IF(ISTEXT(H78), " ", IF(H78&lt;=Нормативы!$H$71, "МСМК", IF(H78&lt;=Нормативы!$H$72, "МС", IF(H78&lt;=Нормативы!$H$73, "КМС", IF(H78&lt;=Нормативы!$H$74, "I", IF(H78&lt;=Нормативы!$H$75, "II", IF(H78&lt;=Нормативы!$H$76, "III", IF(H78&lt;=Нормативы!$H$77, "I юн", IF(H78&lt;=Нормативы!$H$78, "II юн", IF(H78&lt;=Нормативы!$H$79, "III юн", "б/р")))))))))))</f>
        <v>II юн</v>
      </c>
      <c r="K78" s="226"/>
      <c r="L78" s="225">
        <f t="shared" si="13"/>
        <v>118.8</v>
      </c>
      <c r="M78" s="91" t="str">
        <f>IF(ISBLANK(L78), " ", IF(ISTEXT(L78), " ", IF(L78&lt;=Нормативы!$H$71, "КМС", IF(L78&lt;=Нормативы!$H$72, "КМС", IF(L78&lt;=Нормативы!$L$73, "КМС", IF(L78&lt;=Нормативы!$L$74, "I", IF(L78&lt;=Нормативы!$L$75, "II", IF(L78&lt;=Нормативы!$L$76, "III", IF(L78&lt;=Нормативы!$L$77, "I юн", IF(L78&lt;=Нормативы!$L$78, "II юн", IF(L78&lt;=Нормативы!$L$79, "III юн", "б/р")))))))))))</f>
        <v>II юн</v>
      </c>
      <c r="N78" s="91" t="str">
        <f>IF(ISBLANK(L78), " ", IF(ISTEXT(L78), " ", IF(L78&lt;=Нормативы!$H$71, "КМС", IF(L78&lt;=Нормативы!$H$72, "КМС", IF(L78&lt;=Нормативы!$L$73, "КМС", IF(L78&lt;=Нормативы!$L$74, "I", IF(L78&lt;=Нормативы!$L$75, "II", IF(L78&lt;=Нормативы!$L$76, "III", IF(L78&lt;=Нормативы!$L$77, "I юн", IF(L78&lt;=Нормативы!$L$78, "II юн", IF(L78&lt;=Нормативы!$L$79, "III юн", "б/р")))))))))))</f>
        <v>II юн</v>
      </c>
      <c r="O78" s="91"/>
      <c r="Q78" s="91" t="str">
        <f t="shared" si="12"/>
        <v xml:space="preserve"> </v>
      </c>
    </row>
    <row r="79" spans="3:33" x14ac:dyDescent="0.2">
      <c r="C79" s="217"/>
      <c r="D79" s="217"/>
      <c r="E79" s="217"/>
      <c r="F79" s="217"/>
      <c r="G79" s="217"/>
      <c r="H79" s="222">
        <v>125.2</v>
      </c>
      <c r="I79" s="91" t="str">
        <f>IF(ISBLANK(H79), " ", IF(ISTEXT(H79), " ", IF(H79&lt;=Нормативы!$H$71, "МСМК", IF(H79&lt;=Нормативы!$H$72, "МС", IF(H79&lt;=Нормативы!$H$73, "КМС", IF(H79&lt;=Нормативы!$H$74, "I", IF(H79&lt;=Нормативы!$H$75, "II", IF(H79&lt;=Нормативы!$H$76, "III", IF(H79&lt;=Нормативы!$H$77, "I юн", IF(H79&lt;=Нормативы!$H$78, "II юн", IF(H79&lt;=Нормативы!$H$79, "III юн", "б/р")))))))))))</f>
        <v>III юн</v>
      </c>
      <c r="J79" s="91" t="str">
        <f>IF(ISBLANK(H79), " ", IF(ISTEXT(H79), " ", IF(H79&lt;=Нормативы!$H$71, "МСМК", IF(H79&lt;=Нормативы!$H$72, "МС", IF(H79&lt;=Нормативы!$H$73, "КМС", IF(H79&lt;=Нормативы!$H$74, "I", IF(H79&lt;=Нормативы!$H$75, "II", IF(H79&lt;=Нормативы!$H$76, "III", IF(H79&lt;=Нормативы!$H$77, "I юн", IF(H79&lt;=Нормативы!$H$78, "II юн", IF(H79&lt;=Нормативы!$H$79, "III юн", "б/р")))))))))))</f>
        <v>III юн</v>
      </c>
      <c r="K79" s="226"/>
      <c r="L79" s="225">
        <f t="shared" si="13"/>
        <v>125</v>
      </c>
      <c r="M79" s="91" t="str">
        <f>IF(ISBLANK(L79), " ", IF(ISTEXT(L79), " ", IF(L79&lt;=Нормативы!$H$71, "КМС", IF(L79&lt;=Нормативы!$H$72, "КМС", IF(L79&lt;=Нормативы!$L$73, "КМС", IF(L79&lt;=Нормативы!$L$74, "I", IF(L79&lt;=Нормативы!$L$75, "II", IF(L79&lt;=Нормативы!$L$76, "III", IF(L79&lt;=Нормативы!$L$77, "I юн", IF(L79&lt;=Нормативы!$L$78, "II юн", IF(L79&lt;=Нормативы!$L$79, "III юн", "б/р")))))))))))</f>
        <v>III юн</v>
      </c>
      <c r="N79" s="91" t="str">
        <f>IF(ISBLANK(L79), " ", IF(ISTEXT(L79), " ", IF(L79&lt;=Нормативы!$H$71, "КМС", IF(L79&lt;=Нормативы!$H$72, "КМС", IF(L79&lt;=Нормативы!$L$73, "КМС", IF(L79&lt;=Нормативы!$L$74, "I", IF(L79&lt;=Нормативы!$L$75, "II", IF(L79&lt;=Нормативы!$L$76, "III", IF(L79&lt;=Нормативы!$L$77, "I юн", IF(L79&lt;=Нормативы!$L$78, "II юн", IF(L79&lt;=Нормативы!$L$79, "III юн", "б/р")))))))))))</f>
        <v>III юн</v>
      </c>
      <c r="O79" s="91"/>
      <c r="Q79" s="91" t="str">
        <f t="shared" si="12"/>
        <v xml:space="preserve"> </v>
      </c>
    </row>
    <row r="80" spans="3:33" x14ac:dyDescent="0.2">
      <c r="C80" s="217"/>
      <c r="D80" s="217"/>
      <c r="E80" s="217"/>
      <c r="F80" s="217"/>
      <c r="G80" s="217"/>
      <c r="H80" s="225"/>
      <c r="I80" s="217"/>
      <c r="J80" s="217"/>
      <c r="K80" s="226"/>
      <c r="L80" s="217"/>
      <c r="M80" s="217"/>
      <c r="N80" s="217"/>
      <c r="P80" s="233"/>
      <c r="Q80" s="217"/>
      <c r="R80" s="233"/>
      <c r="S80" s="233"/>
      <c r="T80" s="233"/>
      <c r="U80" s="233"/>
      <c r="V80" s="233"/>
      <c r="W80" s="233"/>
      <c r="X80" s="233"/>
      <c r="Y80" s="233"/>
      <c r="Z80" s="233"/>
      <c r="AA80" s="233"/>
      <c r="AB80" s="233"/>
      <c r="AC80" s="233"/>
      <c r="AD80" s="233"/>
      <c r="AE80" s="233"/>
      <c r="AF80" s="233"/>
      <c r="AG80" s="233"/>
    </row>
    <row r="81" spans="3:33" x14ac:dyDescent="0.2">
      <c r="C81" s="58" t="s">
        <v>384</v>
      </c>
      <c r="D81" s="217"/>
      <c r="E81" s="217"/>
      <c r="F81" s="217"/>
      <c r="G81" s="217"/>
      <c r="H81" s="221"/>
      <c r="I81" s="217"/>
      <c r="J81" s="217"/>
      <c r="K81" s="235"/>
      <c r="L81" s="217"/>
      <c r="M81" s="217"/>
      <c r="N81" s="217"/>
      <c r="P81" s="224"/>
      <c r="Q81" s="217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</row>
    <row r="82" spans="3:33" x14ac:dyDescent="0.2">
      <c r="C82" s="217"/>
      <c r="D82" s="217"/>
      <c r="E82" s="217"/>
      <c r="F82" s="217"/>
      <c r="G82" s="217"/>
      <c r="H82" s="222">
        <v>43</v>
      </c>
      <c r="I82" s="91" t="str">
        <f>IF(ISBLANK(H82), " ", IF(ISTEXT(H82), " ", IF(H82&lt;=Нормативы!$H$82, "МСМК", IF(H82&lt;=Нормативы!$H$83, "МС", IF(H82&lt;=Нормативы!$H$84, "КМС", IF(H82&lt;=Нормативы!$H$85, "I", IF(H82&lt;=Нормативы!$H$86, "II", IF(H82&lt;=Нормативы!$H$87, "III", IF(H82&lt;=Нормативы!$H$88, "I юн", IF(H82&lt;=Нормативы!$H$89, "II юн", IF(H82&lt;=Нормативы!$H$90, "III юн", "б/р")))))))))))</f>
        <v>МСМК</v>
      </c>
      <c r="J82" s="91" t="str">
        <f>IF(ISBLANK(H82), " ", IF(ISTEXT(H82), " ", IF(H82&lt;=Нормативы!$H$82, "МСМК", IF(H82&lt;=Нормативы!$H$83, "МС", IF(H82&lt;=Нормативы!$H$84, "КМС", IF(H82&lt;=Нормативы!$H$85, "I", IF(H82&lt;=Нормативы!$H$86, "II", IF(H82&lt;=Нормативы!$H$87, "III", IF(H82&lt;=Нормативы!$H$88, "I юн", IF(H82&lt;=Нормативы!$H$89, "II юн", IF(H82&lt;=Нормативы!$H$90, "III юн", "б/р")))))))))))</f>
        <v>МСМК</v>
      </c>
      <c r="K82" s="226"/>
      <c r="L82" s="222"/>
      <c r="M82" s="91" t="str">
        <f>IF(ISBLANK(L82), " ", IF(ISTEXT(L82), " ", IF(L82&lt;=Нормативы!$H$82, "КМС", IF(L82&lt;=Нормативы!$H$83, "КМС", IF(L82&lt;=Нормативы!$L$84, "КМС", IF(L82&lt;=Нормативы!$L$85, "I", IF(L82&lt;=Нормативы!$L$86, "II", IF(L82&lt;=Нормативы!$L$87, "III", IF(L82&lt;=Нормативы!$L$88, "I юн", IF(L82&lt;=Нормативы!$L$89, "II юн", IF(L82&lt;=Нормативы!$L$90, "III юн", "б/р")))))))))))</f>
        <v xml:space="preserve"> </v>
      </c>
      <c r="N82" s="91" t="str">
        <f>IF(ISBLANK(L82), " ", IF(ISTEXT(L82), " ", IF(L82&lt;=43.3, "МСМК", IF(L82&lt;=45.1, "МС", IF(L82&lt;=47.3, "КМС", IF(L82&lt;=50.8, "I", IF(L82&lt;=55.9, "II", IF(L82&lt;=100.4, "III", IF(L82&lt;=106, "I юн", IF(L82&lt;=112, "II юн", IF(L82&lt;=118.5, "III юн", "б/р")))))))))))</f>
        <v xml:space="preserve"> </v>
      </c>
      <c r="O82" s="91"/>
      <c r="Q82" s="91" t="str">
        <f t="shared" ref="Q82:Q90" si="14">IF(ISBLANK(P82), " ", IF(ISTEXT(P82), " ", IF(P82&lt;=$H$82, "МСМК", IF(P82&lt;=$H$83, "МС", IF(P82&lt;=$H$84, "КМС", IF(P82&lt;=$H$85, "I", IF(P82&lt;=$H$86, "II", IF(P82&lt;=$H$87, "III", IF(P82&lt;=$H$88, "I юн", IF(P82&lt;=$H$89, "II юн", IF(P82&lt;=$H$90, "III юн", "б/р")))))))))))</f>
        <v xml:space="preserve"> </v>
      </c>
    </row>
    <row r="83" spans="3:33" x14ac:dyDescent="0.2">
      <c r="C83" s="217"/>
      <c r="D83" s="217"/>
      <c r="E83" s="217"/>
      <c r="F83" s="217"/>
      <c r="G83" s="217"/>
      <c r="H83" s="222">
        <v>44.4</v>
      </c>
      <c r="I83" s="91" t="str">
        <f>IF(ISBLANK(H83), " ", IF(ISTEXT(H83), " ", IF(H83&lt;=Нормативы!$H$82, "МСМК", IF(H83&lt;=Нормативы!$H$83, "МС", IF(H83&lt;=Нормативы!$H$84, "КМС", IF(H83&lt;=Нормативы!$H$85, "I", IF(H83&lt;=Нормативы!$H$86, "II", IF(H83&lt;=Нормативы!$H$87, "III", IF(H83&lt;=Нормативы!$H$88, "I юн", IF(H83&lt;=Нормативы!$H$89, "II юн", IF(H83&lt;=Нормативы!$H$90, "III юн", "б/р")))))))))))</f>
        <v>МС</v>
      </c>
      <c r="J83" s="91" t="str">
        <f>IF(ISBLANK(H83), " ", IF(ISTEXT(H83), " ", IF(H83&lt;=Нормативы!$H$82, "МСМК", IF(H83&lt;=Нормативы!$H$83, "МС", IF(H83&lt;=Нормативы!$H$84, "КМС", IF(H83&lt;=Нормативы!$H$85, "I", IF(H83&lt;=Нормативы!$H$86, "II", IF(H83&lt;=Нормативы!$H$87, "III", IF(H83&lt;=Нормативы!$H$88, "I юн", IF(H83&lt;=Нормативы!$H$89, "II юн", IF(H83&lt;=Нормативы!$H$90, "III юн", "б/р")))))))))))</f>
        <v>МС</v>
      </c>
      <c r="K83" s="226"/>
      <c r="L83" s="222"/>
      <c r="M83" s="91" t="str">
        <f>IF(ISBLANK(L83), " ", IF(ISTEXT(L83), " ", IF(L83&lt;=Нормативы!$H$82, "КМС", IF(L83&lt;=Нормативы!$H$83, "КМС", IF(L83&lt;=Нормативы!$L$84, "КМС", IF(L83&lt;=Нормативы!$L$85, "I", IF(L83&lt;=Нормативы!$L$86, "II", IF(L83&lt;=Нормативы!$L$87, "III", IF(L83&lt;=Нормативы!$L$88, "I юн", IF(L83&lt;=Нормативы!$L$89, "II юн", IF(L83&lt;=Нормативы!$L$90, "III юн", "б/р")))))))))))</f>
        <v xml:space="preserve"> </v>
      </c>
      <c r="N83" s="91" t="str">
        <f>IF(ISBLANK(L83), " ", IF(ISTEXT(L83), " ", IF(L83&lt;=43.3, "МСМК", IF(L83&lt;=45.1, "МС", IF(L83&lt;=47.3, "КМС", IF(L83&lt;=50.8, "I", IF(L83&lt;=55.9, "II", IF(L83&lt;=100.4, "III", IF(L83&lt;=106, "I юн", IF(L83&lt;=112, "II юн", IF(L83&lt;=118.5, "III юн", "б/р")))))))))))</f>
        <v xml:space="preserve"> </v>
      </c>
      <c r="O83" s="91"/>
      <c r="Q83" s="91" t="str">
        <f t="shared" si="14"/>
        <v xml:space="preserve"> </v>
      </c>
    </row>
    <row r="84" spans="3:33" x14ac:dyDescent="0.2">
      <c r="C84" s="217"/>
      <c r="D84" s="217"/>
      <c r="E84" s="217"/>
      <c r="F84" s="217"/>
      <c r="G84" s="217"/>
      <c r="H84" s="222">
        <v>47.1</v>
      </c>
      <c r="I84" s="91" t="str">
        <f>IF(ISBLANK(H84), " ", IF(ISTEXT(H84), " ", IF(H84&lt;=Нормативы!$H$82, "МСМК", IF(H84&lt;=Нормативы!$H$83, "МС", IF(H84&lt;=Нормативы!$H$84, "КМС", IF(H84&lt;=Нормативы!$H$85, "I", IF(H84&lt;=Нормативы!$H$86, "II", IF(H84&lt;=Нормативы!$H$87, "III", IF(H84&lt;=Нормативы!$H$88, "I юн", IF(H84&lt;=Нормативы!$H$89, "II юн", IF(H84&lt;=Нормативы!$H$90, "III юн", "б/р")))))))))))</f>
        <v>КМС</v>
      </c>
      <c r="J84" s="91" t="str">
        <f>IF(ISBLANK(H84), " ", IF(ISTEXT(H84), " ", IF(H84&lt;=Нормативы!$H$82, "МСМК", IF(H84&lt;=Нормативы!$H$83, "МС", IF(H84&lt;=Нормативы!$H$84, "КМС", IF(H84&lt;=Нормативы!$H$85, "I", IF(H84&lt;=Нормативы!$H$86, "II", IF(H84&lt;=Нормативы!$H$87, "III", IF(H84&lt;=Нормативы!$H$88, "I юн", IF(H84&lt;=Нормативы!$H$89, "II юн", IF(H84&lt;=Нормативы!$H$90, "III юн", "б/р")))))))))))</f>
        <v>КМС</v>
      </c>
      <c r="K84" s="226"/>
      <c r="L84" s="225">
        <f t="shared" ref="L84:L90" si="15">H84-0.2</f>
        <v>46.9</v>
      </c>
      <c r="M84" s="91" t="str">
        <f>IF(ISBLANK(L84), " ", IF(ISTEXT(L84), " ", IF(L84&lt;=Нормативы!$H$82, "КМС", IF(L84&lt;=Нормативы!$H$83, "КМС", IF(L84&lt;=Нормативы!$L$84, "КМС", IF(L84&lt;=Нормативы!$L$85, "I", IF(L84&lt;=Нормативы!$L$86, "II", IF(L84&lt;=Нормативы!$L$87, "III", IF(L84&lt;=Нормативы!$L$88, "I юн", IF(L84&lt;=Нормативы!$L$89, "II юн", IF(L84&lt;=Нормативы!$L$90, "III юн", "б/р")))))))))))</f>
        <v>КМС</v>
      </c>
      <c r="N84" s="91" t="str">
        <f>IF(ISBLANK(L84), " ", IF(ISTEXT(L84), " ", IF(L84&lt;=Нормативы!$H$82, "КМС", IF(L84&lt;=Нормативы!$H$83, "КМС", IF(L84&lt;=Нормативы!$L$84, "КМС", IF(L84&lt;=Нормативы!$L$85, "I", IF(L84&lt;=Нормативы!$L$86, "II", IF(L84&lt;=Нормативы!$L$87, "III", IF(L84&lt;=Нормативы!$L$88, "I юн", IF(L84&lt;=Нормативы!$L$89, "II юн", IF(L84&lt;=Нормативы!$L$90, "III юн", "б/р")))))))))))</f>
        <v>КМС</v>
      </c>
      <c r="O84" s="91"/>
      <c r="Q84" s="91" t="str">
        <f t="shared" si="14"/>
        <v xml:space="preserve"> </v>
      </c>
    </row>
    <row r="85" spans="3:33" x14ac:dyDescent="0.2">
      <c r="C85" s="217"/>
      <c r="D85" s="217"/>
      <c r="E85" s="217"/>
      <c r="F85" s="217"/>
      <c r="G85" s="217"/>
      <c r="H85" s="222">
        <v>50.7</v>
      </c>
      <c r="I85" s="91" t="str">
        <f>IF(ISBLANK(H85), " ", IF(ISTEXT(H85), " ", IF(H85&lt;=Нормативы!$H$82, "МСМК", IF(H85&lt;=Нормативы!$H$83, "МС", IF(H85&lt;=Нормативы!$H$84, "КМС", IF(H85&lt;=Нормативы!$H$85, "I", IF(H85&lt;=Нормативы!$H$86, "II", IF(H85&lt;=Нормативы!$H$87, "III", IF(H85&lt;=Нормативы!$H$88, "I юн", IF(H85&lt;=Нормативы!$H$89, "II юн", IF(H85&lt;=Нормативы!$H$90, "III юн", "б/р")))))))))))</f>
        <v>I</v>
      </c>
      <c r="J85" s="91" t="str">
        <f>IF(ISBLANK(H85), " ", IF(ISTEXT(H85), " ", IF(H85&lt;=Нормативы!$H$82, "МСМК", IF(H85&lt;=Нормативы!$H$83, "МС", IF(H85&lt;=Нормативы!$H$84, "КМС", IF(H85&lt;=Нормативы!$H$85, "I", IF(H85&lt;=Нормативы!$H$86, "II", IF(H85&lt;=Нормативы!$H$87, "III", IF(H85&lt;=Нормативы!$H$88, "I юн", IF(H85&lt;=Нормативы!$H$89, "II юн", IF(H85&lt;=Нормативы!$H$90, "III юн", "б/р")))))))))))</f>
        <v>I</v>
      </c>
      <c r="K85" s="226"/>
      <c r="L85" s="225">
        <f t="shared" si="15"/>
        <v>50.5</v>
      </c>
      <c r="M85" s="91" t="str">
        <f>IF(ISBLANK(L85), " ", IF(ISTEXT(L85), " ", IF(L85&lt;=Нормативы!$H$82, "КМС", IF(L85&lt;=Нормативы!$H$83, "КМС", IF(L85&lt;=Нормативы!$L$84, "КМС", IF(L85&lt;=Нормативы!$L$85, "I", IF(L85&lt;=Нормативы!$L$86, "II", IF(L85&lt;=Нормативы!$L$87, "III", IF(L85&lt;=Нормативы!$L$88, "I юн", IF(L85&lt;=Нормативы!$L$89, "II юн", IF(L85&lt;=Нормативы!$L$90, "III юн", "б/р")))))))))))</f>
        <v>I</v>
      </c>
      <c r="N85" s="91" t="str">
        <f>IF(ISBLANK(L85), " ", IF(ISTEXT(L85), " ", IF(L85&lt;=Нормативы!$H$82, "КМС", IF(L85&lt;=Нормативы!$H$83, "КМС", IF(L85&lt;=Нормативы!$L$84, "КМС", IF(L85&lt;=Нормативы!$L$85, "I", IF(L85&lt;=Нормативы!$L$86, "II", IF(L85&lt;=Нормативы!$L$87, "III", IF(L85&lt;=Нормативы!$L$88, "I юн", IF(L85&lt;=Нормативы!$L$89, "II юн", IF(L85&lt;=Нормативы!$L$90, "III юн", "б/р")))))))))))</f>
        <v>I</v>
      </c>
      <c r="O85" s="91"/>
      <c r="Q85" s="91" t="str">
        <f t="shared" si="14"/>
        <v xml:space="preserve"> </v>
      </c>
    </row>
    <row r="86" spans="3:33" x14ac:dyDescent="0.2">
      <c r="C86" s="217"/>
      <c r="D86" s="217"/>
      <c r="E86" s="217"/>
      <c r="F86" s="217"/>
      <c r="G86" s="217"/>
      <c r="H86" s="222">
        <v>55.7</v>
      </c>
      <c r="I86" s="91" t="str">
        <f>IF(ISBLANK(H86), " ", IF(ISTEXT(H86), " ", IF(H86&lt;=Нормативы!$H$82, "МСМК", IF(H86&lt;=Нормативы!$H$83, "МС", IF(H86&lt;=Нормативы!$H$84, "КМС", IF(H86&lt;=Нормативы!$H$85, "I", IF(H86&lt;=Нормативы!$H$86, "II", IF(H86&lt;=Нормативы!$H$87, "III", IF(H86&lt;=Нормативы!$H$88, "I юн", IF(H86&lt;=Нормативы!$H$89, "II юн", IF(H86&lt;=Нормативы!$H$90, "III юн", "б/р")))))))))))</f>
        <v>II</v>
      </c>
      <c r="J86" s="91" t="str">
        <f>IF(ISBLANK(H86), " ", IF(ISTEXT(H86), " ", IF(H86&lt;=Нормативы!$H$82, "МСМК", IF(H86&lt;=Нормативы!$H$83, "МС", IF(H86&lt;=Нормативы!$H$84, "КМС", IF(H86&lt;=Нормативы!$H$85, "I", IF(H86&lt;=Нормативы!$H$86, "II", IF(H86&lt;=Нормативы!$H$87, "III", IF(H86&lt;=Нормативы!$H$88, "I юн", IF(H86&lt;=Нормативы!$H$89, "II юн", IF(H86&lt;=Нормативы!$H$90, "III юн", "б/р")))))))))))</f>
        <v>II</v>
      </c>
      <c r="K86" s="226"/>
      <c r="L86" s="225">
        <f t="shared" si="15"/>
        <v>55.5</v>
      </c>
      <c r="M86" s="91" t="str">
        <f>IF(ISBLANK(L86), " ", IF(ISTEXT(L86), " ", IF(L86&lt;=Нормативы!$H$82, "КМС", IF(L86&lt;=Нормативы!$H$83, "КМС", IF(L86&lt;=Нормативы!$L$84, "КМС", IF(L86&lt;=Нормативы!$L$85, "I", IF(L86&lt;=Нормативы!$L$86, "II", IF(L86&lt;=Нормативы!$L$87, "III", IF(L86&lt;=Нормативы!$L$88, "I юн", IF(L86&lt;=Нормативы!$L$89, "II юн", IF(L86&lt;=Нормативы!$L$90, "III юн", "б/р")))))))))))</f>
        <v>II</v>
      </c>
      <c r="N86" s="91" t="str">
        <f>IF(ISBLANK(L86), " ", IF(ISTEXT(L86), " ", IF(L86&lt;=Нормативы!$H$82, "КМС", IF(L86&lt;=Нормативы!$H$83, "КМС", IF(L86&lt;=Нормативы!$L$84, "КМС", IF(L86&lt;=Нормативы!$L$85, "I", IF(L86&lt;=Нормативы!$L$86, "II", IF(L86&lt;=Нормативы!$L$87, "III", IF(L86&lt;=Нормативы!$L$88, "I юн", IF(L86&lt;=Нормативы!$L$89, "II юн", IF(L86&lt;=Нормативы!$L$90, "III юн", "б/р")))))))))))</f>
        <v>II</v>
      </c>
      <c r="O86" s="91"/>
      <c r="Q86" s="91" t="str">
        <f t="shared" si="14"/>
        <v xml:space="preserve"> </v>
      </c>
    </row>
    <row r="87" spans="3:33" x14ac:dyDescent="0.2">
      <c r="C87" s="217"/>
      <c r="D87" s="217"/>
      <c r="E87" s="217"/>
      <c r="F87" s="217"/>
      <c r="G87" s="217"/>
      <c r="H87" s="222">
        <v>100.2</v>
      </c>
      <c r="I87" s="91" t="str">
        <f>IF(ISBLANK(H87), " ", IF(ISTEXT(H87), " ", IF(H87&lt;=Нормативы!$H$82, "МСМК", IF(H87&lt;=Нормативы!$H$83, "МС", IF(H87&lt;=Нормативы!$H$84, "КМС", IF(H87&lt;=Нормативы!$H$85, "I", IF(H87&lt;=Нормативы!$H$86, "II", IF(H87&lt;=Нормативы!$H$87, "III", IF(H87&lt;=Нормативы!$H$88, "I юн", IF(H87&lt;=Нормативы!$H$89, "II юн", IF(H87&lt;=Нормативы!$H$90, "III юн", "б/р")))))))))))</f>
        <v>III</v>
      </c>
      <c r="J87" s="91" t="str">
        <f>IF(ISBLANK(H87), " ", IF(ISTEXT(H87), " ", IF(H87&lt;=Нормативы!$H$82, "МСМК", IF(H87&lt;=Нормативы!$H$83, "МС", IF(H87&lt;=Нормативы!$H$84, "КМС", IF(H87&lt;=Нормативы!$H$85, "I", IF(H87&lt;=Нормативы!$H$86, "II", IF(H87&lt;=Нормативы!$H$87, "III", IF(H87&lt;=Нормативы!$H$88, "I юн", IF(H87&lt;=Нормативы!$H$89, "II юн", IF(H87&lt;=Нормативы!$H$90, "III юн", "б/р")))))))))))</f>
        <v>III</v>
      </c>
      <c r="K87" s="226"/>
      <c r="L87" s="225">
        <f t="shared" si="15"/>
        <v>100</v>
      </c>
      <c r="M87" s="91" t="str">
        <f>IF(ISBLANK(L87), " ", IF(ISTEXT(L87), " ", IF(L87&lt;=Нормативы!$H$82, "КМС", IF(L87&lt;=Нормативы!$H$83, "КМС", IF(L87&lt;=Нормативы!$L$84, "КМС", IF(L87&lt;=Нормативы!$L$85, "I", IF(L87&lt;=Нормативы!$L$86, "II", IF(L87&lt;=Нормативы!$L$87, "III", IF(L87&lt;=Нормативы!$L$88, "I юн", IF(L87&lt;=Нормативы!$L$89, "II юн", IF(L87&lt;=Нормативы!$L$90, "III юн", "б/р")))))))))))</f>
        <v>III</v>
      </c>
      <c r="N87" s="91" t="str">
        <f>IF(ISBLANK(L87), " ", IF(ISTEXT(L87), " ", IF(L87&lt;=Нормативы!$H$82, "КМС", IF(L87&lt;=Нормативы!$H$83, "КМС", IF(L87&lt;=Нормативы!$L$84, "КМС", IF(L87&lt;=Нормативы!$L$85, "I", IF(L87&lt;=Нормативы!$L$86, "II", IF(L87&lt;=Нормативы!$L$87, "III", IF(L87&lt;=Нормативы!$L$88, "I юн", IF(L87&lt;=Нормативы!$L$89, "II юн", IF(L87&lt;=Нормативы!$L$90, "III юн", "б/р")))))))))))</f>
        <v>III</v>
      </c>
      <c r="O87" s="91"/>
      <c r="Q87" s="91" t="str">
        <f t="shared" si="14"/>
        <v xml:space="preserve"> </v>
      </c>
    </row>
    <row r="88" spans="3:33" x14ac:dyDescent="0.2">
      <c r="C88" s="217"/>
      <c r="D88" s="217"/>
      <c r="E88" s="217"/>
      <c r="F88" s="217"/>
      <c r="G88" s="217"/>
      <c r="H88" s="222">
        <v>105.5</v>
      </c>
      <c r="I88" s="91" t="str">
        <f>IF(ISBLANK(H88), " ", IF(ISTEXT(H88), " ", IF(H88&lt;=Нормативы!$H$82, "МСМК", IF(H88&lt;=Нормативы!$H$83, "МС", IF(H88&lt;=Нормативы!$H$84, "КМС", IF(H88&lt;=Нормативы!$H$85, "I", IF(H88&lt;=Нормативы!$H$86, "II", IF(H88&lt;=Нормативы!$H$87, "III", IF(H88&lt;=Нормативы!$H$88, "I юн", IF(H88&lt;=Нормативы!$H$89, "II юн", IF(H88&lt;=Нормативы!$H$90, "III юн", "б/р")))))))))))</f>
        <v>I юн</v>
      </c>
      <c r="J88" s="91" t="str">
        <f>IF(ISBLANK(H88), " ", IF(ISTEXT(H88), " ", IF(H88&lt;=Нормативы!$H$82, "МСМК", IF(H88&lt;=Нормативы!$H$83, "МС", IF(H88&lt;=Нормативы!$H$84, "КМС", IF(H88&lt;=Нормативы!$H$85, "I", IF(H88&lt;=Нормативы!$H$86, "II", IF(H88&lt;=Нормативы!$H$87, "III", IF(H88&lt;=Нормативы!$H$88, "I юн", IF(H88&lt;=Нормативы!$H$89, "II юн", IF(H88&lt;=Нормативы!$H$90, "III юн", "б/р")))))))))))</f>
        <v>I юн</v>
      </c>
      <c r="K88" s="226"/>
      <c r="L88" s="225">
        <f t="shared" si="15"/>
        <v>105.3</v>
      </c>
      <c r="M88" s="91" t="str">
        <f>IF(ISBLANK(L88), " ", IF(ISTEXT(L88), " ", IF(L88&lt;=Нормативы!$H$82, "КМС", IF(L88&lt;=Нормативы!$H$83, "КМС", IF(L88&lt;=Нормативы!$L$84, "КМС", IF(L88&lt;=Нормативы!$L$85, "I", IF(L88&lt;=Нормативы!$L$86, "II", IF(L88&lt;=Нормативы!$L$87, "III", IF(L88&lt;=Нормативы!$L$88, "I юн", IF(L88&lt;=Нормативы!$L$89, "II юн", IF(L88&lt;=Нормативы!$L$90, "III юн", "б/р")))))))))))</f>
        <v>I юн</v>
      </c>
      <c r="N88" s="91" t="str">
        <f>IF(ISBLANK(L88), " ", IF(ISTEXT(L88), " ", IF(L88&lt;=Нормативы!$H$82, "КМС", IF(L88&lt;=Нормативы!$H$83, "КМС", IF(L88&lt;=Нормативы!$L$84, "КМС", IF(L88&lt;=Нормативы!$L$85, "I", IF(L88&lt;=Нормативы!$L$86, "II", IF(L88&lt;=Нормативы!$L$87, "III", IF(L88&lt;=Нормативы!$L$88, "I юн", IF(L88&lt;=Нормативы!$L$89, "II юн", IF(L88&lt;=Нормативы!$L$90, "III юн", "б/р")))))))))))</f>
        <v>I юн</v>
      </c>
      <c r="O88" s="91"/>
      <c r="Q88" s="91" t="str">
        <f t="shared" si="14"/>
        <v xml:space="preserve"> </v>
      </c>
    </row>
    <row r="89" spans="3:33" x14ac:dyDescent="0.2">
      <c r="C89" s="217"/>
      <c r="D89" s="217"/>
      <c r="E89" s="217"/>
      <c r="F89" s="217"/>
      <c r="G89" s="217"/>
      <c r="H89" s="222">
        <v>111.5</v>
      </c>
      <c r="I89" s="91" t="str">
        <f>IF(ISBLANK(H89), " ", IF(ISTEXT(H89), " ", IF(H89&lt;=Нормативы!$H$82, "МСМК", IF(H89&lt;=Нормативы!$H$83, "МС", IF(H89&lt;=Нормативы!$H$84, "КМС", IF(H89&lt;=Нормативы!$H$85, "I", IF(H89&lt;=Нормативы!$H$86, "II", IF(H89&lt;=Нормативы!$H$87, "III", IF(H89&lt;=Нормативы!$H$88, "I юн", IF(H89&lt;=Нормативы!$H$89, "II юн", IF(H89&lt;=Нормативы!$H$90, "III юн", "б/р")))))))))))</f>
        <v>II юн</v>
      </c>
      <c r="J89" s="91" t="str">
        <f>IF(ISBLANK(H89), " ", IF(ISTEXT(H89), " ", IF(H89&lt;=Нормативы!$H$82, "МСМК", IF(H89&lt;=Нормативы!$H$83, "МС", IF(H89&lt;=Нормативы!$H$84, "КМС", IF(H89&lt;=Нормативы!$H$85, "I", IF(H89&lt;=Нормативы!$H$86, "II", IF(H89&lt;=Нормативы!$H$87, "III", IF(H89&lt;=Нормативы!$H$88, "I юн", IF(H89&lt;=Нормативы!$H$89, "II юн", IF(H89&lt;=Нормативы!$H$90, "III юн", "б/р")))))))))))</f>
        <v>II юн</v>
      </c>
      <c r="K89" s="226"/>
      <c r="L89" s="225">
        <f t="shared" si="15"/>
        <v>111.3</v>
      </c>
      <c r="M89" s="91" t="str">
        <f>IF(ISBLANK(L89), " ", IF(ISTEXT(L89), " ", IF(L89&lt;=Нормативы!$H$82, "КМС", IF(L89&lt;=Нормативы!$H$83, "КМС", IF(L89&lt;=Нормативы!$L$84, "КМС", IF(L89&lt;=Нормативы!$L$85, "I", IF(L89&lt;=Нормативы!$L$86, "II", IF(L89&lt;=Нормативы!$L$87, "III", IF(L89&lt;=Нормативы!$L$88, "I юн", IF(L89&lt;=Нормативы!$L$89, "II юн", IF(L89&lt;=Нормативы!$L$90, "III юн", "б/р")))))))))))</f>
        <v>II юн</v>
      </c>
      <c r="N89" s="91" t="str">
        <f>IF(ISBLANK(L89), " ", IF(ISTEXT(L89), " ", IF(L89&lt;=Нормативы!$H$82, "КМС", IF(L89&lt;=Нормативы!$H$83, "КМС", IF(L89&lt;=Нормативы!$L$84, "КМС", IF(L89&lt;=Нормативы!$L$85, "I", IF(L89&lt;=Нормативы!$L$86, "II", IF(L89&lt;=Нормативы!$L$87, "III", IF(L89&lt;=Нормативы!$L$88, "I юн", IF(L89&lt;=Нормативы!$L$89, "II юн", IF(L89&lt;=Нормативы!$L$90, "III юн", "б/р")))))))))))</f>
        <v>II юн</v>
      </c>
      <c r="O89" s="91"/>
      <c r="Q89" s="91" t="str">
        <f t="shared" si="14"/>
        <v xml:space="preserve"> </v>
      </c>
    </row>
    <row r="90" spans="3:33" x14ac:dyDescent="0.2">
      <c r="C90" s="217"/>
      <c r="D90" s="217"/>
      <c r="E90" s="217"/>
      <c r="F90" s="217"/>
      <c r="G90" s="217"/>
      <c r="H90" s="222">
        <v>118</v>
      </c>
      <c r="I90" s="91" t="str">
        <f>IF(ISBLANK(H90), " ", IF(ISTEXT(H90), " ", IF(H90&lt;=Нормативы!$H$82, "МСМК", IF(H90&lt;=Нормативы!$H$83, "МС", IF(H90&lt;=Нормативы!$H$84, "КМС", IF(H90&lt;=Нормативы!$H$85, "I", IF(H90&lt;=Нормативы!$H$86, "II", IF(H90&lt;=Нормативы!$H$87, "III", IF(H90&lt;=Нормативы!$H$88, "I юн", IF(H90&lt;=Нормативы!$H$89, "II юн", IF(H90&lt;=Нормативы!$H$90, "III юн", "б/р")))))))))))</f>
        <v>III юн</v>
      </c>
      <c r="J90" s="91" t="str">
        <f>IF(ISBLANK(H90), " ", IF(ISTEXT(H90), " ", IF(H90&lt;=Нормативы!$H$82, "МСМК", IF(H90&lt;=Нормативы!$H$83, "МС", IF(H90&lt;=Нормативы!$H$84, "КМС", IF(H90&lt;=Нормативы!$H$85, "I", IF(H90&lt;=Нормативы!$H$86, "II", IF(H90&lt;=Нормативы!$H$87, "III", IF(H90&lt;=Нормативы!$H$88, "I юн", IF(H90&lt;=Нормативы!$H$89, "II юн", IF(H90&lt;=Нормативы!$H$90, "III юн", "б/р")))))))))))</f>
        <v>III юн</v>
      </c>
      <c r="K90" s="226"/>
      <c r="L90" s="225">
        <f t="shared" si="15"/>
        <v>117.8</v>
      </c>
      <c r="M90" s="91" t="str">
        <f>IF(ISBLANK(L90), " ", IF(ISTEXT(L90), " ", IF(L90&lt;=Нормативы!$H$82, "КМС", IF(L90&lt;=Нормативы!$H$83, "КМС", IF(L90&lt;=Нормативы!$L$84, "КМС", IF(L90&lt;=Нормативы!$L$85, "I", IF(L90&lt;=Нормативы!$L$86, "II", IF(L90&lt;=Нормативы!$L$87, "III", IF(L90&lt;=Нормативы!$L$88, "I юн", IF(L90&lt;=Нормативы!$L$89, "II юн", IF(L90&lt;=Нормативы!$L$90, "III юн", "б/р")))))))))))</f>
        <v>III юн</v>
      </c>
      <c r="N90" s="91" t="str">
        <f>IF(ISBLANK(L90), " ", IF(ISTEXT(L90), " ", IF(L90&lt;=Нормативы!$H$82, "КМС", IF(L90&lt;=Нормативы!$H$83, "КМС", IF(L90&lt;=Нормативы!$L$84, "КМС", IF(L90&lt;=Нормативы!$L$85, "I", IF(L90&lt;=Нормативы!$L$86, "II", IF(L90&lt;=Нормативы!$L$87, "III", IF(L90&lt;=Нормативы!$L$88, "I юн", IF(L90&lt;=Нормативы!$L$89, "II юн", IF(L90&lt;=Нормативы!$L$90, "III юн", "б/р")))))))))))</f>
        <v>III юн</v>
      </c>
      <c r="O90" s="91"/>
      <c r="Q90" s="91" t="str">
        <f t="shared" si="14"/>
        <v xml:space="preserve"> </v>
      </c>
    </row>
    <row r="91" spans="3:33" x14ac:dyDescent="0.2">
      <c r="C91" s="217"/>
      <c r="D91" s="217"/>
      <c r="E91" s="217"/>
      <c r="F91" s="217"/>
      <c r="G91" s="217"/>
      <c r="H91" s="225"/>
      <c r="I91" s="217"/>
      <c r="J91" s="217"/>
      <c r="K91" s="226"/>
      <c r="L91" s="217"/>
      <c r="M91" s="217"/>
      <c r="N91" s="217"/>
      <c r="Q91" s="217"/>
    </row>
    <row r="92" spans="3:33" x14ac:dyDescent="0.2">
      <c r="C92" s="58" t="s">
        <v>385</v>
      </c>
      <c r="D92" s="106"/>
      <c r="E92" s="106"/>
      <c r="F92" s="58"/>
      <c r="G92" s="58"/>
      <c r="H92" s="221"/>
      <c r="I92" s="217"/>
      <c r="J92" s="217"/>
      <c r="K92" s="237"/>
      <c r="L92" s="217"/>
      <c r="M92" s="217"/>
      <c r="N92" s="217"/>
      <c r="Q92" s="217"/>
    </row>
    <row r="93" spans="3:33" x14ac:dyDescent="0.2">
      <c r="C93" s="3"/>
      <c r="D93" s="4"/>
      <c r="E93" s="4"/>
      <c r="F93" s="3"/>
      <c r="G93" s="3"/>
      <c r="H93" s="225">
        <v>130.69999999999999</v>
      </c>
      <c r="I93" s="91" t="str">
        <f>IF(ISBLANK(H93), " ", IF(ISTEXT(H93), " ", IF(H93&lt;=Нормативы!$H$93, "МСМК", IF(H93&lt;=Нормативы!$H$94, "МС", IF(H93&lt;=Нормативы!$H$95, "КМС", IF(H93&lt;=Нормативы!$H$96, "I", IF(H93&lt;=Нормативы!$H$97, "II", IF(H93&lt;=Нормативы!$H$98, "III", IF(H93&lt;=Нормативы!$H$99, "I юн", IF(H93&lt;=Нормативы!$H$100, "II юн", IF(H93&lt;=Нормативы!$H$101, "III юн", "б/р")))))))))))</f>
        <v>МСМК</v>
      </c>
      <c r="J93" s="91" t="str">
        <f>IF(ISBLANK(H93), " ", IF(ISTEXT(H93), " ", IF(H93&lt;=Нормативы!$H$93, "МСМК", IF(H93&lt;=Нормативы!$H$94, "МС", IF(H93&lt;=Нормативы!$H$95, "КМС", IF(H93&lt;=Нормативы!$H$96, "I", IF(H93&lt;=Нормативы!$H$97, "II", IF(H93&lt;=Нормативы!$H$98, "III", IF(H93&lt;=Нормативы!$H$99, "I юн", IF(H93&lt;=Нормативы!$H$100, "II юн", IF(H93&lt;=Нормативы!$H$101, "III юн", "б/р")))))))))))</f>
        <v>МСМК</v>
      </c>
      <c r="K93" s="226"/>
      <c r="L93" s="225"/>
      <c r="M93" s="91" t="str">
        <f>IF(ISBLANK(L93), " ", IF(ISTEXT(L93), " ", IF(L93&lt;=Нормативы!$H$93, "КМС", IF(L93&lt;=Нормативы!$H$94, "КМС", IF(L93&lt;=Нормативы!$L$95, "КМС", IF(L93&lt;=Нормативы!$L$96, "I", IF(L93&lt;=Нормативы!$L$97, "II", IF(L93&lt;=Нормативы!$L$98, "III", IF(L93&lt;=Нормативы!$L$99, "I юн", IF(L93&lt;=Нормативы!$L$100, "II юн", IF(L93&lt;=Нормативы!$L$101, "III юн", "б/р")))))))))))</f>
        <v xml:space="preserve"> </v>
      </c>
      <c r="N93" s="91" t="str">
        <f>IF(ISBLANK(L93), " ", IF(ISTEXT(L93), " ", IF(L93&lt;=130.8, "МСМК", IF(L93&lt;=136.2, "МС", IF(L93&lt;=141, "КМС", IF(L93&lt;=147.5, "I", IF(L93&lt;=157.5, "II", IF(L93&lt;=206.2, "III", IF(L93&lt;=220, "I юн", IF(L93&lt;=231.2, "II юн", IF(L93&lt;=242.2, "III юн", "б/р")))))))))))</f>
        <v xml:space="preserve"> </v>
      </c>
      <c r="Q93" s="91" t="str">
        <f t="shared" ref="Q93:Q101" si="16">IF(ISBLANK(P93), " ", IF(ISTEXT(P93), " ", IF(P93&lt;=$H$93, "МСМК", IF(P93&lt;=$H$94, "МС", IF(P93&lt;=$H$95, "КМС", IF(P93&lt;=$H$96, "I", IF(P93&lt;=$H$97, "II", IF(P93&lt;=$H$98, "III", IF(P93&lt;=$H$99, "I юн", IF(P93&lt;=$H$100, "II юн", IF(P93&lt;=$H$101, "III юн", "б/р")))))))))))</f>
        <v xml:space="preserve"> </v>
      </c>
    </row>
    <row r="94" spans="3:33" x14ac:dyDescent="0.2">
      <c r="C94" s="3"/>
      <c r="D94" s="4"/>
      <c r="E94" s="4"/>
      <c r="F94" s="3"/>
      <c r="G94" s="3"/>
      <c r="H94" s="225">
        <v>133</v>
      </c>
      <c r="I94" s="91" t="str">
        <f>IF(ISBLANK(H94), " ", IF(ISTEXT(H94), " ", IF(H94&lt;=Нормативы!$H$93, "МСМК", IF(H94&lt;=Нормативы!$H$94, "МС", IF(H94&lt;=Нормативы!$H$95, "КМС", IF(H94&lt;=Нормативы!$H$96, "I", IF(H94&lt;=Нормативы!$H$97, "II", IF(H94&lt;=Нормативы!$H$98, "III", IF(H94&lt;=Нормативы!$H$99, "I юн", IF(H94&lt;=Нормативы!$H$100, "II юн", IF(H94&lt;=Нормативы!$H$101, "III юн", "б/р")))))))))))</f>
        <v>МС</v>
      </c>
      <c r="J94" s="91" t="str">
        <f>IF(ISBLANK(H94), " ", IF(ISTEXT(H94), " ", IF(H94&lt;=Нормативы!$H$93, "МСМК", IF(H94&lt;=Нормативы!$H$94, "МС", IF(H94&lt;=Нормативы!$H$95, "КМС", IF(H94&lt;=Нормативы!$H$96, "I", IF(H94&lt;=Нормативы!$H$97, "II", IF(H94&lt;=Нормативы!$H$98, "III", IF(H94&lt;=Нормативы!$H$99, "I юн", IF(H94&lt;=Нормативы!$H$100, "II юн", IF(H94&lt;=Нормативы!$H$101, "III юн", "б/р")))))))))))</f>
        <v>МС</v>
      </c>
      <c r="K94" s="226"/>
      <c r="L94" s="225"/>
      <c r="M94" s="91" t="str">
        <f>IF(ISBLANK(L94), " ", IF(ISTEXT(L94), " ", IF(L94&lt;=Нормативы!$H$93, "КМС", IF(L94&lt;=Нормативы!$H$94, "КМС", IF(L94&lt;=Нормативы!$L$95, "КМС", IF(L94&lt;=Нормативы!$L$96, "I", IF(L94&lt;=Нормативы!$L$97, "II", IF(L94&lt;=Нормативы!$L$98, "III", IF(L94&lt;=Нормативы!$L$99, "I юн", IF(L94&lt;=Нормативы!$L$100, "II юн", IF(L94&lt;=Нормативы!$L$101, "III юн", "б/р")))))))))))</f>
        <v xml:space="preserve"> </v>
      </c>
      <c r="N94" s="91" t="str">
        <f>IF(ISBLANK(L94), " ", IF(ISTEXT(L94), " ", IF(L94&lt;=130.8, "МСМК", IF(L94&lt;=136.2, "МС", IF(L94&lt;=141, "КМС", IF(L94&lt;=147.5, "I", IF(L94&lt;=157.5, "II", IF(L94&lt;=206.2, "III", IF(L94&lt;=220, "I юн", IF(L94&lt;=231.2, "II юн", IF(L94&lt;=242.2, "III юн", "б/р")))))))))))</f>
        <v xml:space="preserve"> </v>
      </c>
      <c r="Q94" s="91" t="str">
        <f t="shared" si="16"/>
        <v xml:space="preserve"> </v>
      </c>
    </row>
    <row r="95" spans="3:33" x14ac:dyDescent="0.2">
      <c r="C95" s="3"/>
      <c r="D95" s="4"/>
      <c r="E95" s="4"/>
      <c r="F95" s="3"/>
      <c r="G95" s="3"/>
      <c r="H95" s="225">
        <v>140.5</v>
      </c>
      <c r="I95" s="91" t="str">
        <f>IF(ISBLANK(H95), " ", IF(ISTEXT(H95), " ", IF(H95&lt;=Нормативы!$H$93, "МСМК", IF(H95&lt;=Нормативы!$H$94, "МС", IF(H95&lt;=Нормативы!$H$95, "КМС", IF(H95&lt;=Нормативы!$H$96, "I", IF(H95&lt;=Нормативы!$H$97, "II", IF(H95&lt;=Нормативы!$H$98, "III", IF(H95&lt;=Нормативы!$H$99, "I юн", IF(H95&lt;=Нормативы!$H$100, "II юн", IF(H95&lt;=Нормативы!$H$101, "III юн", "б/р")))))))))))</f>
        <v>КМС</v>
      </c>
      <c r="J95" s="91" t="str">
        <f>IF(ISBLANK(H95), " ", IF(ISTEXT(H95), " ", IF(H95&lt;=Нормативы!$H$93, "МСМК", IF(H95&lt;=Нормативы!$H$94, "МС", IF(H95&lt;=Нормативы!$H$95, "КМС", IF(H95&lt;=Нормативы!$H$96, "I", IF(H95&lt;=Нормативы!$H$97, "II", IF(H95&lt;=Нормативы!$H$98, "III", IF(H95&lt;=Нормативы!$H$99, "I юн", IF(H95&lt;=Нормативы!$H$100, "II юн", IF(H95&lt;=Нормативы!$H$101, "III юн", "б/р")))))))))))</f>
        <v>КМС</v>
      </c>
      <c r="K95" s="226"/>
      <c r="L95" s="225">
        <f t="shared" ref="L95:L100" si="17">H95-0.2</f>
        <v>140.30000000000001</v>
      </c>
      <c r="M95" s="91" t="str">
        <f>IF(ISBLANK(L95), " ", IF(ISTEXT(L95), " ", IF(L95&lt;=Нормативы!$H$93, "КМС", IF(L95&lt;=Нормативы!$H$94, "КМС", IF(L95&lt;=Нормативы!$L$95, "КМС", IF(L95&lt;=Нормативы!$L$96, "I", IF(L95&lt;=Нормативы!$L$97, "II", IF(L95&lt;=Нормативы!$L$98, "III", IF(L95&lt;=Нормативы!$L$99, "I юн", IF(L95&lt;=Нормативы!$L$100, "II юн", IF(L95&lt;=Нормативы!$L$101, "III юн", "б/р")))))))))))</f>
        <v>КМС</v>
      </c>
      <c r="N95" s="91" t="str">
        <f>IF(ISBLANK(L95), " ", IF(ISTEXT(L95), " ", IF(L95&lt;=Нормативы!$H$93, "КМС", IF(L95&lt;=Нормативы!$H$94, "КМС", IF(L95&lt;=Нормативы!$L$95, "КМС", IF(L95&lt;=Нормативы!$L$96, "I", IF(L95&lt;=Нормативы!$L$97, "II", IF(L95&lt;=Нормативы!$L$98, "III", IF(L95&lt;=Нормативы!$L$99, "I юн", IF(L95&lt;=Нормативы!$L$100, "II юн", IF(L95&lt;=Нормативы!$L$101, "III юн", "б/р")))))))))))</f>
        <v>КМС</v>
      </c>
      <c r="Q95" s="91" t="str">
        <f t="shared" si="16"/>
        <v xml:space="preserve"> </v>
      </c>
    </row>
    <row r="96" spans="3:33" x14ac:dyDescent="0.2">
      <c r="C96" s="3"/>
      <c r="D96" s="4"/>
      <c r="E96" s="4"/>
      <c r="F96" s="3"/>
      <c r="G96" s="3"/>
      <c r="H96" s="225">
        <v>146.69999999999999</v>
      </c>
      <c r="I96" s="91" t="str">
        <f>IF(ISBLANK(H96), " ", IF(ISTEXT(H96), " ", IF(H96&lt;=Нормативы!$H$93, "МСМК", IF(H96&lt;=Нормативы!$H$94, "МС", IF(H96&lt;=Нормативы!$H$95, "КМС", IF(H96&lt;=Нормативы!$H$96, "I", IF(H96&lt;=Нормативы!$H$97, "II", IF(H96&lt;=Нормативы!$H$98, "III", IF(H96&lt;=Нормативы!$H$99, "I юн", IF(H96&lt;=Нормативы!$H$100, "II юн", IF(H96&lt;=Нормативы!$H$101, "III юн", "б/р")))))))))))</f>
        <v>I</v>
      </c>
      <c r="J96" s="91" t="str">
        <f>IF(ISBLANK(H96), " ", IF(ISTEXT(H96), " ", IF(H96&lt;=Нормативы!$H$93, "МСМК", IF(H96&lt;=Нормативы!$H$94, "МС", IF(H96&lt;=Нормативы!$H$95, "КМС", IF(H96&lt;=Нормативы!$H$96, "I", IF(H96&lt;=Нормативы!$H$97, "II", IF(H96&lt;=Нормативы!$H$98, "III", IF(H96&lt;=Нормативы!$H$99, "I юн", IF(H96&lt;=Нормативы!$H$100, "II юн", IF(H96&lt;=Нормативы!$H$101, "III юн", "б/р")))))))))))</f>
        <v>I</v>
      </c>
      <c r="K96" s="226"/>
      <c r="L96" s="225">
        <f t="shared" si="17"/>
        <v>146.5</v>
      </c>
      <c r="M96" s="91" t="str">
        <f>IF(ISBLANK(L96), " ", IF(ISTEXT(L96), " ", IF(L96&lt;=Нормативы!$H$93, "КМС", IF(L96&lt;=Нормативы!$H$94, "КМС", IF(L96&lt;=Нормативы!$L$95, "КМС", IF(L96&lt;=Нормативы!$L$96, "I", IF(L96&lt;=Нормативы!$L$97, "II", IF(L96&lt;=Нормативы!$L$98, "III", IF(L96&lt;=Нормативы!$L$99, "I юн", IF(L96&lt;=Нормативы!$L$100, "II юн", IF(L96&lt;=Нормативы!$L$101, "III юн", "б/р")))))))))))</f>
        <v>I</v>
      </c>
      <c r="N96" s="91" t="str">
        <f>IF(ISBLANK(L96), " ", IF(ISTEXT(L96), " ", IF(L96&lt;=Нормативы!$H$93, "КМС", IF(L96&lt;=Нормативы!$H$94, "КМС", IF(L96&lt;=Нормативы!$L$95, "КМС", IF(L96&lt;=Нормативы!$L$96, "I", IF(L96&lt;=Нормативы!$L$97, "II", IF(L96&lt;=Нормативы!$L$98, "III", IF(L96&lt;=Нормативы!$L$99, "I юн", IF(L96&lt;=Нормативы!$L$100, "II юн", IF(L96&lt;=Нормативы!$L$101, "III юн", "б/р")))))))))))</f>
        <v>I</v>
      </c>
      <c r="Q96" s="91" t="str">
        <f t="shared" si="16"/>
        <v xml:space="preserve"> </v>
      </c>
    </row>
    <row r="97" spans="3:33" x14ac:dyDescent="0.2">
      <c r="C97" s="3"/>
      <c r="D97" s="4"/>
      <c r="E97" s="4"/>
      <c r="F97" s="3"/>
      <c r="G97" s="3"/>
      <c r="H97" s="225">
        <v>155.19999999999999</v>
      </c>
      <c r="I97" s="91" t="str">
        <f>IF(ISBLANK(H97), " ", IF(ISTEXT(H97), " ", IF(H97&lt;=Нормативы!$H$93, "МСМК", IF(H97&lt;=Нормативы!$H$94, "МС", IF(H97&lt;=Нормативы!$H$95, "КМС", IF(H97&lt;=Нормативы!$H$96, "I", IF(H97&lt;=Нормативы!$H$97, "II", IF(H97&lt;=Нормативы!$H$98, "III", IF(H97&lt;=Нормативы!$H$99, "I юн", IF(H97&lt;=Нормативы!$H$100, "II юн", IF(H97&lt;=Нормативы!$H$101, "III юн", "б/р")))))))))))</f>
        <v>II</v>
      </c>
      <c r="J97" s="91" t="str">
        <f>IF(ISBLANK(H97), " ", IF(ISTEXT(H97), " ", IF(H97&lt;=Нормативы!$H$93, "МСМК", IF(H97&lt;=Нормативы!$H$94, "МС", IF(H97&lt;=Нормативы!$H$95, "КМС", IF(H97&lt;=Нормативы!$H$96, "I", IF(H97&lt;=Нормативы!$H$97, "II", IF(H97&lt;=Нормативы!$H$98, "III", IF(H97&lt;=Нормативы!$H$99, "I юн", IF(H97&lt;=Нормативы!$H$100, "II юн", IF(H97&lt;=Нормативы!$H$101, "III юн", "б/р")))))))))))</f>
        <v>II</v>
      </c>
      <c r="K97" s="226"/>
      <c r="L97" s="225">
        <f t="shared" si="17"/>
        <v>155</v>
      </c>
      <c r="M97" s="91" t="str">
        <f>IF(ISBLANK(L97), " ", IF(ISTEXT(L97), " ", IF(L97&lt;=Нормативы!$H$93, "КМС", IF(L97&lt;=Нормативы!$H$94, "КМС", IF(L97&lt;=Нормативы!$L$95, "КМС", IF(L97&lt;=Нормативы!$L$96, "I", IF(L97&lt;=Нормативы!$L$97, "II", IF(L97&lt;=Нормативы!$L$98, "III", IF(L97&lt;=Нормативы!$L$99, "I юн", IF(L97&lt;=Нормативы!$L$100, "II юн", IF(L97&lt;=Нормативы!$L$101, "III юн", "б/р")))))))))))</f>
        <v>II</v>
      </c>
      <c r="N97" s="91" t="str">
        <f>IF(ISBLANK(L97), " ", IF(ISTEXT(L97), " ", IF(L97&lt;=Нормативы!$H$93, "КМС", IF(L97&lt;=Нормативы!$H$94, "КМС", IF(L97&lt;=Нормативы!$L$95, "КМС", IF(L97&lt;=Нормативы!$L$96, "I", IF(L97&lt;=Нормативы!$L$97, "II", IF(L97&lt;=Нормативы!$L$98, "III", IF(L97&lt;=Нормативы!$L$99, "I юн", IF(L97&lt;=Нормативы!$L$100, "II юн", IF(L97&lt;=Нормативы!$L$101, "III юн", "б/р")))))))))))</f>
        <v>II</v>
      </c>
      <c r="Q97" s="91" t="str">
        <f t="shared" si="16"/>
        <v xml:space="preserve"> </v>
      </c>
    </row>
    <row r="98" spans="3:33" x14ac:dyDescent="0.2">
      <c r="C98" s="3"/>
      <c r="D98" s="4"/>
      <c r="E98" s="4"/>
      <c r="F98" s="3"/>
      <c r="G98" s="3"/>
      <c r="H98" s="225">
        <v>205.2</v>
      </c>
      <c r="I98" s="91" t="str">
        <f>IF(ISBLANK(H98), " ", IF(ISTEXT(H98), " ", IF(H98&lt;=Нормативы!$H$93, "МСМК", IF(H98&lt;=Нормативы!$H$94, "МС", IF(H98&lt;=Нормативы!$H$95, "КМС", IF(H98&lt;=Нормативы!$H$96, "I", IF(H98&lt;=Нормативы!$H$97, "II", IF(H98&lt;=Нормативы!$H$98, "III", IF(H98&lt;=Нормативы!$H$99, "I юн", IF(H98&lt;=Нормативы!$H$100, "II юн", IF(H98&lt;=Нормативы!$H$101, "III юн", "б/р")))))))))))</f>
        <v>III</v>
      </c>
      <c r="J98" s="91" t="str">
        <f>IF(ISBLANK(H98), " ", IF(ISTEXT(H98), " ", IF(H98&lt;=Нормативы!$H$93, "МСМК", IF(H98&lt;=Нормативы!$H$94, "МС", IF(H98&lt;=Нормативы!$H$95, "КМС", IF(H98&lt;=Нормативы!$H$96, "I", IF(H98&lt;=Нормативы!$H$97, "II", IF(H98&lt;=Нормативы!$H$98, "III", IF(H98&lt;=Нормативы!$H$99, "I юн", IF(H98&lt;=Нормативы!$H$100, "II юн", IF(H98&lt;=Нормативы!$H$101, "III юн", "б/р")))))))))))</f>
        <v>III</v>
      </c>
      <c r="K98" s="226"/>
      <c r="L98" s="225">
        <f t="shared" si="17"/>
        <v>205</v>
      </c>
      <c r="M98" s="91" t="str">
        <f>IF(ISBLANK(L98), " ", IF(ISTEXT(L98), " ", IF(L98&lt;=Нормативы!$H$93, "КМС", IF(L98&lt;=Нормативы!$H$94, "КМС", IF(L98&lt;=Нормативы!$L$95, "КМС", IF(L98&lt;=Нормативы!$L$96, "I", IF(L98&lt;=Нормативы!$L$97, "II", IF(L98&lt;=Нормативы!$L$98, "III", IF(L98&lt;=Нормативы!$L$99, "I юн", IF(L98&lt;=Нормативы!$L$100, "II юн", IF(L98&lt;=Нормативы!$L$101, "III юн", "б/р")))))))))))</f>
        <v>III</v>
      </c>
      <c r="N98" s="91" t="str">
        <f>IF(ISBLANK(L98), " ", IF(ISTEXT(L98), " ", IF(L98&lt;=Нормативы!$H$93, "КМС", IF(L98&lt;=Нормативы!$H$94, "КМС", IF(L98&lt;=Нормативы!$L$95, "КМС", IF(L98&lt;=Нормативы!$L$96, "I", IF(L98&lt;=Нормативы!$L$97, "II", IF(L98&lt;=Нормативы!$L$98, "III", IF(L98&lt;=Нормативы!$L$99, "I юн", IF(L98&lt;=Нормативы!$L$100, "II юн", IF(L98&lt;=Нормативы!$L$101, "III юн", "б/р")))))))))))</f>
        <v>III</v>
      </c>
      <c r="Q98" s="91" t="str">
        <f t="shared" si="16"/>
        <v xml:space="preserve"> </v>
      </c>
    </row>
    <row r="99" spans="3:33" x14ac:dyDescent="0.2">
      <c r="C99" s="3"/>
      <c r="D99" s="4"/>
      <c r="E99" s="4"/>
      <c r="F99" s="3"/>
      <c r="G99" s="3"/>
      <c r="H99" s="225">
        <v>219</v>
      </c>
      <c r="I99" s="91" t="str">
        <f>IF(ISBLANK(H99), " ", IF(ISTEXT(H99), " ", IF(H99&lt;=Нормативы!$H$93, "МСМК", IF(H99&lt;=Нормативы!$H$94, "МС", IF(H99&lt;=Нормативы!$H$95, "КМС", IF(H99&lt;=Нормативы!$H$96, "I", IF(H99&lt;=Нормативы!$H$97, "II", IF(H99&lt;=Нормативы!$H$98, "III", IF(H99&lt;=Нормативы!$H$99, "I юн", IF(H99&lt;=Нормативы!$H$100, "II юн", IF(H99&lt;=Нормативы!$H$101, "III юн", "б/р")))))))))))</f>
        <v>I юн</v>
      </c>
      <c r="J99" s="91" t="str">
        <f>IF(ISBLANK(H99), " ", IF(ISTEXT(H99), " ", IF(H99&lt;=Нормативы!$H$93, "МСМК", IF(H99&lt;=Нормативы!$H$94, "МС", IF(H99&lt;=Нормативы!$H$95, "КМС", IF(H99&lt;=Нормативы!$H$96, "I", IF(H99&lt;=Нормативы!$H$97, "II", IF(H99&lt;=Нормативы!$H$98, "III", IF(H99&lt;=Нормативы!$H$99, "I юн", IF(H99&lt;=Нормативы!$H$100, "II юн", IF(H99&lt;=Нормативы!$H$101, "III юн", "б/р")))))))))))</f>
        <v>I юн</v>
      </c>
      <c r="K99" s="226"/>
      <c r="L99" s="225">
        <f t="shared" si="17"/>
        <v>218.8</v>
      </c>
      <c r="M99" s="91" t="str">
        <f>IF(ISBLANK(L99), " ", IF(ISTEXT(L99), " ", IF(L99&lt;=Нормативы!$H$93, "КМС", IF(L99&lt;=Нормативы!$H$94, "КМС", IF(L99&lt;=Нормативы!$L$95, "КМС", IF(L99&lt;=Нормативы!$L$96, "I", IF(L99&lt;=Нормативы!$L$97, "II", IF(L99&lt;=Нормативы!$L$98, "III", IF(L99&lt;=Нормативы!$L$99, "I юн", IF(L99&lt;=Нормативы!$L$100, "II юн", IF(L99&lt;=Нормативы!$L$101, "III юн", "б/р")))))))))))</f>
        <v>I юн</v>
      </c>
      <c r="N99" s="91" t="str">
        <f>IF(ISBLANK(L99), " ", IF(ISTEXT(L99), " ", IF(L99&lt;=Нормативы!$H$93, "КМС", IF(L99&lt;=Нормативы!$H$94, "КМС", IF(L99&lt;=Нормативы!$L$95, "КМС", IF(L99&lt;=Нормативы!$L$96, "I", IF(L99&lt;=Нормативы!$L$97, "II", IF(L99&lt;=Нормативы!$L$98, "III", IF(L99&lt;=Нормативы!$L$99, "I юн", IF(L99&lt;=Нормативы!$L$100, "II юн", IF(L99&lt;=Нормативы!$L$101, "III юн", "б/р")))))))))))</f>
        <v>I юн</v>
      </c>
      <c r="Q99" s="91" t="str">
        <f t="shared" si="16"/>
        <v xml:space="preserve"> </v>
      </c>
    </row>
    <row r="100" spans="3:33" x14ac:dyDescent="0.2">
      <c r="C100" s="3"/>
      <c r="D100" s="4"/>
      <c r="E100" s="4"/>
      <c r="F100" s="3"/>
      <c r="G100" s="3"/>
      <c r="H100" s="225">
        <v>230</v>
      </c>
      <c r="I100" s="91" t="str">
        <f>IF(ISBLANK(H100), " ", IF(ISTEXT(H100), " ", IF(H100&lt;=Нормативы!$H$93, "МСМК", IF(H100&lt;=Нормативы!$H$94, "МС", IF(H100&lt;=Нормативы!$H$95, "КМС", IF(H100&lt;=Нормативы!$H$96, "I", IF(H100&lt;=Нормативы!$H$97, "II", IF(H100&lt;=Нормативы!$H$98, "III", IF(H100&lt;=Нормативы!$H$99, "I юн", IF(H100&lt;=Нормативы!$H$100, "II юн", IF(H100&lt;=Нормативы!$H$101, "III юн", "б/р")))))))))))</f>
        <v>II юн</v>
      </c>
      <c r="J100" s="91" t="str">
        <f>IF(ISBLANK(H100), " ", IF(ISTEXT(H100), " ", IF(H100&lt;=Нормативы!$H$93, "МСМК", IF(H100&lt;=Нормативы!$H$94, "МС", IF(H100&lt;=Нормативы!$H$95, "КМС", IF(H100&lt;=Нормативы!$H$96, "I", IF(H100&lt;=Нормативы!$H$97, "II", IF(H100&lt;=Нормативы!$H$98, "III", IF(H100&lt;=Нормативы!$H$99, "I юн", IF(H100&lt;=Нормативы!$H$100, "II юн", IF(H100&lt;=Нормативы!$H$101, "III юн", "б/р")))))))))))</f>
        <v>II юн</v>
      </c>
      <c r="K100" s="226"/>
      <c r="L100" s="225">
        <f t="shared" si="17"/>
        <v>229.8</v>
      </c>
      <c r="M100" s="91" t="str">
        <f>IF(ISBLANK(L100), " ", IF(ISTEXT(L100), " ", IF(L100&lt;=Нормативы!$H$93, "КМС", IF(L100&lt;=Нормативы!$H$94, "КМС", IF(L100&lt;=Нормативы!$L$95, "КМС", IF(L100&lt;=Нормативы!$L$96, "I", IF(L100&lt;=Нормативы!$L$97, "II", IF(L100&lt;=Нормативы!$L$98, "III", IF(L100&lt;=Нормативы!$L$99, "I юн", IF(L100&lt;=Нормативы!$L$100, "II юн", IF(L100&lt;=Нормативы!$L$101, "III юн", "б/р")))))))))))</f>
        <v>II юн</v>
      </c>
      <c r="N100" s="91" t="str">
        <f>IF(ISBLANK(L100), " ", IF(ISTEXT(L100), " ", IF(L100&lt;=Нормативы!$H$93, "КМС", IF(L100&lt;=Нормативы!$H$94, "КМС", IF(L100&lt;=Нормативы!$L$95, "КМС", IF(L100&lt;=Нормативы!$L$96, "I", IF(L100&lt;=Нормативы!$L$97, "II", IF(L100&lt;=Нормативы!$L$98, "III", IF(L100&lt;=Нормативы!$L$99, "I юн", IF(L100&lt;=Нормативы!$L$100, "II юн", IF(L100&lt;=Нормативы!$L$101, "III юн", "б/р")))))))))))</f>
        <v>II юн</v>
      </c>
      <c r="Q100" s="91" t="str">
        <f t="shared" si="16"/>
        <v xml:space="preserve"> </v>
      </c>
    </row>
    <row r="101" spans="3:33" x14ac:dyDescent="0.2">
      <c r="C101" s="3"/>
      <c r="D101" s="4"/>
      <c r="E101" s="4"/>
      <c r="F101" s="3"/>
      <c r="G101" s="3"/>
      <c r="H101" s="225">
        <v>240.20000000000002</v>
      </c>
      <c r="I101" s="91" t="str">
        <f>IF(ISBLANK(H101), " ", IF(ISTEXT(H101), " ", IF(H101&lt;=Нормативы!$H$93, "МСМК", IF(H101&lt;=Нормативы!$H$94, "МС", IF(H101&lt;=Нормативы!$H$95, "КМС", IF(H101&lt;=Нормативы!$H$96, "I", IF(H101&lt;=Нормативы!$H$97, "II", IF(H101&lt;=Нормативы!$H$98, "III", IF(H101&lt;=Нормативы!$H$99, "I юн", IF(H101&lt;=Нормативы!$H$100, "II юн", IF(H101&lt;=Нормативы!$H$101, "III юн", "б/р")))))))))))</f>
        <v>III юн</v>
      </c>
      <c r="J101" s="91" t="str">
        <f>IF(ISBLANK(H101), " ", IF(ISTEXT(H101), " ", IF(H101&lt;=Нормативы!$H$93, "МСМК", IF(H101&lt;=Нормативы!$H$94, "МС", IF(H101&lt;=Нормативы!$H$95, "КМС", IF(H101&lt;=Нормативы!$H$96, "I", IF(H101&lt;=Нормативы!$H$97, "II", IF(H101&lt;=Нормативы!$H$98, "III", IF(H101&lt;=Нормативы!$H$99, "I юн", IF(H101&lt;=Нормативы!$H$100, "II юн", IF(H101&lt;=Нормативы!$H$101, "III юн", "б/р")))))))))))</f>
        <v>III юн</v>
      </c>
      <c r="K101" s="226"/>
      <c r="L101" s="225">
        <f>H101-0.4</f>
        <v>239.8</v>
      </c>
      <c r="M101" s="91" t="str">
        <f>IF(ISBLANK(L101), " ", IF(ISTEXT(L101), " ", IF(L101&lt;=Нормативы!$H$93, "КМС", IF(L101&lt;=Нормативы!$H$94, "КМС", IF(L101&lt;=Нормативы!$L$95, "КМС", IF(L101&lt;=Нормативы!$L$96, "I", IF(L101&lt;=Нормативы!$L$97, "II", IF(L101&lt;=Нормативы!$L$98, "III", IF(L101&lt;=Нормативы!$L$99, "I юн", IF(L101&lt;=Нормативы!$L$100, "II юн", IF(L101&lt;=Нормативы!$L$101, "III юн", "б/р")))))))))))</f>
        <v>III юн</v>
      </c>
      <c r="N101" s="91" t="str">
        <f>IF(ISBLANK(L101), " ", IF(ISTEXT(L101), " ", IF(L101&lt;=Нормативы!$H$93, "КМС", IF(L101&lt;=Нормативы!$H$94, "КМС", IF(L101&lt;=Нормативы!$L$95, "КМС", IF(L101&lt;=Нормативы!$L$96, "I", IF(L101&lt;=Нормативы!$L$97, "II", IF(L101&lt;=Нормативы!$L$98, "III", IF(L101&lt;=Нормативы!$L$99, "I юн", IF(L101&lt;=Нормативы!$L$100, "II юн", IF(L101&lt;=Нормативы!$L$101, "III юн", "б/р")))))))))))</f>
        <v>III юн</v>
      </c>
      <c r="Q101" s="91" t="str">
        <f t="shared" si="16"/>
        <v xml:space="preserve"> </v>
      </c>
    </row>
    <row r="102" spans="3:33" x14ac:dyDescent="0.2">
      <c r="C102" s="217"/>
      <c r="D102" s="217"/>
      <c r="E102" s="217"/>
      <c r="F102" s="217"/>
      <c r="G102" s="217"/>
      <c r="H102" s="225"/>
      <c r="I102" s="91" t="str">
        <f>IF(ISBLANK(H102), " ", IF(ISTEXT(H102), " ", IF(H102&lt;=132.9, "МСМК", IF(H102&lt;=137.5, "МС", IF(H102&lt;=142.2, "КМС", IF(H102&lt;=149.6, "I", IF(H102&lt;=158.9, "II", IF(H102&lt;=209.1, "III", IF(H102&lt;=221.2, "I юн", IF(H102&lt;=234.2, "II юн", IF(H102&lt;=247.2, "III юн", "б/р")))))))))))</f>
        <v xml:space="preserve"> </v>
      </c>
      <c r="J102" s="91" t="str">
        <f>IF(ISBLANK(H102), " ", IF(ISTEXT(H102), " ", IF(H102&lt;=132.9, "МСМК", IF(H102&lt;=137.5, "МС", IF(H102&lt;=142.2, "КМС", IF(H102&lt;=149.6, "I", IF(H102&lt;=158.9, "II", IF(H102&lt;=209.1, "III", IF(H102&lt;=221.2, "I юн", IF(H102&lt;=234.2, "II юн", IF(H102&lt;=247.2, "III юн", "б/р")))))))))))</f>
        <v xml:space="preserve"> </v>
      </c>
      <c r="K102" s="226"/>
      <c r="L102" s="234"/>
      <c r="M102" s="91" t="str">
        <f>IF(ISBLANK(L102), " ", IF(ISTEXT(L102), " ", IF(L102&lt;=132.9, "МСМК", IF(L102&lt;=137.5, "МС", IF(L102&lt;=142.2, "КМС", IF(L102&lt;=149.6, "I", IF(L102&lt;=158.9, "II", IF(L102&lt;=209.1, "III", IF(L102&lt;=221.2, "I юн", IF(L102&lt;=234.2, "II юн", IF(L102&lt;=247.2, "III юн", "б/р")))))))))))</f>
        <v xml:space="preserve"> </v>
      </c>
      <c r="N102" s="91" t="str">
        <f>IF(ISBLANK(L102), " ", IF(ISTEXT(L102), " ", IF(L102&lt;=132.9, "МСМК", IF(L102&lt;=137.5, "МС", IF(L102&lt;=142.2, "КМС", IF(L102&lt;=149.6, "I", IF(L102&lt;=158.9, "II", IF(L102&lt;=209.1, "III", IF(L102&lt;=221.2, "I юн", IF(L102&lt;=234.2, "II юн", IF(L102&lt;=247.2, "III юн", "б/р")))))))))))</f>
        <v xml:space="preserve"> </v>
      </c>
      <c r="P102" s="233"/>
      <c r="Q102" s="91" t="str">
        <f>IF(ISBLANK(P102), " ", IF(ISTEXT(P102), " ", IF(P102&lt;=132.9, "МСМК", IF(P102&lt;=137.5, "МС", IF(P102&lt;=142.2, "КМС", IF(P102&lt;=149.6, "I", IF(P102&lt;=158.9, "II", IF(P102&lt;=209.1, "III", IF(P102&lt;=221.2, "I юн", IF(P102&lt;=234.2, "II юн", IF(P102&lt;=247.2, "III юн", "б/р")))))))))))</f>
        <v xml:space="preserve"> </v>
      </c>
      <c r="R102" s="233"/>
      <c r="S102" s="233"/>
      <c r="T102" s="233"/>
      <c r="U102" s="233"/>
      <c r="V102" s="233"/>
      <c r="W102" s="233"/>
      <c r="X102" s="233"/>
      <c r="Y102" s="233"/>
      <c r="Z102" s="233"/>
      <c r="AA102" s="233"/>
      <c r="AB102" s="224"/>
      <c r="AC102" s="224"/>
      <c r="AD102" s="224"/>
      <c r="AE102" s="224"/>
      <c r="AF102" s="224"/>
      <c r="AG102" s="224"/>
    </row>
    <row r="103" spans="3:33" x14ac:dyDescent="0.2">
      <c r="C103" s="58" t="s">
        <v>386</v>
      </c>
      <c r="D103" s="106"/>
      <c r="E103" s="106"/>
      <c r="F103" s="58"/>
      <c r="G103" s="58"/>
      <c r="H103" s="225"/>
      <c r="I103" s="217"/>
      <c r="J103" s="217"/>
      <c r="K103" s="235"/>
      <c r="L103" s="217"/>
      <c r="M103" s="217"/>
      <c r="N103" s="217"/>
      <c r="P103" s="224"/>
      <c r="Q103" s="217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</row>
    <row r="104" spans="3:33" x14ac:dyDescent="0.2">
      <c r="C104" s="3"/>
      <c r="D104" s="4"/>
      <c r="E104" s="4"/>
      <c r="F104" s="3"/>
      <c r="G104" s="3"/>
      <c r="H104" s="225">
        <v>122.5</v>
      </c>
      <c r="I104" s="91" t="str">
        <f>IF(ISBLANK(H104), " ", IF(ISTEXT(H104), " ", IF(H104&lt;=Нормативы!$H$104, "МСМК", IF(H104&lt;=Нормативы!$H$105, "МС", IF(H104&lt;=Нормативы!$H$106, "КМС", IF(H104&lt;=Нормативы!$H$107, "I", IF(H104&lt;=Нормативы!$H$108, "II", IF(H104&lt;=Нормативы!$H$109, "III", IF(H104&lt;=Нормативы!$H$110, "I юн", IF(H104&lt;=Нормативы!$H$111, "II юн", IF(H104&lt;=Нормативы!$H$112, "III юн", "б/р")))))))))))</f>
        <v>МСМК</v>
      </c>
      <c r="J104" s="91" t="str">
        <f>IF(ISBLANK(H104), " ", IF(ISTEXT(H104), " ", IF(H104&lt;=Нормативы!$H$104, "МСМК", IF(H104&lt;=Нормативы!$H$105, "МС", IF(H104&lt;=Нормативы!$H$106, "КМС", IF(H104&lt;=Нормативы!$H$107, "I", IF(H104&lt;=Нормативы!$H$108, "II", IF(H104&lt;=Нормативы!$H$109, "III", IF(H104&lt;=Нормативы!$H$110, "I юн", IF(H104&lt;=Нормативы!$H$111, "II юн", IF(H104&lt;=Нормативы!$H$112, "III юн", "б/р")))))))))))</f>
        <v>МСМК</v>
      </c>
      <c r="K104" s="226"/>
      <c r="L104" s="225"/>
      <c r="M104" s="91" t="str">
        <f>IF(ISBLANK(L104), " ", IF(ISTEXT(L104), " ", IF(L104&lt;=Нормативы!$H$104, "КМС", IF(L104&lt;=Нормативы!$H$105, "КМС", IF(L104&lt;=Нормативы!$L$106, "КМС", IF(L104&lt;=Нормативы!$L$107, "I", IF(L104&lt;=Нормативы!$L$108, "II", IF(L104&lt;=Нормативы!$L$109, "III", IF(L104&lt;=Нормативы!$L$110, "I юн", IF(L104&lt;=Нормативы!$L$111, "II юн", IF(L104&lt;=Нормативы!$L$112, "III юн", "б/р")))))))))))</f>
        <v xml:space="preserve"> </v>
      </c>
      <c r="N104" s="91" t="str">
        <f>IF(ISBLANK(L104), " ", IF(ISTEXT(L104), " ", IF(L104&lt;=123.2, "МСМК", IF(L104&lt;=127.4, "МС", IF(L104&lt;=131.5, "КМС", IF(L104&lt;=138, "I", IF(L104&lt;=147, "II", IF(L104&lt;=155.5, "III", IF(L104&lt;=207.5, "I юн", IF(L104&lt;=219.3, "II юн", IF(L104&lt;=231, "III юн", "б/р")))))))))))</f>
        <v xml:space="preserve"> </v>
      </c>
      <c r="Q104" s="91" t="str">
        <f t="shared" ref="Q104:Q112" si="18">IF(ISBLANK(P104), " ", IF(ISTEXT(P104), " ", IF(P104&lt;=$H$104, "МСМК", IF(P104&lt;=$H$105, "МС", IF(P104&lt;=$H$106, "КМС", IF(P104&lt;=$H$107, "I", IF(P104&lt;=$H$108, "II", IF(P104&lt;=$H$109, "III", IF(P104&lt;=$H$110, "I юн", IF(P104&lt;=$H$111, "II юн", IF(P104&lt;=$H$112, "III юн", "б/р")))))))))))</f>
        <v xml:space="preserve"> </v>
      </c>
    </row>
    <row r="105" spans="3:33" x14ac:dyDescent="0.2">
      <c r="C105" s="3"/>
      <c r="D105" s="4"/>
      <c r="E105" s="4"/>
      <c r="F105" s="3"/>
      <c r="G105" s="3"/>
      <c r="H105" s="225">
        <v>126</v>
      </c>
      <c r="I105" s="91" t="str">
        <f>IF(ISBLANK(H105), " ", IF(ISTEXT(H105), " ", IF(H105&lt;=Нормативы!$H$104, "МСМК", IF(H105&lt;=Нормативы!$H$105, "МС", IF(H105&lt;=Нормативы!$H$106, "КМС", IF(H105&lt;=Нормативы!$H$107, "I", IF(H105&lt;=Нормативы!$H$108, "II", IF(H105&lt;=Нормативы!$H$109, "III", IF(H105&lt;=Нормативы!$H$110, "I юн", IF(H105&lt;=Нормативы!$H$111, "II юн", IF(H105&lt;=Нормативы!$H$112, "III юн", "б/р")))))))))))</f>
        <v>МС</v>
      </c>
      <c r="J105" s="91" t="str">
        <f>IF(ISBLANK(H105), " ", IF(ISTEXT(H105), " ", IF(H105&lt;=Нормативы!$H$104, "МСМК", IF(H105&lt;=Нормативы!$H$105, "МС", IF(H105&lt;=Нормативы!$H$106, "КМС", IF(H105&lt;=Нормативы!$H$107, "I", IF(H105&lt;=Нормативы!$H$108, "II", IF(H105&lt;=Нормативы!$H$109, "III", IF(H105&lt;=Нормативы!$H$110, "I юн", IF(H105&lt;=Нормативы!$H$111, "II юн", IF(H105&lt;=Нормативы!$H$112, "III юн", "б/р")))))))))))</f>
        <v>МС</v>
      </c>
      <c r="K105" s="226"/>
      <c r="L105" s="225"/>
      <c r="M105" s="91" t="str">
        <f>IF(ISBLANK(L105), " ", IF(ISTEXT(L105), " ", IF(L105&lt;=Нормативы!$H$104, "КМС", IF(L105&lt;=Нормативы!$H$105, "КМС", IF(L105&lt;=Нормативы!$L$106, "КМС", IF(L105&lt;=Нормативы!$L$107, "I", IF(L105&lt;=Нормативы!$L$108, "II", IF(L105&lt;=Нормативы!$L$109, "III", IF(L105&lt;=Нормативы!$L$110, "I юн", IF(L105&lt;=Нормативы!$L$111, "II юн", IF(L105&lt;=Нормативы!$L$112, "III юн", "б/р")))))))))))</f>
        <v xml:space="preserve"> </v>
      </c>
      <c r="N105" s="91" t="str">
        <f>IF(ISBLANK(L105), " ", IF(ISTEXT(L105), " ", IF(L105&lt;=123.2, "МСМК", IF(L105&lt;=127.4, "МС", IF(L105&lt;=131.5, "КМС", IF(L105&lt;=138, "I", IF(L105&lt;=147, "II", IF(L105&lt;=155.5, "III", IF(L105&lt;=207.5, "I юн", IF(L105&lt;=219.3, "II юн", IF(L105&lt;=231, "III юн", "б/р")))))))))))</f>
        <v xml:space="preserve"> </v>
      </c>
      <c r="Q105" s="91" t="str">
        <f t="shared" si="18"/>
        <v xml:space="preserve"> </v>
      </c>
    </row>
    <row r="106" spans="3:33" x14ac:dyDescent="0.2">
      <c r="C106" s="3"/>
      <c r="D106" s="4"/>
      <c r="E106" s="4"/>
      <c r="F106" s="3"/>
      <c r="G106" s="3"/>
      <c r="H106" s="225">
        <v>130.69999999999999</v>
      </c>
      <c r="I106" s="91" t="str">
        <f>IF(ISBLANK(H106), " ", IF(ISTEXT(H106), " ", IF(H106&lt;=Нормативы!$H$104, "МСМК", IF(H106&lt;=Нормативы!$H$105, "МС", IF(H106&lt;=Нормативы!$H$106, "КМС", IF(H106&lt;=Нормативы!$H$107, "I", IF(H106&lt;=Нормативы!$H$108, "II", IF(H106&lt;=Нормативы!$H$109, "III", IF(H106&lt;=Нормативы!$H$110, "I юн", IF(H106&lt;=Нормативы!$H$111, "II юн", IF(H106&lt;=Нормативы!$H$112, "III юн", "б/р")))))))))))</f>
        <v>КМС</v>
      </c>
      <c r="J106" s="91" t="str">
        <f>IF(ISBLANK(H106), " ", IF(ISTEXT(H106), " ", IF(H106&lt;=Нормативы!$H$104, "МСМК", IF(H106&lt;=Нормативы!$H$105, "МС", IF(H106&lt;=Нормативы!$H$106, "КМС", IF(H106&lt;=Нормативы!$H$107, "I", IF(H106&lt;=Нормативы!$H$108, "II", IF(H106&lt;=Нормативы!$H$109, "III", IF(H106&lt;=Нормативы!$H$110, "I юн", IF(H106&lt;=Нормативы!$H$111, "II юн", IF(H106&lt;=Нормативы!$H$112, "III юн", "б/р")))))))))))</f>
        <v>КМС</v>
      </c>
      <c r="K106" s="226"/>
      <c r="L106" s="225">
        <f t="shared" ref="L106:L112" si="19">H106-0.2</f>
        <v>130.5</v>
      </c>
      <c r="M106" s="91" t="str">
        <f>IF(ISBLANK(L106), " ", IF(ISTEXT(L106), " ", IF(L106&lt;=Нормативы!$H$104, "КМС", IF(L106&lt;=Нормативы!$H$105, "КМС", IF(L106&lt;=Нормативы!$L$106, "КМС", IF(L106&lt;=Нормативы!$L$107, "I", IF(L106&lt;=Нормативы!$L$108, "II", IF(L106&lt;=Нормативы!$L$109, "III", IF(L106&lt;=Нормативы!$L$110, "I юн", IF(L106&lt;=Нормативы!$L$111, "II юн", IF(L106&lt;=Нормативы!$L$112, "III юн", "б/р")))))))))))</f>
        <v>КМС</v>
      </c>
      <c r="N106" s="91" t="str">
        <f>IF(ISBLANK(L106), " ", IF(ISTEXT(L106), " ", IF(L106&lt;=Нормативы!$H$104, "КМС", IF(L106&lt;=Нормативы!$H$105, "КМС", IF(L106&lt;=Нормативы!$L$106, "КМС", IF(L106&lt;=Нормативы!$L$107, "I", IF(L106&lt;=Нормативы!$L$108, "II", IF(L106&lt;=Нормативы!$L$109, "III", IF(L106&lt;=Нормативы!$L$110, "I юн", IF(L106&lt;=Нормативы!$L$111, "II юн", IF(L106&lt;=Нормативы!$L$112, "III юн", "б/р")))))))))))</f>
        <v>КМС</v>
      </c>
      <c r="Q106" s="91" t="str">
        <f t="shared" si="18"/>
        <v xml:space="preserve"> </v>
      </c>
    </row>
    <row r="107" spans="3:33" x14ac:dyDescent="0.2">
      <c r="C107" s="3"/>
      <c r="D107" s="4"/>
      <c r="E107" s="4"/>
      <c r="F107" s="3"/>
      <c r="G107" s="3"/>
      <c r="H107" s="225">
        <v>137.19999999999999</v>
      </c>
      <c r="I107" s="91" t="str">
        <f>IF(ISBLANK(H107), " ", IF(ISTEXT(H107), " ", IF(H107&lt;=Нормативы!$H$104, "МСМК", IF(H107&lt;=Нормативы!$H$105, "МС", IF(H107&lt;=Нормативы!$H$106, "КМС", IF(H107&lt;=Нормативы!$H$107, "I", IF(H107&lt;=Нормативы!$H$108, "II", IF(H107&lt;=Нормативы!$H$109, "III", IF(H107&lt;=Нормативы!$H$110, "I юн", IF(H107&lt;=Нормативы!$H$111, "II юн", IF(H107&lt;=Нормативы!$H$112, "III юн", "б/р")))))))))))</f>
        <v>I</v>
      </c>
      <c r="J107" s="91" t="str">
        <f>IF(ISBLANK(H107), " ", IF(ISTEXT(H107), " ", IF(H107&lt;=Нормативы!$H$104, "МСМК", IF(H107&lt;=Нормативы!$H$105, "МС", IF(H107&lt;=Нормативы!$H$106, "КМС", IF(H107&lt;=Нормативы!$H$107, "I", IF(H107&lt;=Нормативы!$H$108, "II", IF(H107&lt;=Нормативы!$H$109, "III", IF(H107&lt;=Нормативы!$H$110, "I юн", IF(H107&lt;=Нормативы!$H$111, "II юн", IF(H107&lt;=Нормативы!$H$112, "III юн", "б/р")))))))))))</f>
        <v>I</v>
      </c>
      <c r="K107" s="226"/>
      <c r="L107" s="225">
        <f t="shared" si="19"/>
        <v>137</v>
      </c>
      <c r="M107" s="91" t="str">
        <f>IF(ISBLANK(L107), " ", IF(ISTEXT(L107), " ", IF(L107&lt;=Нормативы!$H$104, "КМС", IF(L107&lt;=Нормативы!$H$105, "КМС", IF(L107&lt;=Нормативы!$L$106, "КМС", IF(L107&lt;=Нормативы!$L$107, "I", IF(L107&lt;=Нормативы!$L$108, "II", IF(L107&lt;=Нормативы!$L$109, "III", IF(L107&lt;=Нормативы!$L$110, "I юн", IF(L107&lt;=Нормативы!$L$111, "II юн", IF(L107&lt;=Нормативы!$L$112, "III юн", "б/р")))))))))))</f>
        <v>I</v>
      </c>
      <c r="N107" s="91" t="str">
        <f>IF(ISBLANK(L107), " ", IF(ISTEXT(L107), " ", IF(L107&lt;=Нормативы!$H$104, "КМС", IF(L107&lt;=Нормативы!$H$105, "КМС", IF(L107&lt;=Нормативы!$L$106, "КМС", IF(L107&lt;=Нормативы!$L$107, "I", IF(L107&lt;=Нормативы!$L$108, "II", IF(L107&lt;=Нормативы!$L$109, "III", IF(L107&lt;=Нормативы!$L$110, "I юн", IF(L107&lt;=Нормативы!$L$111, "II юн", IF(L107&lt;=Нормативы!$L$112, "III юн", "б/р")))))))))))</f>
        <v>I</v>
      </c>
      <c r="Q107" s="91" t="str">
        <f t="shared" si="18"/>
        <v xml:space="preserve"> </v>
      </c>
    </row>
    <row r="108" spans="3:33" x14ac:dyDescent="0.2">
      <c r="C108" s="3"/>
      <c r="D108" s="4"/>
      <c r="E108" s="4"/>
      <c r="F108" s="3"/>
      <c r="G108" s="3"/>
      <c r="H108" s="225">
        <v>146.19999999999999</v>
      </c>
      <c r="I108" s="91" t="str">
        <f>IF(ISBLANK(H108), " ", IF(ISTEXT(H108), " ", IF(H108&lt;=Нормативы!$H$104, "МСМК", IF(H108&lt;=Нормативы!$H$105, "МС", IF(H108&lt;=Нормативы!$H$106, "КМС", IF(H108&lt;=Нормативы!$H$107, "I", IF(H108&lt;=Нормативы!$H$108, "II", IF(H108&lt;=Нормативы!$H$109, "III", IF(H108&lt;=Нормативы!$H$110, "I юн", IF(H108&lt;=Нормативы!$H$111, "II юн", IF(H108&lt;=Нормативы!$H$112, "III юн", "б/р")))))))))))</f>
        <v>II</v>
      </c>
      <c r="J108" s="91" t="str">
        <f>IF(ISBLANK(H108), " ", IF(ISTEXT(H108), " ", IF(H108&lt;=Нормативы!$H$104, "МСМК", IF(H108&lt;=Нормативы!$H$105, "МС", IF(H108&lt;=Нормативы!$H$106, "КМС", IF(H108&lt;=Нормативы!$H$107, "I", IF(H108&lt;=Нормативы!$H$108, "II", IF(H108&lt;=Нормативы!$H$109, "III", IF(H108&lt;=Нормативы!$H$110, "I юн", IF(H108&lt;=Нормативы!$H$111, "II юн", IF(H108&lt;=Нормативы!$H$112, "III юн", "б/р")))))))))))</f>
        <v>II</v>
      </c>
      <c r="K108" s="226"/>
      <c r="L108" s="225">
        <f t="shared" si="19"/>
        <v>146</v>
      </c>
      <c r="M108" s="91" t="str">
        <f>IF(ISBLANK(L108), " ", IF(ISTEXT(L108), " ", IF(L108&lt;=Нормативы!$H$104, "КМС", IF(L108&lt;=Нормативы!$H$105, "КМС", IF(L108&lt;=Нормативы!$L$106, "КМС", IF(L108&lt;=Нормативы!$L$107, "I", IF(L108&lt;=Нормативы!$L$108, "II", IF(L108&lt;=Нормативы!$L$109, "III", IF(L108&lt;=Нормативы!$L$110, "I юн", IF(L108&lt;=Нормативы!$L$111, "II юн", IF(L108&lt;=Нормативы!$L$112, "III юн", "б/р")))))))))))</f>
        <v>II</v>
      </c>
      <c r="N108" s="91" t="str">
        <f>IF(ISBLANK(L108), " ", IF(ISTEXT(L108), " ", IF(L108&lt;=Нормативы!$H$104, "КМС", IF(L108&lt;=Нормативы!$H$105, "КМС", IF(L108&lt;=Нормативы!$L$106, "КМС", IF(L108&lt;=Нормативы!$L$107, "I", IF(L108&lt;=Нормативы!$L$108, "II", IF(L108&lt;=Нормативы!$L$109, "III", IF(L108&lt;=Нормативы!$L$110, "I юн", IF(L108&lt;=Нормативы!$L$111, "II юн", IF(L108&lt;=Нормативы!$L$112, "III юн", "б/р")))))))))))</f>
        <v>II</v>
      </c>
      <c r="Q108" s="91" t="str">
        <f t="shared" si="18"/>
        <v xml:space="preserve"> </v>
      </c>
    </row>
    <row r="109" spans="3:33" x14ac:dyDescent="0.2">
      <c r="C109" s="3"/>
      <c r="D109" s="4"/>
      <c r="E109" s="4"/>
      <c r="F109" s="3"/>
      <c r="G109" s="3"/>
      <c r="H109" s="225">
        <v>154.79999999999998</v>
      </c>
      <c r="I109" s="91" t="str">
        <f>IF(ISBLANK(H109), " ", IF(ISTEXT(H109), " ", IF(H109&lt;=Нормативы!$H$104, "МСМК", IF(H109&lt;=Нормативы!$H$105, "МС", IF(H109&lt;=Нормативы!$H$106, "КМС", IF(H109&lt;=Нормативы!$H$107, "I", IF(H109&lt;=Нормативы!$H$108, "II", IF(H109&lt;=Нормативы!$H$109, "III", IF(H109&lt;=Нормативы!$H$110, "I юн", IF(H109&lt;=Нормативы!$H$111, "II юн", IF(H109&lt;=Нормативы!$H$112, "III юн", "б/р")))))))))))</f>
        <v>III</v>
      </c>
      <c r="J109" s="91" t="str">
        <f>IF(ISBLANK(H109), " ", IF(ISTEXT(H109), " ", IF(H109&lt;=Нормативы!$H$104, "МСМК", IF(H109&lt;=Нормативы!$H$105, "МС", IF(H109&lt;=Нормативы!$H$106, "КМС", IF(H109&lt;=Нормативы!$H$107, "I", IF(H109&lt;=Нормативы!$H$108, "II", IF(H109&lt;=Нормативы!$H$109, "III", IF(H109&lt;=Нормативы!$H$110, "I юн", IF(H109&lt;=Нормативы!$H$111, "II юн", IF(H109&lt;=Нормативы!$H$112, "III юн", "б/р")))))))))))</f>
        <v>III</v>
      </c>
      <c r="K109" s="226"/>
      <c r="L109" s="225">
        <f t="shared" si="19"/>
        <v>154.6</v>
      </c>
      <c r="M109" s="91" t="str">
        <f>IF(ISBLANK(L109), " ", IF(ISTEXT(L109), " ", IF(L109&lt;=Нормативы!$H$104, "КМС", IF(L109&lt;=Нормативы!$H$105, "КМС", IF(L109&lt;=Нормативы!$L$106, "КМС", IF(L109&lt;=Нормативы!$L$107, "I", IF(L109&lt;=Нормативы!$L$108, "II", IF(L109&lt;=Нормативы!$L$109, "III", IF(L109&lt;=Нормативы!$L$110, "I юн", IF(L109&lt;=Нормативы!$L$111, "II юн", IF(L109&lt;=Нормативы!$L$112, "III юн", "б/р")))))))))))</f>
        <v>III</v>
      </c>
      <c r="N109" s="91" t="str">
        <f>IF(ISBLANK(L109), " ", IF(ISTEXT(L109), " ", IF(L109&lt;=Нормативы!$H$104, "КМС", IF(L109&lt;=Нормативы!$H$105, "КМС", IF(L109&lt;=Нормативы!$L$106, "КМС", IF(L109&lt;=Нормативы!$L$107, "I", IF(L109&lt;=Нормативы!$L$108, "II", IF(L109&lt;=Нормативы!$L$109, "III", IF(L109&lt;=Нормативы!$L$110, "I юн", IF(L109&lt;=Нормативы!$L$111, "II юн", IF(L109&lt;=Нормативы!$L$112, "III юн", "б/р")))))))))))</f>
        <v>III</v>
      </c>
      <c r="Q109" s="91" t="str">
        <f t="shared" si="18"/>
        <v xml:space="preserve"> </v>
      </c>
    </row>
    <row r="110" spans="3:33" x14ac:dyDescent="0.2">
      <c r="C110" s="3"/>
      <c r="D110" s="4"/>
      <c r="E110" s="4"/>
      <c r="F110" s="3"/>
      <c r="G110" s="3"/>
      <c r="H110" s="225">
        <v>206.7</v>
      </c>
      <c r="I110" s="91" t="str">
        <f>IF(ISBLANK(H110), " ", IF(ISTEXT(H110), " ", IF(H110&lt;=Нормативы!$H$104, "МСМК", IF(H110&lt;=Нормативы!$H$105, "МС", IF(H110&lt;=Нормативы!$H$106, "КМС", IF(H110&lt;=Нормативы!$H$107, "I", IF(H110&lt;=Нормативы!$H$108, "II", IF(H110&lt;=Нормативы!$H$109, "III", IF(H110&lt;=Нормативы!$H$110, "I юн", IF(H110&lt;=Нормативы!$H$111, "II юн", IF(H110&lt;=Нормативы!$H$112, "III юн", "б/р")))))))))))</f>
        <v>I юн</v>
      </c>
      <c r="J110" s="91" t="str">
        <f>IF(ISBLANK(H110), " ", IF(ISTEXT(H110), " ", IF(H110&lt;=Нормативы!$H$104, "МСМК", IF(H110&lt;=Нормативы!$H$105, "МС", IF(H110&lt;=Нормативы!$H$106, "КМС", IF(H110&lt;=Нормативы!$H$107, "I", IF(H110&lt;=Нормативы!$H$108, "II", IF(H110&lt;=Нормативы!$H$109, "III", IF(H110&lt;=Нормативы!$H$110, "I юн", IF(H110&lt;=Нормативы!$H$111, "II юн", IF(H110&lt;=Нормативы!$H$112, "III юн", "б/р")))))))))))</f>
        <v>I юн</v>
      </c>
      <c r="K110" s="226"/>
      <c r="L110" s="225">
        <f t="shared" si="19"/>
        <v>206.5</v>
      </c>
      <c r="M110" s="91" t="str">
        <f>IF(ISBLANK(L110), " ", IF(ISTEXT(L110), " ", IF(L110&lt;=Нормативы!$H$104, "КМС", IF(L110&lt;=Нормативы!$H$105, "КМС", IF(L110&lt;=Нормативы!$L$106, "КМС", IF(L110&lt;=Нормативы!$L$107, "I", IF(L110&lt;=Нормативы!$L$108, "II", IF(L110&lt;=Нормативы!$L$109, "III", IF(L110&lt;=Нормативы!$L$110, "I юн", IF(L110&lt;=Нормативы!$L$111, "II юн", IF(L110&lt;=Нормативы!$L$112, "III юн", "б/р")))))))))))</f>
        <v>I юн</v>
      </c>
      <c r="N110" s="91" t="str">
        <f>IF(ISBLANK(L110), " ", IF(ISTEXT(L110), " ", IF(L110&lt;=Нормативы!$H$104, "КМС", IF(L110&lt;=Нормативы!$H$105, "КМС", IF(L110&lt;=Нормативы!$L$106, "КМС", IF(L110&lt;=Нормативы!$L$107, "I", IF(L110&lt;=Нормативы!$L$108, "II", IF(L110&lt;=Нормативы!$L$109, "III", IF(L110&lt;=Нормативы!$L$110, "I юн", IF(L110&lt;=Нормативы!$L$111, "II юн", IF(L110&lt;=Нормативы!$L$112, "III юн", "б/р")))))))))))</f>
        <v>I юн</v>
      </c>
      <c r="Q110" s="91" t="str">
        <f t="shared" si="18"/>
        <v xml:space="preserve"> </v>
      </c>
    </row>
    <row r="111" spans="3:33" x14ac:dyDescent="0.2">
      <c r="C111" s="3"/>
      <c r="D111" s="4"/>
      <c r="E111" s="4"/>
      <c r="F111" s="3"/>
      <c r="G111" s="3"/>
      <c r="H111" s="225">
        <v>218.5</v>
      </c>
      <c r="I111" s="91" t="str">
        <f>IF(ISBLANK(H111), " ", IF(ISTEXT(H111), " ", IF(H111&lt;=Нормативы!$H$104, "МСМК", IF(H111&lt;=Нормативы!$H$105, "МС", IF(H111&lt;=Нормативы!$H$106, "КМС", IF(H111&lt;=Нормативы!$H$107, "I", IF(H111&lt;=Нормативы!$H$108, "II", IF(H111&lt;=Нормативы!$H$109, "III", IF(H111&lt;=Нормативы!$H$110, "I юн", IF(H111&lt;=Нормативы!$H$111, "II юн", IF(H111&lt;=Нормативы!$H$112, "III юн", "б/р")))))))))))</f>
        <v>II юн</v>
      </c>
      <c r="J111" s="91" t="str">
        <f>IF(ISBLANK(H111), " ", IF(ISTEXT(H111), " ", IF(H111&lt;=Нормативы!$H$104, "МСМК", IF(H111&lt;=Нормативы!$H$105, "МС", IF(H111&lt;=Нормативы!$H$106, "КМС", IF(H111&lt;=Нормативы!$H$107, "I", IF(H111&lt;=Нормативы!$H$108, "II", IF(H111&lt;=Нормативы!$H$109, "III", IF(H111&lt;=Нормативы!$H$110, "I юн", IF(H111&lt;=Нормативы!$H$111, "II юн", IF(H111&lt;=Нормативы!$H$112, "III юн", "б/р")))))))))))</f>
        <v>II юн</v>
      </c>
      <c r="K111" s="226"/>
      <c r="L111" s="225">
        <f t="shared" si="19"/>
        <v>218.3</v>
      </c>
      <c r="M111" s="91" t="str">
        <f>IF(ISBLANK(L111), " ", IF(ISTEXT(L111), " ", IF(L111&lt;=Нормативы!$H$104, "КМС", IF(L111&lt;=Нормативы!$H$105, "КМС", IF(L111&lt;=Нормативы!$L$106, "КМС", IF(L111&lt;=Нормативы!$L$107, "I", IF(L111&lt;=Нормативы!$L$108, "II", IF(L111&lt;=Нормативы!$L$109, "III", IF(L111&lt;=Нормативы!$L$110, "I юн", IF(L111&lt;=Нормативы!$L$111, "II юн", IF(L111&lt;=Нормативы!$L$112, "III юн", "б/р")))))))))))</f>
        <v>II юн</v>
      </c>
      <c r="N111" s="91" t="str">
        <f>IF(ISBLANK(L111), " ", IF(ISTEXT(L111), " ", IF(L111&lt;=Нормативы!$H$104, "КМС", IF(L111&lt;=Нормативы!$H$105, "КМС", IF(L111&lt;=Нормативы!$L$106, "КМС", IF(L111&lt;=Нормативы!$L$107, "I", IF(L111&lt;=Нормативы!$L$108, "II", IF(L111&lt;=Нормативы!$L$109, "III", IF(L111&lt;=Нормативы!$L$110, "I юн", IF(L111&lt;=Нормативы!$L$111, "II юн", IF(L111&lt;=Нормативы!$L$112, "III юн", "б/р")))))))))))</f>
        <v>II юн</v>
      </c>
      <c r="Q111" s="91" t="str">
        <f t="shared" si="18"/>
        <v xml:space="preserve"> </v>
      </c>
    </row>
    <row r="112" spans="3:33" x14ac:dyDescent="0.2">
      <c r="C112" s="3"/>
      <c r="D112" s="4"/>
      <c r="E112" s="4"/>
      <c r="F112" s="3"/>
      <c r="G112" s="3"/>
      <c r="H112" s="225">
        <v>229.2</v>
      </c>
      <c r="I112" s="91" t="str">
        <f>IF(ISBLANK(H112), " ", IF(ISTEXT(H112), " ", IF(H112&lt;=Нормативы!$H$104, "МСМК", IF(H112&lt;=Нормативы!$H$105, "МС", IF(H112&lt;=Нормативы!$H$106, "КМС", IF(H112&lt;=Нормативы!$H$107, "I", IF(H112&lt;=Нормативы!$H$108, "II", IF(H112&lt;=Нормативы!$H$109, "III", IF(H112&lt;=Нормативы!$H$110, "I юн", IF(H112&lt;=Нормативы!$H$111, "II юн", IF(H112&lt;=Нормативы!$H$112, "III юн", "б/р")))))))))))</f>
        <v>III юн</v>
      </c>
      <c r="J112" s="91" t="str">
        <f>IF(ISBLANK(H112), " ", IF(ISTEXT(H112), " ", IF(H112&lt;=Нормативы!$H$104, "МСМК", IF(H112&lt;=Нормативы!$H$105, "МС", IF(H112&lt;=Нормативы!$H$106, "КМС", IF(H112&lt;=Нормативы!$H$107, "I", IF(H112&lt;=Нормативы!$H$108, "II", IF(H112&lt;=Нормативы!$H$109, "III", IF(H112&lt;=Нормативы!$H$110, "I юн", IF(H112&lt;=Нормативы!$H$111, "II юн", IF(H112&lt;=Нормативы!$H$112, "III юн", "б/р")))))))))))</f>
        <v>III юн</v>
      </c>
      <c r="K112" s="226"/>
      <c r="L112" s="225">
        <f t="shared" si="19"/>
        <v>229</v>
      </c>
      <c r="M112" s="91" t="str">
        <f>IF(ISBLANK(L112), " ", IF(ISTEXT(L112), " ", IF(L112&lt;=Нормативы!$H$104, "КМС", IF(L112&lt;=Нормативы!$H$105, "КМС", IF(L112&lt;=Нормативы!$L$106, "КМС", IF(L112&lt;=Нормативы!$L$107, "I", IF(L112&lt;=Нормативы!$L$108, "II", IF(L112&lt;=Нормативы!$L$109, "III", IF(L112&lt;=Нормативы!$L$110, "I юн", IF(L112&lt;=Нормативы!$L$111, "II юн", IF(L112&lt;=Нормативы!$L$112, "III юн", "б/р")))))))))))</f>
        <v>III юн</v>
      </c>
      <c r="N112" s="91" t="str">
        <f>IF(ISBLANK(L112), " ", IF(ISTEXT(L112), " ", IF(L112&lt;=Нормативы!$H$104, "КМС", IF(L112&lt;=Нормативы!$H$105, "КМС", IF(L112&lt;=Нормативы!$L$106, "КМС", IF(L112&lt;=Нормативы!$L$107, "I", IF(L112&lt;=Нормативы!$L$108, "II", IF(L112&lt;=Нормативы!$L$109, "III", IF(L112&lt;=Нормативы!$L$110, "I юн", IF(L112&lt;=Нормативы!$L$111, "II юн", IF(L112&lt;=Нормативы!$L$112, "III юн", "б/р")))))))))))</f>
        <v>III юн</v>
      </c>
      <c r="Q112" s="91" t="str">
        <f t="shared" si="18"/>
        <v xml:space="preserve"> </v>
      </c>
    </row>
    <row r="113" spans="3:33" x14ac:dyDescent="0.2">
      <c r="C113" s="3"/>
      <c r="D113" s="4"/>
      <c r="E113" s="4"/>
      <c r="F113" s="3"/>
      <c r="G113" s="3"/>
      <c r="H113" s="225"/>
      <c r="I113" s="91"/>
      <c r="J113" s="91"/>
      <c r="K113" s="226"/>
      <c r="L113" s="225"/>
      <c r="M113" s="91"/>
      <c r="N113" s="91"/>
      <c r="Q113" s="91"/>
    </row>
    <row r="114" spans="3:33" x14ac:dyDescent="0.2">
      <c r="C114" s="58" t="s">
        <v>387</v>
      </c>
      <c r="D114" s="217"/>
      <c r="E114" s="217"/>
      <c r="F114" s="217"/>
      <c r="G114" s="217"/>
      <c r="H114" s="234"/>
      <c r="I114" s="217"/>
      <c r="J114" s="217"/>
      <c r="K114" s="235"/>
      <c r="L114" s="217"/>
      <c r="M114" s="217"/>
      <c r="N114" s="217"/>
      <c r="Q114" s="217"/>
    </row>
    <row r="115" spans="3:33" x14ac:dyDescent="0.2">
      <c r="C115" s="217"/>
      <c r="D115" s="217"/>
      <c r="E115" s="217"/>
      <c r="F115" s="217"/>
      <c r="G115" s="217"/>
      <c r="H115" s="222">
        <v>147</v>
      </c>
      <c r="I115" s="91" t="str">
        <f>IF(ISBLANK(H115), " ", IF(ISTEXT(H115), " ", IF(H115&lt;=Нормативы!$H$115, "МСМК", IF(H115&lt;=Нормативы!$H$116, "МС", IF(H115&lt;=Нормативы!$H$117, "КМС", IF(H115&lt;=Нормативы!$H$118, "I", IF(H115&lt;=Нормативы!$H$119, "II", IF(H115&lt;=Нормативы!$H$120, "III", IF(H115&lt;=Нормативы!$H$121, "I юн", IF(H115&lt;=Нормативы!$H$122, "II юн", IF(H115&lt;=Нормативы!$H$123, "III юн", "б/р")))))))))))</f>
        <v>МСМК</v>
      </c>
      <c r="J115" s="91" t="str">
        <f>IF(ISBLANK(H115), " ", IF(ISTEXT(H115), " ", IF(H115&lt;=Нормативы!$H$115, "МСМК", IF(H115&lt;=Нормативы!$H$116, "МС", IF(H115&lt;=Нормативы!$H$117, "КМС", IF(H115&lt;=Нормативы!$H$118, "I", IF(H115&lt;=Нормативы!$H$119, "II", IF(H115&lt;=Нормативы!$H$120, "III", IF(H115&lt;=Нормативы!$H$121, "I юн", IF(H115&lt;=Нормативы!$H$122, "II юн", IF(H115&lt;=Нормативы!$H$123, "III юн", "б/р")))))))))))</f>
        <v>МСМК</v>
      </c>
      <c r="K115" s="226"/>
      <c r="L115" s="222"/>
      <c r="M115" s="91" t="str">
        <f>IF(ISBLANK(L115), " ", IF(ISTEXT(L115), " ", IF(L115&lt;=Нормативы!$H$115, "КМС", IF(L115&lt;=Нормативы!$H$116, "КМС", IF(L115&lt;=Нормативы!$L$117, "КМС", IF(L115&lt;=Нормативы!$L$118, "I", IF(L115&lt;=Нормативы!$L$119, "II", IF(L115&lt;=Нормативы!$L$120, "III", IF(L115&lt;=Нормативы!$L$121, "I юн", IF(L115&lt;=Нормативы!$L$122, "II юн", IF(L115&lt;=Нормативы!$L$123, "III юн", "б/р")))))))))))</f>
        <v xml:space="preserve"> </v>
      </c>
      <c r="N115" s="91" t="str">
        <f>IF(ISBLANK(L115), " ", IF(ISTEXT(L115), " ", IF(L115&lt;=147.5, "МСМК", IF(L115&lt;=152.6, "МС", IF(L115&lt;=157.6, "КМС", IF(L115&lt;=207.3, "I", IF(L115&lt;=216.3, "II", IF(L115&lt;=228, "III", IF(L115&lt;=244, "I юн", IF(L115&lt;=258.5, "II юн", IF(L115&lt;=312, "III юн", "б/р")))))))))))</f>
        <v xml:space="preserve"> </v>
      </c>
      <c r="O115" s="91"/>
      <c r="Q115" s="91" t="str">
        <f t="shared" ref="Q115:Q123" si="20">IF(ISBLANK(P115), " ", IF(ISTEXT(P115), " ", IF(P115&lt;=$H$115, "МСМК", IF(P115&lt;=$H$116, "МС", IF(P115&lt;=$H$117, "КМС", IF(P115&lt;=$H$118, "I", IF(P115&lt;=$H$119, "II", IF(P115&lt;=$H$120, "III", IF(P115&lt;=$H$121, "I юн", IF(P115&lt;=$H$122, "II юн", IF(P115&lt;=$H$123, "III юн", "б/р")))))))))))</f>
        <v xml:space="preserve"> </v>
      </c>
    </row>
    <row r="116" spans="3:33" x14ac:dyDescent="0.2">
      <c r="C116" s="217"/>
      <c r="D116" s="217"/>
      <c r="E116" s="217"/>
      <c r="F116" s="217"/>
      <c r="G116" s="217"/>
      <c r="H116" s="222">
        <v>151</v>
      </c>
      <c r="I116" s="91" t="str">
        <f>IF(ISBLANK(H116), " ", IF(ISTEXT(H116), " ", IF(H116&lt;=Нормативы!$H$115, "МСМК", IF(H116&lt;=Нормативы!$H$116, "МС", IF(H116&lt;=Нормативы!$H$117, "КМС", IF(H116&lt;=Нормативы!$H$118, "I", IF(H116&lt;=Нормативы!$H$119, "II", IF(H116&lt;=Нормативы!$H$120, "III", IF(H116&lt;=Нормативы!$H$121, "I юн", IF(H116&lt;=Нормативы!$H$122, "II юн", IF(H116&lt;=Нормативы!$H$123, "III юн", "б/р")))))))))))</f>
        <v>МС</v>
      </c>
      <c r="J116" s="91" t="str">
        <f>IF(ISBLANK(H116), " ", IF(ISTEXT(H116), " ", IF(H116&lt;=Нормативы!$H$115, "МСМК", IF(H116&lt;=Нормативы!$H$116, "МС", IF(H116&lt;=Нормативы!$H$117, "КМС", IF(H116&lt;=Нормативы!$H$118, "I", IF(H116&lt;=Нормативы!$H$119, "II", IF(H116&lt;=Нормативы!$H$120, "III", IF(H116&lt;=Нормативы!$H$121, "I юн", IF(H116&lt;=Нормативы!$H$122, "II юн", IF(H116&lt;=Нормативы!$H$123, "III юн", "б/р")))))))))))</f>
        <v>МС</v>
      </c>
      <c r="K116" s="226"/>
      <c r="L116" s="222"/>
      <c r="M116" s="91" t="str">
        <f>IF(ISBLANK(L116), " ", IF(ISTEXT(L116), " ", IF(L116&lt;=Нормативы!$H$115, "КМС", IF(L116&lt;=Нормативы!$H$116, "КМС", IF(L116&lt;=Нормативы!$L$117, "КМС", IF(L116&lt;=Нормативы!$L$118, "I", IF(L116&lt;=Нормативы!$L$119, "II", IF(L116&lt;=Нормативы!$L$120, "III", IF(L116&lt;=Нормативы!$L$121, "I юн", IF(L116&lt;=Нормативы!$L$122, "II юн", IF(L116&lt;=Нормативы!$L$123, "III юн", "б/р")))))))))))</f>
        <v xml:space="preserve"> </v>
      </c>
      <c r="N116" s="91" t="str">
        <f>IF(ISBLANK(L116), " ", IF(ISTEXT(L116), " ", IF(L116&lt;=147.5, "МСМК", IF(L116&lt;=152.6, "МС", IF(L116&lt;=157.6, "КМС", IF(L116&lt;=207.3, "I", IF(L116&lt;=216.3, "II", IF(L116&lt;=228, "III", IF(L116&lt;=244, "I юн", IF(L116&lt;=258.5, "II юн", IF(L116&lt;=312, "III юн", "б/р")))))))))))</f>
        <v xml:space="preserve"> </v>
      </c>
      <c r="O116" s="91"/>
      <c r="Q116" s="91" t="str">
        <f t="shared" si="20"/>
        <v xml:space="preserve"> </v>
      </c>
    </row>
    <row r="117" spans="3:33" x14ac:dyDescent="0.2">
      <c r="C117" s="217"/>
      <c r="D117" s="217"/>
      <c r="E117" s="217"/>
      <c r="F117" s="217"/>
      <c r="G117" s="217"/>
      <c r="H117" s="222">
        <v>157.19999999999999</v>
      </c>
      <c r="I117" s="91" t="str">
        <f>IF(ISBLANK(H117), " ", IF(ISTEXT(H117), " ", IF(H117&lt;=Нормативы!$H$115, "МСМК", IF(H117&lt;=Нормативы!$H$116, "МС", IF(H117&lt;=Нормативы!$H$117, "КМС", IF(H117&lt;=Нормативы!$H$118, "I", IF(H117&lt;=Нормативы!$H$119, "II", IF(H117&lt;=Нормативы!$H$120, "III", IF(H117&lt;=Нормативы!$H$121, "I юн", IF(H117&lt;=Нормативы!$H$122, "II юн", IF(H117&lt;=Нормативы!$H$123, "III юн", "б/р")))))))))))</f>
        <v>КМС</v>
      </c>
      <c r="J117" s="91" t="str">
        <f>IF(ISBLANK(H117), " ", IF(ISTEXT(H117), " ", IF(H117&lt;=Нормативы!$H$115, "МСМК", IF(H117&lt;=Нормативы!$H$116, "МС", IF(H117&lt;=Нормативы!$H$117, "КМС", IF(H117&lt;=Нормативы!$H$118, "I", IF(H117&lt;=Нормативы!$H$119, "II", IF(H117&lt;=Нормативы!$H$120, "III", IF(H117&lt;=Нормативы!$H$121, "I юн", IF(H117&lt;=Нормативы!$H$122, "II юн", IF(H117&lt;=Нормативы!$H$123, "III юн", "б/р")))))))))))</f>
        <v>КМС</v>
      </c>
      <c r="K117" s="226"/>
      <c r="L117" s="225">
        <f t="shared" ref="L117:L123" si="21">H117-0.2</f>
        <v>157</v>
      </c>
      <c r="M117" s="91" t="str">
        <f>IF(ISBLANK(L117), " ", IF(ISTEXT(L117), " ", IF(L117&lt;=Нормативы!$H$115, "КМС", IF(L117&lt;=Нормативы!$H$116, "КМС", IF(L117&lt;=Нормативы!$L$117, "КМС", IF(L117&lt;=Нормативы!$L$118, "I", IF(L117&lt;=Нормативы!$L$119, "II", IF(L117&lt;=Нормативы!$L$120, "III", IF(L117&lt;=Нормативы!$L$121, "I юн", IF(L117&lt;=Нормативы!$L$122, "II юн", IF(L117&lt;=Нормативы!$L$123, "III юн", "б/р")))))))))))</f>
        <v>КМС</v>
      </c>
      <c r="N117" s="91" t="str">
        <f>IF(ISBLANK(L117), " ", IF(ISTEXT(L117), " ", IF(L117&lt;=Нормативы!$H$115, "КМС", IF(L117&lt;=Нормативы!$H$116, "КМС", IF(L117&lt;=Нормативы!$L$117, "КМС", IF(L117&lt;=Нормативы!$L$118, "I", IF(L117&lt;=Нормативы!$L$119, "II", IF(L117&lt;=Нормативы!$L$120, "III", IF(L117&lt;=Нормативы!$L$121, "I юн", IF(L117&lt;=Нормативы!$L$122, "II юн", IF(L117&lt;=Нормативы!$L$123, "III юн", "б/р")))))))))))</f>
        <v>КМС</v>
      </c>
      <c r="O117" s="91"/>
      <c r="Q117" s="91" t="str">
        <f t="shared" si="20"/>
        <v xml:space="preserve"> </v>
      </c>
    </row>
    <row r="118" spans="3:33" x14ac:dyDescent="0.2">
      <c r="C118" s="217"/>
      <c r="D118" s="217"/>
      <c r="E118" s="217"/>
      <c r="F118" s="217"/>
      <c r="G118" s="217"/>
      <c r="H118" s="222">
        <v>206.7</v>
      </c>
      <c r="I118" s="91" t="str">
        <f>IF(ISBLANK(H118), " ", IF(ISTEXT(H118), " ", IF(H118&lt;=Нормативы!$H$115, "МСМК", IF(H118&lt;=Нормативы!$H$116, "МС", IF(H118&lt;=Нормативы!$H$117, "КМС", IF(H118&lt;=Нормативы!$H$118, "I", IF(H118&lt;=Нормативы!$H$119, "II", IF(H118&lt;=Нормативы!$H$120, "III", IF(H118&lt;=Нормативы!$H$121, "I юн", IF(H118&lt;=Нормативы!$H$122, "II юн", IF(H118&lt;=Нормативы!$H$123, "III юн", "б/р")))))))))))</f>
        <v>I</v>
      </c>
      <c r="J118" s="91" t="str">
        <f>IF(ISBLANK(H118), " ", IF(ISTEXT(H118), " ", IF(H118&lt;=Нормативы!$H$115, "МСМК", IF(H118&lt;=Нормативы!$H$116, "МС", IF(H118&lt;=Нормативы!$H$117, "КМС", IF(H118&lt;=Нормативы!$H$118, "I", IF(H118&lt;=Нормативы!$H$119, "II", IF(H118&lt;=Нормативы!$H$120, "III", IF(H118&lt;=Нормативы!$H$121, "I юн", IF(H118&lt;=Нормативы!$H$122, "II юн", IF(H118&lt;=Нормативы!$H$123, "III юн", "б/р")))))))))))</f>
        <v>I</v>
      </c>
      <c r="K118" s="226"/>
      <c r="L118" s="225">
        <f t="shared" si="21"/>
        <v>206.5</v>
      </c>
      <c r="M118" s="91" t="str">
        <f>IF(ISBLANK(L118), " ", IF(ISTEXT(L118), " ", IF(L118&lt;=Нормативы!$H$115, "КМС", IF(L118&lt;=Нормативы!$H$116, "КМС", IF(L118&lt;=Нормативы!$L$117, "КМС", IF(L118&lt;=Нормативы!$L$118, "I", IF(L118&lt;=Нормативы!$L$119, "II", IF(L118&lt;=Нормативы!$L$120, "III", IF(L118&lt;=Нормативы!$L$121, "I юн", IF(L118&lt;=Нормативы!$L$122, "II юн", IF(L118&lt;=Нормативы!$L$123, "III юн", "б/р")))))))))))</f>
        <v>I</v>
      </c>
      <c r="N118" s="91" t="str">
        <f>IF(ISBLANK(L118), " ", IF(ISTEXT(L118), " ", IF(L118&lt;=Нормативы!$H$115, "КМС", IF(L118&lt;=Нормативы!$H$116, "КМС", IF(L118&lt;=Нормативы!$L$117, "КМС", IF(L118&lt;=Нормативы!$L$118, "I", IF(L118&lt;=Нормативы!$L$119, "II", IF(L118&lt;=Нормативы!$L$120, "III", IF(L118&lt;=Нормативы!$L$121, "I юн", IF(L118&lt;=Нормативы!$L$122, "II юн", IF(L118&lt;=Нормативы!$L$123, "III юн", "б/р")))))))))))</f>
        <v>I</v>
      </c>
      <c r="O118" s="91"/>
      <c r="Q118" s="91" t="str">
        <f t="shared" si="20"/>
        <v xml:space="preserve"> </v>
      </c>
    </row>
    <row r="119" spans="3:33" x14ac:dyDescent="0.2">
      <c r="C119" s="217"/>
      <c r="D119" s="217"/>
      <c r="E119" s="217"/>
      <c r="F119" s="217"/>
      <c r="G119" s="217"/>
      <c r="H119" s="222">
        <v>215.7</v>
      </c>
      <c r="I119" s="91" t="str">
        <f>IF(ISBLANK(H119), " ", IF(ISTEXT(H119), " ", IF(H119&lt;=Нормативы!$H$115, "МСМК", IF(H119&lt;=Нормативы!$H$116, "МС", IF(H119&lt;=Нормативы!$H$117, "КМС", IF(H119&lt;=Нормативы!$H$118, "I", IF(H119&lt;=Нормативы!$H$119, "II", IF(H119&lt;=Нормативы!$H$120, "III", IF(H119&lt;=Нормативы!$H$121, "I юн", IF(H119&lt;=Нормативы!$H$122, "II юн", IF(H119&lt;=Нормативы!$H$123, "III юн", "б/р")))))))))))</f>
        <v>II</v>
      </c>
      <c r="J119" s="91" t="str">
        <f>IF(ISBLANK(H119), " ", IF(ISTEXT(H119), " ", IF(H119&lt;=Нормативы!$H$115, "МСМК", IF(H119&lt;=Нормативы!$H$116, "МС", IF(H119&lt;=Нормативы!$H$117, "КМС", IF(H119&lt;=Нормативы!$H$118, "I", IF(H119&lt;=Нормативы!$H$119, "II", IF(H119&lt;=Нормативы!$H$120, "III", IF(H119&lt;=Нормативы!$H$121, "I юн", IF(H119&lt;=Нормативы!$H$122, "II юн", IF(H119&lt;=Нормативы!$H$123, "III юн", "б/р")))))))))))</f>
        <v>II</v>
      </c>
      <c r="K119" s="226"/>
      <c r="L119" s="225">
        <f t="shared" si="21"/>
        <v>215.5</v>
      </c>
      <c r="M119" s="91" t="str">
        <f>IF(ISBLANK(L119), " ", IF(ISTEXT(L119), " ", IF(L119&lt;=Нормативы!$H$115, "КМС", IF(L119&lt;=Нормативы!$H$116, "КМС", IF(L119&lt;=Нормативы!$L$117, "КМС", IF(L119&lt;=Нормативы!$L$118, "I", IF(L119&lt;=Нормативы!$L$119, "II", IF(L119&lt;=Нормативы!$L$120, "III", IF(L119&lt;=Нормативы!$L$121, "I юн", IF(L119&lt;=Нормативы!$L$122, "II юн", IF(L119&lt;=Нормативы!$L$123, "III юн", "б/р")))))))))))</f>
        <v>II</v>
      </c>
      <c r="N119" s="91" t="str">
        <f>IF(ISBLANK(L119), " ", IF(ISTEXT(L119), " ", IF(L119&lt;=Нормативы!$H$115, "КМС", IF(L119&lt;=Нормативы!$H$116, "КМС", IF(L119&lt;=Нормативы!$L$117, "КМС", IF(L119&lt;=Нормативы!$L$118, "I", IF(L119&lt;=Нормативы!$L$119, "II", IF(L119&lt;=Нормативы!$L$120, "III", IF(L119&lt;=Нормативы!$L$121, "I юн", IF(L119&lt;=Нормативы!$L$122, "II юн", IF(L119&lt;=Нормативы!$L$123, "III юн", "б/р")))))))))))</f>
        <v>II</v>
      </c>
      <c r="O119" s="91"/>
      <c r="Q119" s="91" t="str">
        <f t="shared" si="20"/>
        <v xml:space="preserve"> </v>
      </c>
    </row>
    <row r="120" spans="3:33" x14ac:dyDescent="0.2">
      <c r="C120" s="217"/>
      <c r="D120" s="217"/>
      <c r="E120" s="217"/>
      <c r="F120" s="217"/>
      <c r="G120" s="217"/>
      <c r="H120" s="222">
        <v>227</v>
      </c>
      <c r="I120" s="91" t="str">
        <f>IF(ISBLANK(H120), " ", IF(ISTEXT(H120), " ", IF(H120&lt;=Нормативы!$H$115, "МСМК", IF(H120&lt;=Нормативы!$H$116, "МС", IF(H120&lt;=Нормативы!$H$117, "КМС", IF(H120&lt;=Нормативы!$H$118, "I", IF(H120&lt;=Нормативы!$H$119, "II", IF(H120&lt;=Нормативы!$H$120, "III", IF(H120&lt;=Нормативы!$H$121, "I юн", IF(H120&lt;=Нормативы!$H$122, "II юн", IF(H120&lt;=Нормативы!$H$123, "III юн", "б/р")))))))))))</f>
        <v>III</v>
      </c>
      <c r="J120" s="91" t="str">
        <f>IF(ISBLANK(H120), " ", IF(ISTEXT(H120), " ", IF(H120&lt;=Нормативы!$H$115, "МСМК", IF(H120&lt;=Нормативы!$H$116, "МС", IF(H120&lt;=Нормативы!$H$117, "КМС", IF(H120&lt;=Нормативы!$H$118, "I", IF(H120&lt;=Нормативы!$H$119, "II", IF(H120&lt;=Нормативы!$H$120, "III", IF(H120&lt;=Нормативы!$H$121, "I юн", IF(H120&lt;=Нормативы!$H$122, "II юн", IF(H120&lt;=Нормативы!$H$123, "III юн", "б/р")))))))))))</f>
        <v>III</v>
      </c>
      <c r="K120" s="226"/>
      <c r="L120" s="225">
        <f t="shared" si="21"/>
        <v>226.8</v>
      </c>
      <c r="M120" s="91" t="str">
        <f>IF(ISBLANK(L120), " ", IF(ISTEXT(L120), " ", IF(L120&lt;=Нормативы!$H$115, "КМС", IF(L120&lt;=Нормативы!$H$116, "КМС", IF(L120&lt;=Нормативы!$L$117, "КМС", IF(L120&lt;=Нормативы!$L$118, "I", IF(L120&lt;=Нормативы!$L$119, "II", IF(L120&lt;=Нормативы!$L$120, "III", IF(L120&lt;=Нормативы!$L$121, "I юн", IF(L120&lt;=Нормативы!$L$122, "II юн", IF(L120&lt;=Нормативы!$L$123, "III юн", "б/р")))))))))))</f>
        <v>III</v>
      </c>
      <c r="N120" s="91" t="str">
        <f>IF(ISBLANK(L120), " ", IF(ISTEXT(L120), " ", IF(L120&lt;=Нормативы!$H$115, "КМС", IF(L120&lt;=Нормативы!$H$116, "КМС", IF(L120&lt;=Нормативы!$L$117, "КМС", IF(L120&lt;=Нормативы!$L$118, "I", IF(L120&lt;=Нормативы!$L$119, "II", IF(L120&lt;=Нормативы!$L$120, "III", IF(L120&lt;=Нормативы!$L$121, "I юн", IF(L120&lt;=Нормативы!$L$122, "II юн", IF(L120&lt;=Нормативы!$L$123, "III юн", "б/р")))))))))))</f>
        <v>III</v>
      </c>
      <c r="O120" s="91"/>
      <c r="Q120" s="91" t="str">
        <f t="shared" si="20"/>
        <v xml:space="preserve"> </v>
      </c>
    </row>
    <row r="121" spans="3:33" x14ac:dyDescent="0.2">
      <c r="C121" s="217"/>
      <c r="D121" s="217"/>
      <c r="E121" s="217"/>
      <c r="F121" s="217"/>
      <c r="G121" s="217"/>
      <c r="H121" s="222">
        <v>242.2</v>
      </c>
      <c r="I121" s="91" t="str">
        <f>IF(ISBLANK(H121), " ", IF(ISTEXT(H121), " ", IF(H121&lt;=Нормативы!$H$115, "МСМК", IF(H121&lt;=Нормативы!$H$116, "МС", IF(H121&lt;=Нормативы!$H$117, "КМС", IF(H121&lt;=Нормативы!$H$118, "I", IF(H121&lt;=Нормативы!$H$119, "II", IF(H121&lt;=Нормативы!$H$120, "III", IF(H121&lt;=Нормативы!$H$121, "I юн", IF(H121&lt;=Нормативы!$H$122, "II юн", IF(H121&lt;=Нормативы!$H$123, "III юн", "б/р")))))))))))</f>
        <v>I юн</v>
      </c>
      <c r="J121" s="91" t="str">
        <f>IF(ISBLANK(H121), " ", IF(ISTEXT(H121), " ", IF(H121&lt;=Нормативы!$H$115, "МСМК", IF(H121&lt;=Нормативы!$H$116, "МС", IF(H121&lt;=Нормативы!$H$117, "КМС", IF(H121&lt;=Нормативы!$H$118, "I", IF(H121&lt;=Нормативы!$H$119, "II", IF(H121&lt;=Нормативы!$H$120, "III", IF(H121&lt;=Нормативы!$H$121, "I юн", IF(H121&lt;=Нормативы!$H$122, "II юн", IF(H121&lt;=Нормативы!$H$123, "III юн", "б/р")))))))))))</f>
        <v>I юн</v>
      </c>
      <c r="K121" s="226"/>
      <c r="L121" s="225">
        <f t="shared" si="21"/>
        <v>242</v>
      </c>
      <c r="M121" s="91" t="str">
        <f>IF(ISBLANK(L121), " ", IF(ISTEXT(L121), " ", IF(L121&lt;=Нормативы!$H$115, "КМС", IF(L121&lt;=Нормативы!$H$116, "КМС", IF(L121&lt;=Нормативы!$L$117, "КМС", IF(L121&lt;=Нормативы!$L$118, "I", IF(L121&lt;=Нормативы!$L$119, "II", IF(L121&lt;=Нормативы!$L$120, "III", IF(L121&lt;=Нормативы!$L$121, "I юн", IF(L121&lt;=Нормативы!$L$122, "II юн", IF(L121&lt;=Нормативы!$L$123, "III юн", "б/р")))))))))))</f>
        <v>I юн</v>
      </c>
      <c r="N121" s="91" t="str">
        <f>IF(ISBLANK(L121), " ", IF(ISTEXT(L121), " ", IF(L121&lt;=Нормативы!$H$115, "КМС", IF(L121&lt;=Нормативы!$H$116, "КМС", IF(L121&lt;=Нормативы!$L$117, "КМС", IF(L121&lt;=Нормативы!$L$118, "I", IF(L121&lt;=Нормативы!$L$119, "II", IF(L121&lt;=Нормативы!$L$120, "III", IF(L121&lt;=Нормативы!$L$121, "I юн", IF(L121&lt;=Нормативы!$L$122, "II юн", IF(L121&lt;=Нормативы!$L$123, "III юн", "б/р")))))))))))</f>
        <v>I юн</v>
      </c>
      <c r="O121" s="91"/>
      <c r="Q121" s="91" t="str">
        <f t="shared" si="20"/>
        <v xml:space="preserve"> </v>
      </c>
    </row>
    <row r="122" spans="3:33" x14ac:dyDescent="0.2">
      <c r="C122" s="217"/>
      <c r="D122" s="217"/>
      <c r="E122" s="217"/>
      <c r="F122" s="217"/>
      <c r="G122" s="217"/>
      <c r="H122" s="222">
        <v>256.2</v>
      </c>
      <c r="I122" s="91" t="str">
        <f>IF(ISBLANK(H122), " ", IF(ISTEXT(H122), " ", IF(H122&lt;=Нормативы!$H$115, "МСМК", IF(H122&lt;=Нормативы!$H$116, "МС", IF(H122&lt;=Нормативы!$H$117, "КМС", IF(H122&lt;=Нормативы!$H$118, "I", IF(H122&lt;=Нормативы!$H$119, "II", IF(H122&lt;=Нормативы!$H$120, "III", IF(H122&lt;=Нормативы!$H$121, "I юн", IF(H122&lt;=Нормативы!$H$122, "II юн", IF(H122&lt;=Нормативы!$H$123, "III юн", "б/р")))))))))))</f>
        <v>II юн</v>
      </c>
      <c r="J122" s="91" t="str">
        <f>IF(ISBLANK(H122), " ", IF(ISTEXT(H122), " ", IF(H122&lt;=Нормативы!$H$115, "МСМК", IF(H122&lt;=Нормативы!$H$116, "МС", IF(H122&lt;=Нормативы!$H$117, "КМС", IF(H122&lt;=Нормативы!$H$118, "I", IF(H122&lt;=Нормативы!$H$119, "II", IF(H122&lt;=Нормативы!$H$120, "III", IF(H122&lt;=Нормативы!$H$121, "I юн", IF(H122&lt;=Нормативы!$H$122, "II юн", IF(H122&lt;=Нормативы!$H$123, "III юн", "б/р")))))))))))</f>
        <v>II юн</v>
      </c>
      <c r="K122" s="226"/>
      <c r="L122" s="225">
        <f t="shared" si="21"/>
        <v>256</v>
      </c>
      <c r="M122" s="91" t="str">
        <f>IF(ISBLANK(L122), " ", IF(ISTEXT(L122), " ", IF(L122&lt;=Нормативы!$H$115, "КМС", IF(L122&lt;=Нормативы!$H$116, "КМС", IF(L122&lt;=Нормативы!$L$117, "КМС", IF(L122&lt;=Нормативы!$L$118, "I", IF(L122&lt;=Нормативы!$L$119, "II", IF(L122&lt;=Нормативы!$L$120, "III", IF(L122&lt;=Нормативы!$L$121, "I юн", IF(L122&lt;=Нормативы!$L$122, "II юн", IF(L122&lt;=Нормативы!$L$123, "III юн", "б/р")))))))))))</f>
        <v>II юн</v>
      </c>
      <c r="N122" s="91" t="str">
        <f>IF(ISBLANK(L122), " ", IF(ISTEXT(L122), " ", IF(L122&lt;=Нормативы!$H$115, "КМС", IF(L122&lt;=Нормативы!$H$116, "КМС", IF(L122&lt;=Нормативы!$L$117, "КМС", IF(L122&lt;=Нормативы!$L$118, "I", IF(L122&lt;=Нормативы!$L$119, "II", IF(L122&lt;=Нормативы!$L$120, "III", IF(L122&lt;=Нормативы!$L$121, "I юн", IF(L122&lt;=Нормативы!$L$122, "II юн", IF(L122&lt;=Нормативы!$L$123, "III юн", "б/р")))))))))))</f>
        <v>II юн</v>
      </c>
      <c r="O122" s="91"/>
      <c r="Q122" s="91" t="str">
        <f t="shared" si="20"/>
        <v xml:space="preserve"> </v>
      </c>
    </row>
    <row r="123" spans="3:33" x14ac:dyDescent="0.2">
      <c r="C123" s="217"/>
      <c r="D123" s="217"/>
      <c r="E123" s="217"/>
      <c r="F123" s="217"/>
      <c r="G123" s="217"/>
      <c r="H123" s="222">
        <v>310.2</v>
      </c>
      <c r="I123" s="91" t="str">
        <f>IF(ISBLANK(H123), " ", IF(ISTEXT(H123), " ", IF(H123&lt;=Нормативы!$H$115, "МСМК", IF(H123&lt;=Нормативы!$H$116, "МС", IF(H123&lt;=Нормативы!$H$117, "КМС", IF(H123&lt;=Нормативы!$H$118, "I", IF(H123&lt;=Нормативы!$H$119, "II", IF(H123&lt;=Нормативы!$H$120, "III", IF(H123&lt;=Нормативы!$H$121, "I юн", IF(H123&lt;=Нормативы!$H$122, "II юн", IF(H123&lt;=Нормативы!$H$123, "III юн", "б/р")))))))))))</f>
        <v>III юн</v>
      </c>
      <c r="J123" s="91" t="str">
        <f>IF(ISBLANK(H123), " ", IF(ISTEXT(H123), " ", IF(H123&lt;=Нормативы!$H$115, "МСМК", IF(H123&lt;=Нормативы!$H$116, "МС", IF(H123&lt;=Нормативы!$H$117, "КМС", IF(H123&lt;=Нормативы!$H$118, "I", IF(H123&lt;=Нормативы!$H$119, "II", IF(H123&lt;=Нормативы!$H$120, "III", IF(H123&lt;=Нормативы!$H$121, "I юн", IF(H123&lt;=Нормативы!$H$122, "II юн", IF(H123&lt;=Нормативы!$H$123, "III юн", "б/р")))))))))))</f>
        <v>III юн</v>
      </c>
      <c r="K123" s="226"/>
      <c r="L123" s="225">
        <f t="shared" si="21"/>
        <v>310</v>
      </c>
      <c r="M123" s="91" t="str">
        <f>IF(ISBLANK(L123), " ", IF(ISTEXT(L123), " ", IF(L123&lt;=Нормативы!$H$115, "КМС", IF(L123&lt;=Нормативы!$H$116, "КМС", IF(L123&lt;=Нормативы!$L$117, "КМС", IF(L123&lt;=Нормативы!$L$118, "I", IF(L123&lt;=Нормативы!$L$119, "II", IF(L123&lt;=Нормативы!$L$120, "III", IF(L123&lt;=Нормативы!$L$121, "I юн", IF(L123&lt;=Нормативы!$L$122, "II юн", IF(L123&lt;=Нормативы!$L$123, "III юн", "б/р")))))))))))</f>
        <v>III юн</v>
      </c>
      <c r="N123" s="91" t="str">
        <f>IF(ISBLANK(L123), " ", IF(ISTEXT(L123), " ", IF(L123&lt;=Нормативы!$H$115, "КМС", IF(L123&lt;=Нормативы!$H$116, "КМС", IF(L123&lt;=Нормативы!$L$117, "КМС", IF(L123&lt;=Нормативы!$L$118, "I", IF(L123&lt;=Нормативы!$L$119, "II", IF(L123&lt;=Нормативы!$L$120, "III", IF(L123&lt;=Нормативы!$L$121, "I юн", IF(L123&lt;=Нормативы!$L$122, "II юн", IF(L123&lt;=Нормативы!$L$123, "III юн", "б/р")))))))))))</f>
        <v>III юн</v>
      </c>
      <c r="O123" s="91"/>
      <c r="Q123" s="91" t="str">
        <f t="shared" si="20"/>
        <v xml:space="preserve"> </v>
      </c>
    </row>
    <row r="124" spans="3:33" x14ac:dyDescent="0.2">
      <c r="C124" s="217"/>
      <c r="D124" s="217"/>
      <c r="E124" s="217"/>
      <c r="F124" s="217"/>
      <c r="G124" s="217"/>
      <c r="H124" s="222"/>
      <c r="I124" s="217"/>
      <c r="J124" s="217"/>
      <c r="K124" s="226"/>
      <c r="L124" s="217"/>
      <c r="M124" s="217"/>
      <c r="N124" s="217"/>
      <c r="P124" s="233"/>
      <c r="Q124" s="217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33"/>
      <c r="AE124" s="233"/>
      <c r="AF124" s="233"/>
      <c r="AG124" s="233"/>
    </row>
    <row r="125" spans="3:33" x14ac:dyDescent="0.2">
      <c r="C125" s="58" t="s">
        <v>388</v>
      </c>
      <c r="D125" s="217"/>
      <c r="E125" s="217"/>
      <c r="F125" s="217"/>
      <c r="G125" s="217"/>
      <c r="H125" s="222"/>
      <c r="I125" s="217"/>
      <c r="J125" s="217"/>
      <c r="K125" s="235"/>
      <c r="L125" s="217"/>
      <c r="M125" s="217"/>
      <c r="N125" s="217"/>
      <c r="P125" s="224"/>
      <c r="Q125" s="217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</row>
    <row r="126" spans="3:33" x14ac:dyDescent="0.2">
      <c r="C126" s="217"/>
      <c r="D126" s="217"/>
      <c r="E126" s="217"/>
      <c r="F126" s="217"/>
      <c r="G126" s="217"/>
      <c r="H126" s="222">
        <v>136.4</v>
      </c>
      <c r="I126" s="91" t="str">
        <f>IF(ISBLANK(H126), " ", IF(ISTEXT(H126), " ", IF(H126&lt;=Нормативы!$H$126, "МСМК", IF(H126&lt;=Нормативы!$H$127, "МС", IF(H126&lt;=Нормативы!$H$128, "КМС", IF(H126&lt;=Нормативы!$H$129, "I", IF(H126&lt;=Нормативы!$H$130, "II", IF(H126&lt;=Нормативы!$H$131, "III", IF(H126&lt;=Нормативы!$H$132, "I юн", IF(H126&lt;=Нормативы!$H$133, "II юн", IF(H126&lt;=Нормативы!$H$134, "III юн", "б/р")))))))))))</f>
        <v>МСМК</v>
      </c>
      <c r="J126" s="91" t="str">
        <f>IF(ISBLANK(H126), " ", IF(ISTEXT(H126), " ", IF(H126&lt;=Нормативы!$H$126, "МСМК", IF(H126&lt;=Нормативы!$H$127, "МС", IF(H126&lt;=Нормативы!$H$128, "КМС", IF(H126&lt;=Нормативы!$H$129, "I", IF(H126&lt;=Нормативы!$H$130, "II", IF(H126&lt;=Нормативы!$H$131, "III", IF(H126&lt;=Нормативы!$H$132, "I юн", IF(H126&lt;=Нормативы!$H$133, "II юн", IF(H126&lt;=Нормативы!$H$134, "III юн", "б/р")))))))))))</f>
        <v>МСМК</v>
      </c>
      <c r="K126" s="240"/>
      <c r="L126" s="222"/>
      <c r="M126" s="91" t="str">
        <f>IF(ISBLANK(L126), " ", IF(ISTEXT(L126), " ", IF(L126&lt;=Нормативы!$H$126, "КМС", IF(L126&lt;=Нормативы!$H$127, "КМС", IF(L126&lt;=Нормативы!$L$128, "КМС", IF(L126&lt;=Нормативы!$L$129, "I", IF(L126&lt;=Нормативы!$L$130, "II", IF(L126&lt;=Нормативы!$L$131, "III", IF(L126&lt;=Нормативы!$L$132, "I юн", IF(L126&lt;=Нормативы!$L$133, "II юн", IF(L126&lt;=Нормативы!$L$134, "III юн", "б/р")))))))))))</f>
        <v xml:space="preserve"> </v>
      </c>
      <c r="N126" s="91" t="str">
        <f>IF(ISBLANK(L126), " ", IF(ISTEXT(L126), " ", IF(L126&lt;=136.5, "МСМК", IF(L126&lt;=141.4, "МС", IF(L126&lt;=145.8, "КМС", IF(L126&lt;=154.6, "I", IF(L126&lt;=203.8, "II", IF(L126&lt;=214.6, "III", IF(L126&lt;=228.5, "I юн", IF(L126&lt;=242, "II юн", IF(L126&lt;=255, "III юн", "б/р")))))))))))</f>
        <v xml:space="preserve"> </v>
      </c>
      <c r="O126" s="91"/>
      <c r="Q126" s="91" t="str">
        <f t="shared" ref="Q126:Q134" si="22">IF(ISBLANK(P126), " ", IF(ISTEXT(P126), " ", IF(P126&lt;=$H$126, "МСМК", IF(P126&lt;=$H$127, "МС", IF(P126&lt;=$H$128, "КМС", IF(P126&lt;=$H$129, "I", IF(P126&lt;=$H$130, "II", IF(P126&lt;=$H$131, "III", IF(P126&lt;=$H$132, "I юн", IF(P126&lt;=$H$133, "II юн", IF(P126&lt;=$H$134, "III юн", "б/р")))))))))))</f>
        <v xml:space="preserve"> </v>
      </c>
    </row>
    <row r="127" spans="3:33" x14ac:dyDescent="0.2">
      <c r="C127" s="217"/>
      <c r="D127" s="217"/>
      <c r="E127" s="217"/>
      <c r="F127" s="217"/>
      <c r="G127" s="217"/>
      <c r="H127" s="222">
        <v>140.5</v>
      </c>
      <c r="I127" s="91" t="str">
        <f>IF(ISBLANK(H127), " ", IF(ISTEXT(H127), " ", IF(H127&lt;=Нормативы!$H$126, "МСМК", IF(H127&lt;=Нормативы!$H$127, "МС", IF(H127&lt;=Нормативы!$H$128, "КМС", IF(H127&lt;=Нормативы!$H$129, "I", IF(H127&lt;=Нормативы!$H$130, "II", IF(H127&lt;=Нормативы!$H$131, "III", IF(H127&lt;=Нормативы!$H$132, "I юн", IF(H127&lt;=Нормативы!$H$133, "II юн", IF(H127&lt;=Нормативы!$H$134, "III юн", "б/р")))))))))))</f>
        <v>МС</v>
      </c>
      <c r="J127" s="91" t="str">
        <f>IF(ISBLANK(H127), " ", IF(ISTEXT(H127), " ", IF(H127&lt;=Нормативы!$H$126, "МСМК", IF(H127&lt;=Нормативы!$H$127, "МС", IF(H127&lt;=Нормативы!$H$128, "КМС", IF(H127&lt;=Нормативы!$H$129, "I", IF(H127&lt;=Нормативы!$H$130, "II", IF(H127&lt;=Нормативы!$H$131, "III", IF(H127&lt;=Нормативы!$H$132, "I юн", IF(H127&lt;=Нормативы!$H$133, "II юн", IF(H127&lt;=Нормативы!$H$134, "III юн", "б/р")))))))))))</f>
        <v>МС</v>
      </c>
      <c r="K127" s="240"/>
      <c r="L127" s="222"/>
      <c r="M127" s="91" t="str">
        <f>IF(ISBLANK(L127), " ", IF(ISTEXT(L127), " ", IF(L127&lt;=Нормативы!$H$126, "КМС", IF(L127&lt;=Нормативы!$H$127, "КМС", IF(L127&lt;=Нормативы!$L$128, "КМС", IF(L127&lt;=Нормативы!$L$129, "I", IF(L127&lt;=Нормативы!$L$130, "II", IF(L127&lt;=Нормативы!$L$131, "III", IF(L127&lt;=Нормативы!$L$132, "I юн", IF(L127&lt;=Нормативы!$L$133, "II юн", IF(L127&lt;=Нормативы!$L$134, "III юн", "б/р")))))))))))</f>
        <v xml:space="preserve"> </v>
      </c>
      <c r="N127" s="91" t="str">
        <f>IF(ISBLANK(L127), " ", IF(ISTEXT(L127), " ", IF(L127&lt;=136.5, "МСМК", IF(L127&lt;=141.4, "МС", IF(L127&lt;=145.8, "КМС", IF(L127&lt;=154.6, "I", IF(L127&lt;=203.8, "II", IF(L127&lt;=214.6, "III", IF(L127&lt;=228.5, "I юн", IF(L127&lt;=242, "II юн", IF(L127&lt;=255, "III юн", "б/р")))))))))))</f>
        <v xml:space="preserve"> </v>
      </c>
      <c r="O127" s="91"/>
      <c r="Q127" s="91" t="str">
        <f t="shared" si="22"/>
        <v xml:space="preserve"> </v>
      </c>
    </row>
    <row r="128" spans="3:33" x14ac:dyDescent="0.2">
      <c r="C128" s="217"/>
      <c r="D128" s="217"/>
      <c r="E128" s="217"/>
      <c r="F128" s="217"/>
      <c r="G128" s="217"/>
      <c r="H128" s="222">
        <v>145</v>
      </c>
      <c r="I128" s="91" t="str">
        <f>IF(ISBLANK(H128), " ", IF(ISTEXT(H128), " ", IF(H128&lt;=Нормативы!$H$126, "МСМК", IF(H128&lt;=Нормативы!$H$127, "МС", IF(H128&lt;=Нормативы!$H$128, "КМС", IF(H128&lt;=Нормативы!$H$129, "I", IF(H128&lt;=Нормативы!$H$130, "II", IF(H128&lt;=Нормативы!$H$131, "III", IF(H128&lt;=Нормативы!$H$132, "I юн", IF(H128&lt;=Нормативы!$H$133, "II юн", IF(H128&lt;=Нормативы!$H$134, "III юн", "б/р")))))))))))</f>
        <v>КМС</v>
      </c>
      <c r="J128" s="91" t="str">
        <f>IF(ISBLANK(H128), " ", IF(ISTEXT(H128), " ", IF(H128&lt;=Нормативы!$H$126, "МСМК", IF(H128&lt;=Нормативы!$H$127, "МС", IF(H128&lt;=Нормативы!$H$128, "КМС", IF(H128&lt;=Нормативы!$H$129, "I", IF(H128&lt;=Нормативы!$H$130, "II", IF(H128&lt;=Нормативы!$H$131, "III", IF(H128&lt;=Нормативы!$H$132, "I юн", IF(H128&lt;=Нормативы!$H$133, "II юн", IF(H128&lt;=Нормативы!$H$134, "III юн", "б/р")))))))))))</f>
        <v>КМС</v>
      </c>
      <c r="K128" s="240"/>
      <c r="L128" s="225">
        <f t="shared" ref="L128:L134" si="23">H128-0.2</f>
        <v>144.80000000000001</v>
      </c>
      <c r="M128" s="91" t="str">
        <f>IF(ISBLANK(L128), " ", IF(ISTEXT(L128), " ", IF(L128&lt;=Нормативы!$H$126, "КМС", IF(L128&lt;=Нормативы!$H$127, "КМС", IF(L128&lt;=Нормативы!$L$128, "КМС", IF(L128&lt;=Нормативы!$L$129, "I", IF(L128&lt;=Нормативы!$L$130, "II", IF(L128&lt;=Нормативы!$L$131, "III", IF(L128&lt;=Нормативы!$L$132, "I юн", IF(L128&lt;=Нормативы!$L$133, "II юн", IF(L128&lt;=Нормативы!$L$134, "III юн", "б/р")))))))))))</f>
        <v>КМС</v>
      </c>
      <c r="N128" s="91" t="str">
        <f>IF(ISBLANK(L128), " ", IF(ISTEXT(L128), " ", IF(L128&lt;=Нормативы!$H$126, "КМС", IF(L128&lt;=Нормативы!$H$127, "КМС", IF(L128&lt;=Нормативы!$L$128, "КМС", IF(L128&lt;=Нормативы!$L$129, "I", IF(L128&lt;=Нормативы!$L$130, "II", IF(L128&lt;=Нормативы!$L$131, "III", IF(L128&lt;=Нормативы!$L$132, "I юн", IF(L128&lt;=Нормативы!$L$133, "II юн", IF(L128&lt;=Нормативы!$L$134, "III юн", "б/р")))))))))))</f>
        <v>КМС</v>
      </c>
      <c r="O128" s="91"/>
      <c r="Q128" s="91" t="str">
        <f t="shared" si="22"/>
        <v xml:space="preserve"> </v>
      </c>
    </row>
    <row r="129" spans="3:17" x14ac:dyDescent="0.2">
      <c r="C129" s="217"/>
      <c r="D129" s="217"/>
      <c r="E129" s="217"/>
      <c r="F129" s="217"/>
      <c r="G129" s="217"/>
      <c r="H129" s="222">
        <v>153.69999999999999</v>
      </c>
      <c r="I129" s="91" t="str">
        <f>IF(ISBLANK(H129), " ", IF(ISTEXT(H129), " ", IF(H129&lt;=Нормативы!$H$126, "МСМК", IF(H129&lt;=Нормативы!$H$127, "МС", IF(H129&lt;=Нормативы!$H$128, "КМС", IF(H129&lt;=Нормативы!$H$129, "I", IF(H129&lt;=Нормативы!$H$130, "II", IF(H129&lt;=Нормативы!$H$131, "III", IF(H129&lt;=Нормативы!$H$132, "I юн", IF(H129&lt;=Нормативы!$H$133, "II юн", IF(H129&lt;=Нормативы!$H$134, "III юн", "б/р")))))))))))</f>
        <v>I</v>
      </c>
      <c r="J129" s="91" t="str">
        <f>IF(ISBLANK(H129), " ", IF(ISTEXT(H129), " ", IF(H129&lt;=Нормативы!$H$126, "МСМК", IF(H129&lt;=Нормативы!$H$127, "МС", IF(H129&lt;=Нормативы!$H$128, "КМС", IF(H129&lt;=Нормативы!$H$129, "I", IF(H129&lt;=Нормативы!$H$130, "II", IF(H129&lt;=Нормативы!$H$131, "III", IF(H129&lt;=Нормативы!$H$132, "I юн", IF(H129&lt;=Нормативы!$H$133, "II юн", IF(H129&lt;=Нормативы!$H$134, "III юн", "б/р")))))))))))</f>
        <v>I</v>
      </c>
      <c r="K129" s="240"/>
      <c r="L129" s="225">
        <f t="shared" si="23"/>
        <v>153.5</v>
      </c>
      <c r="M129" s="91" t="str">
        <f>IF(ISBLANK(L129), " ", IF(ISTEXT(L129), " ", IF(L129&lt;=Нормативы!$H$126, "КМС", IF(L129&lt;=Нормативы!$H$127, "КМС", IF(L129&lt;=Нормативы!$L$128, "КМС", IF(L129&lt;=Нормативы!$L$129, "I", IF(L129&lt;=Нормативы!$L$130, "II", IF(L129&lt;=Нормативы!$L$131, "III", IF(L129&lt;=Нормативы!$L$132, "I юн", IF(L129&lt;=Нормативы!$L$133, "II юн", IF(L129&lt;=Нормативы!$L$134, "III юн", "б/р")))))))))))</f>
        <v>I</v>
      </c>
      <c r="N129" s="91" t="str">
        <f>IF(ISBLANK(L129), " ", IF(ISTEXT(L129), " ", IF(L129&lt;=Нормативы!$H$126, "КМС", IF(L129&lt;=Нормативы!$H$127, "КМС", IF(L129&lt;=Нормативы!$L$128, "КМС", IF(L129&lt;=Нормативы!$L$129, "I", IF(L129&lt;=Нормативы!$L$130, "II", IF(L129&lt;=Нормативы!$L$131, "III", IF(L129&lt;=Нормативы!$L$132, "I юн", IF(L129&lt;=Нормативы!$L$133, "II юн", IF(L129&lt;=Нормативы!$L$134, "III юн", "б/р")))))))))))</f>
        <v>I</v>
      </c>
      <c r="O129" s="91"/>
      <c r="Q129" s="91" t="str">
        <f t="shared" si="22"/>
        <v xml:space="preserve"> </v>
      </c>
    </row>
    <row r="130" spans="3:17" x14ac:dyDescent="0.2">
      <c r="C130" s="217"/>
      <c r="D130" s="217"/>
      <c r="E130" s="217"/>
      <c r="F130" s="217"/>
      <c r="G130" s="217"/>
      <c r="H130" s="222">
        <v>202.7</v>
      </c>
      <c r="I130" s="91" t="str">
        <f>IF(ISBLANK(H130), " ", IF(ISTEXT(H130), " ", IF(H130&lt;=Нормативы!$H$126, "МСМК", IF(H130&lt;=Нормативы!$H$127, "МС", IF(H130&lt;=Нормативы!$H$128, "КМС", IF(H130&lt;=Нормативы!$H$129, "I", IF(H130&lt;=Нормативы!$H$130, "II", IF(H130&lt;=Нормативы!$H$131, "III", IF(H130&lt;=Нормативы!$H$132, "I юн", IF(H130&lt;=Нормативы!$H$133, "II юн", IF(H130&lt;=Нормативы!$H$134, "III юн", "б/р")))))))))))</f>
        <v>II</v>
      </c>
      <c r="J130" s="91" t="str">
        <f>IF(ISBLANK(H130), " ", IF(ISTEXT(H130), " ", IF(H130&lt;=Нормативы!$H$126, "МСМК", IF(H130&lt;=Нормативы!$H$127, "МС", IF(H130&lt;=Нормативы!$H$128, "КМС", IF(H130&lt;=Нормативы!$H$129, "I", IF(H130&lt;=Нормативы!$H$130, "II", IF(H130&lt;=Нормативы!$H$131, "III", IF(H130&lt;=Нормативы!$H$132, "I юн", IF(H130&lt;=Нормативы!$H$133, "II юн", IF(H130&lt;=Нормативы!$H$134, "III юн", "б/р")))))))))))</f>
        <v>II</v>
      </c>
      <c r="K130" s="240"/>
      <c r="L130" s="225">
        <f t="shared" si="23"/>
        <v>202.5</v>
      </c>
      <c r="M130" s="91" t="str">
        <f>IF(ISBLANK(L130), " ", IF(ISTEXT(L130), " ", IF(L130&lt;=Нормативы!$H$126, "КМС", IF(L130&lt;=Нормативы!$H$127, "КМС", IF(L130&lt;=Нормативы!$L$128, "КМС", IF(L130&lt;=Нормативы!$L$129, "I", IF(L130&lt;=Нормативы!$L$130, "II", IF(L130&lt;=Нормативы!$L$131, "III", IF(L130&lt;=Нормативы!$L$132, "I юн", IF(L130&lt;=Нормативы!$L$133, "II юн", IF(L130&lt;=Нормативы!$L$134, "III юн", "б/р")))))))))))</f>
        <v>II</v>
      </c>
      <c r="N130" s="91" t="str">
        <f>IF(ISBLANK(L130), " ", IF(ISTEXT(L130), " ", IF(L130&lt;=Нормативы!$H$126, "КМС", IF(L130&lt;=Нормативы!$H$127, "КМС", IF(L130&lt;=Нормативы!$L$128, "КМС", IF(L130&lt;=Нормативы!$L$129, "I", IF(L130&lt;=Нормативы!$L$130, "II", IF(L130&lt;=Нормативы!$L$131, "III", IF(L130&lt;=Нормативы!$L$132, "I юн", IF(L130&lt;=Нормативы!$L$133, "II юн", IF(L130&lt;=Нормативы!$L$134, "III юн", "б/р")))))))))))</f>
        <v>II</v>
      </c>
      <c r="O130" s="91"/>
      <c r="Q130" s="91" t="str">
        <f t="shared" si="22"/>
        <v xml:space="preserve"> </v>
      </c>
    </row>
    <row r="131" spans="3:17" x14ac:dyDescent="0.2">
      <c r="C131" s="217"/>
      <c r="D131" s="217"/>
      <c r="E131" s="217"/>
      <c r="F131" s="217"/>
      <c r="G131" s="217"/>
      <c r="H131" s="222">
        <v>212.79999999999998</v>
      </c>
      <c r="I131" s="91" t="str">
        <f>IF(ISBLANK(H131), " ", IF(ISTEXT(H131), " ", IF(H131&lt;=Нормативы!$H$126, "МСМК", IF(H131&lt;=Нормативы!$H$127, "МС", IF(H131&lt;=Нормативы!$H$128, "КМС", IF(H131&lt;=Нормативы!$H$129, "I", IF(H131&lt;=Нормативы!$H$130, "II", IF(H131&lt;=Нормативы!$H$131, "III", IF(H131&lt;=Нормативы!$H$132, "I юн", IF(H131&lt;=Нормативы!$H$133, "II юн", IF(H131&lt;=Нормативы!$H$134, "III юн", "б/р")))))))))))</f>
        <v>III</v>
      </c>
      <c r="J131" s="91" t="str">
        <f>IF(ISBLANK(H131), " ", IF(ISTEXT(H131), " ", IF(H131&lt;=Нормативы!$H$126, "МСМК", IF(H131&lt;=Нормативы!$H$127, "МС", IF(H131&lt;=Нормативы!$H$128, "КМС", IF(H131&lt;=Нормативы!$H$129, "I", IF(H131&lt;=Нормативы!$H$130, "II", IF(H131&lt;=Нормативы!$H$131, "III", IF(H131&lt;=Нормативы!$H$132, "I юн", IF(H131&lt;=Нормативы!$H$133, "II юн", IF(H131&lt;=Нормативы!$H$134, "III юн", "б/р")))))))))))</f>
        <v>III</v>
      </c>
      <c r="K131" s="240"/>
      <c r="L131" s="225">
        <f t="shared" si="23"/>
        <v>212.6</v>
      </c>
      <c r="M131" s="91" t="str">
        <f>IF(ISBLANK(L131), " ", IF(ISTEXT(L131), " ", IF(L131&lt;=Нормативы!$H$126, "КМС", IF(L131&lt;=Нормативы!$H$127, "КМС", IF(L131&lt;=Нормативы!$L$128, "КМС", IF(L131&lt;=Нормативы!$L$129, "I", IF(L131&lt;=Нормативы!$L$130, "II", IF(L131&lt;=Нормативы!$L$131, "III", IF(L131&lt;=Нормативы!$L$132, "I юн", IF(L131&lt;=Нормативы!$L$133, "II юн", IF(L131&lt;=Нормативы!$L$134, "III юн", "б/р")))))))))))</f>
        <v>III</v>
      </c>
      <c r="N131" s="91" t="str">
        <f>IF(ISBLANK(L131), " ", IF(ISTEXT(L131), " ", IF(L131&lt;=Нормативы!$H$126, "КМС", IF(L131&lt;=Нормативы!$H$127, "КМС", IF(L131&lt;=Нормативы!$L$128, "КМС", IF(L131&lt;=Нормативы!$L$129, "I", IF(L131&lt;=Нормативы!$L$130, "II", IF(L131&lt;=Нормативы!$L$131, "III", IF(L131&lt;=Нормативы!$L$132, "I юн", IF(L131&lt;=Нормативы!$L$133, "II юн", IF(L131&lt;=Нормативы!$L$134, "III юн", "б/р")))))))))))</f>
        <v>III</v>
      </c>
      <c r="O131" s="91"/>
      <c r="Q131" s="91" t="str">
        <f t="shared" si="22"/>
        <v xml:space="preserve"> </v>
      </c>
    </row>
    <row r="132" spans="3:17" x14ac:dyDescent="0.2">
      <c r="C132" s="217"/>
      <c r="D132" s="217"/>
      <c r="E132" s="217"/>
      <c r="F132" s="217"/>
      <c r="G132" s="217"/>
      <c r="H132" s="222">
        <v>225.7</v>
      </c>
      <c r="I132" s="91" t="str">
        <f>IF(ISBLANK(H132), " ", IF(ISTEXT(H132), " ", IF(H132&lt;=Нормативы!$H$126, "МСМК", IF(H132&lt;=Нормативы!$H$127, "МС", IF(H132&lt;=Нормативы!$H$128, "КМС", IF(H132&lt;=Нормативы!$H$129, "I", IF(H132&lt;=Нормативы!$H$130, "II", IF(H132&lt;=Нормативы!$H$131, "III", IF(H132&lt;=Нормативы!$H$132, "I юн", IF(H132&lt;=Нормативы!$H$133, "II юн", IF(H132&lt;=Нормативы!$H$134, "III юн", "б/р")))))))))))</f>
        <v>I юн</v>
      </c>
      <c r="J132" s="91" t="str">
        <f>IF(ISBLANK(H132), " ", IF(ISTEXT(H132), " ", IF(H132&lt;=Нормативы!$H$126, "МСМК", IF(H132&lt;=Нормативы!$H$127, "МС", IF(H132&lt;=Нормативы!$H$128, "КМС", IF(H132&lt;=Нормативы!$H$129, "I", IF(H132&lt;=Нормативы!$H$130, "II", IF(H132&lt;=Нормативы!$H$131, "III", IF(H132&lt;=Нормативы!$H$132, "I юн", IF(H132&lt;=Нормативы!$H$133, "II юн", IF(H132&lt;=Нормативы!$H$134, "III юн", "б/р")))))))))))</f>
        <v>I юн</v>
      </c>
      <c r="K132" s="240"/>
      <c r="L132" s="225">
        <f t="shared" si="23"/>
        <v>225.5</v>
      </c>
      <c r="M132" s="91" t="str">
        <f>IF(ISBLANK(L132), " ", IF(ISTEXT(L132), " ", IF(L132&lt;=Нормативы!$H$126, "КМС", IF(L132&lt;=Нормативы!$H$127, "КМС", IF(L132&lt;=Нормативы!$L$128, "КМС", IF(L132&lt;=Нормативы!$L$129, "I", IF(L132&lt;=Нормативы!$L$130, "II", IF(L132&lt;=Нормативы!$L$131, "III", IF(L132&lt;=Нормативы!$L$132, "I юн", IF(L132&lt;=Нормативы!$L$133, "II юн", IF(L132&lt;=Нормативы!$L$134, "III юн", "б/р")))))))))))</f>
        <v>I юн</v>
      </c>
      <c r="N132" s="91" t="str">
        <f>IF(ISBLANK(L132), " ", IF(ISTEXT(L132), " ", IF(L132&lt;=Нормативы!$H$126, "КМС", IF(L132&lt;=Нормативы!$H$127, "КМС", IF(L132&lt;=Нормативы!$L$128, "КМС", IF(L132&lt;=Нормативы!$L$129, "I", IF(L132&lt;=Нормативы!$L$130, "II", IF(L132&lt;=Нормативы!$L$131, "III", IF(L132&lt;=Нормативы!$L$132, "I юн", IF(L132&lt;=Нормативы!$L$133, "II юн", IF(L132&lt;=Нормативы!$L$134, "III юн", "б/р")))))))))))</f>
        <v>I юн</v>
      </c>
      <c r="O132" s="91"/>
      <c r="Q132" s="91" t="str">
        <f t="shared" si="22"/>
        <v xml:space="preserve"> </v>
      </c>
    </row>
    <row r="133" spans="3:17" x14ac:dyDescent="0.2">
      <c r="C133" s="217"/>
      <c r="D133" s="217"/>
      <c r="E133" s="217"/>
      <c r="F133" s="217"/>
      <c r="G133" s="217"/>
      <c r="H133" s="222">
        <v>240.2</v>
      </c>
      <c r="I133" s="91" t="str">
        <f>IF(ISBLANK(H133), " ", IF(ISTEXT(H133), " ", IF(H133&lt;=Нормативы!$H$126, "МСМК", IF(H133&lt;=Нормативы!$H$127, "МС", IF(H133&lt;=Нормативы!$H$128, "КМС", IF(H133&lt;=Нормативы!$H$129, "I", IF(H133&lt;=Нормативы!$H$130, "II", IF(H133&lt;=Нормативы!$H$131, "III", IF(H133&lt;=Нормативы!$H$132, "I юн", IF(H133&lt;=Нормативы!$H$133, "II юн", IF(H133&lt;=Нормативы!$H$134, "III юн", "б/р")))))))))))</f>
        <v>II юн</v>
      </c>
      <c r="J133" s="91" t="str">
        <f>IF(ISBLANK(H133), " ", IF(ISTEXT(H133), " ", IF(H133&lt;=Нормативы!$H$126, "МСМК", IF(H133&lt;=Нормативы!$H$127, "МС", IF(H133&lt;=Нормативы!$H$128, "КМС", IF(H133&lt;=Нормативы!$H$129, "I", IF(H133&lt;=Нормативы!$H$130, "II", IF(H133&lt;=Нормативы!$H$131, "III", IF(H133&lt;=Нормативы!$H$132, "I юн", IF(H133&lt;=Нормативы!$H$133, "II юн", IF(H133&lt;=Нормативы!$H$134, "III юн", "б/р")))))))))))</f>
        <v>II юн</v>
      </c>
      <c r="K133" s="240"/>
      <c r="L133" s="225">
        <f t="shared" si="23"/>
        <v>240</v>
      </c>
      <c r="M133" s="91" t="str">
        <f>IF(ISBLANK(L133), " ", IF(ISTEXT(L133), " ", IF(L133&lt;=Нормативы!$H$126, "КМС", IF(L133&lt;=Нормативы!$H$127, "КМС", IF(L133&lt;=Нормативы!$L$128, "КМС", IF(L133&lt;=Нормативы!$L$129, "I", IF(L133&lt;=Нормативы!$L$130, "II", IF(L133&lt;=Нормативы!$L$131, "III", IF(L133&lt;=Нормативы!$L$132, "I юн", IF(L133&lt;=Нормативы!$L$133, "II юн", IF(L133&lt;=Нормативы!$L$134, "III юн", "б/р")))))))))))</f>
        <v>II юн</v>
      </c>
      <c r="N133" s="91" t="str">
        <f>IF(ISBLANK(L133), " ", IF(ISTEXT(L133), " ", IF(L133&lt;=Нормативы!$H$126, "КМС", IF(L133&lt;=Нормативы!$H$127, "КМС", IF(L133&lt;=Нормативы!$L$128, "КМС", IF(L133&lt;=Нормативы!$L$129, "I", IF(L133&lt;=Нормативы!$L$130, "II", IF(L133&lt;=Нормативы!$L$131, "III", IF(L133&lt;=Нормативы!$L$132, "I юн", IF(L133&lt;=Нормативы!$L$133, "II юн", IF(L133&lt;=Нормативы!$L$134, "III юн", "б/р")))))))))))</f>
        <v>II юн</v>
      </c>
      <c r="O133" s="91"/>
      <c r="Q133" s="91" t="str">
        <f t="shared" si="22"/>
        <v xml:space="preserve"> </v>
      </c>
    </row>
    <row r="134" spans="3:17" x14ac:dyDescent="0.2">
      <c r="C134" s="217"/>
      <c r="D134" s="217"/>
      <c r="E134" s="217"/>
      <c r="F134" s="217"/>
      <c r="G134" s="217"/>
      <c r="H134" s="222">
        <v>250.2</v>
      </c>
      <c r="I134" s="91" t="str">
        <f>IF(ISBLANK(H134), " ", IF(ISTEXT(H134), " ", IF(H134&lt;=Нормативы!$H$126, "МСМК", IF(H134&lt;=Нормативы!$H$127, "МС", IF(H134&lt;=Нормативы!$H$128, "КМС", IF(H134&lt;=Нормативы!$H$129, "I", IF(H134&lt;=Нормативы!$H$130, "II", IF(H134&lt;=Нормативы!$H$131, "III", IF(H134&lt;=Нормативы!$H$132, "I юн", IF(H134&lt;=Нормативы!$H$133, "II юн", IF(H134&lt;=Нормативы!$H$134, "III юн", "б/р")))))))))))</f>
        <v>III юн</v>
      </c>
      <c r="J134" s="91" t="str">
        <f>IF(ISBLANK(H134), " ", IF(ISTEXT(H134), " ", IF(H134&lt;=Нормативы!$H$126, "МСМК", IF(H134&lt;=Нормативы!$H$127, "МС", IF(H134&lt;=Нормативы!$H$128, "КМС", IF(H134&lt;=Нормативы!$H$129, "I", IF(H134&lt;=Нормативы!$H$130, "II", IF(H134&lt;=Нормативы!$H$131, "III", IF(H134&lt;=Нормативы!$H$132, "I юн", IF(H134&lt;=Нормативы!$H$133, "II юн", IF(H134&lt;=Нормативы!$H$134, "III юн", "б/р")))))))))))</f>
        <v>III юн</v>
      </c>
      <c r="K134" s="240"/>
      <c r="L134" s="225">
        <f t="shared" si="23"/>
        <v>250</v>
      </c>
      <c r="M134" s="91" t="str">
        <f>IF(ISBLANK(L134), " ", IF(ISTEXT(L134), " ", IF(L134&lt;=Нормативы!$H$126, "КМС", IF(L134&lt;=Нормативы!$H$127, "КМС", IF(L134&lt;=Нормативы!$L$128, "КМС", IF(L134&lt;=Нормативы!$L$129, "I", IF(L134&lt;=Нормативы!$L$130, "II", IF(L134&lt;=Нормативы!$L$131, "III", IF(L134&lt;=Нормативы!$L$132, "I юн", IF(L134&lt;=Нормативы!$L$133, "II юн", IF(L134&lt;=Нормативы!$L$134, "III юн", "б/р")))))))))))</f>
        <v>III юн</v>
      </c>
      <c r="N134" s="91" t="str">
        <f>IF(ISBLANK(L134), " ", IF(ISTEXT(L134), " ", IF(L134&lt;=Нормативы!$H$126, "КМС", IF(L134&lt;=Нормативы!$H$127, "КМС", IF(L134&lt;=Нормативы!$L$128, "КМС", IF(L134&lt;=Нормативы!$L$129, "I", IF(L134&lt;=Нормативы!$L$130, "II", IF(L134&lt;=Нормативы!$L$131, "III", IF(L134&lt;=Нормативы!$L$132, "I юн", IF(L134&lt;=Нормативы!$L$133, "II юн", IF(L134&lt;=Нормативы!$L$134, "III юн", "б/р")))))))))))</f>
        <v>III юн</v>
      </c>
      <c r="O134" s="91"/>
      <c r="Q134" s="91" t="str">
        <f t="shared" si="22"/>
        <v xml:space="preserve"> </v>
      </c>
    </row>
    <row r="135" spans="3:17" x14ac:dyDescent="0.2">
      <c r="C135" s="217"/>
      <c r="D135" s="217"/>
      <c r="E135" s="217"/>
      <c r="F135" s="217"/>
      <c r="G135" s="217"/>
      <c r="H135" s="222"/>
      <c r="I135" s="91" t="str">
        <f>IF(ISBLANK(H135), " ", IF(ISTEXT(H135), " ", IF(H135&lt;=148.2, "КМС", IF(H135&lt;=156.1, "I", IF(H135&lt;=206, "II", IF(H135&lt;=216.8, "III", IF(H135&lt;=226.6, "I юн", IF(H135&lt;=243.3, "II юн", IF(H135&lt;=257, "III юн", "б/р")))))))))</f>
        <v xml:space="preserve"> </v>
      </c>
      <c r="J135" s="91" t="str">
        <f>IF(ISBLANK(H135), " ", IF(ISTEXT(H135), " ", IF(H135&lt;=148.2, "КМС", IF(H135&lt;=156.1, "I", IF(H135&lt;=206, "II", IF(H135&lt;=216.8, "III", IF(H135&lt;=226.6, "I юн", IF(H135&lt;=243.3, "II юн", IF(H135&lt;=257, "III юн", "б/р")))))))))</f>
        <v xml:space="preserve"> </v>
      </c>
      <c r="K135" s="240"/>
      <c r="L135" s="217"/>
      <c r="M135" s="91" t="str">
        <f>IF(ISBLANK(L135), " ", IF(ISTEXT(L135), " ", IF(L135&lt;=148.2, "КМС", IF(L135&lt;=156.1, "I", IF(L135&lt;=206, "II", IF(L135&lt;=216.8, "III", IF(L135&lt;=226.6, "I юн", IF(L135&lt;=243.3, "II юн", IF(L135&lt;=257, "III юн", "б/р")))))))))</f>
        <v xml:space="preserve"> </v>
      </c>
      <c r="N135" s="91" t="str">
        <f>IF(ISBLANK(L135), " ", IF(ISTEXT(L135), " ", IF(L135&lt;=148.2, "КМС", IF(L135&lt;=156.1, "I", IF(L135&lt;=206, "II", IF(L135&lt;=216.8, "III", IF(L135&lt;=226.6, "I юн", IF(L135&lt;=243.3, "II юн", IF(L135&lt;=257, "III юн", "б/р")))))))))</f>
        <v xml:space="preserve"> </v>
      </c>
      <c r="O135" s="91"/>
      <c r="Q135" s="91" t="str">
        <f>IF(ISBLANK(P135), " ", IF(ISTEXT(P135), " ", IF(P135&lt;=148.2, "КМС", IF(P135&lt;=156.1, "I", IF(P135&lt;=206, "II", IF(P135&lt;=216.8, "III", IF(P135&lt;=226.6, "I юн", IF(P135&lt;=243.3, "II юн", IF(P135&lt;=257, "III юн", "б/р")))))))))</f>
        <v xml:space="preserve"> </v>
      </c>
    </row>
    <row r="136" spans="3:17" x14ac:dyDescent="0.2">
      <c r="C136" s="58" t="s">
        <v>389</v>
      </c>
      <c r="D136" s="106"/>
      <c r="E136" s="106"/>
      <c r="F136" s="58"/>
      <c r="G136" s="58"/>
      <c r="H136" s="221"/>
      <c r="I136" s="217"/>
      <c r="J136" s="217"/>
      <c r="K136" s="237"/>
      <c r="L136" s="217"/>
      <c r="M136" s="217"/>
      <c r="N136" s="217"/>
      <c r="Q136" s="217"/>
    </row>
    <row r="137" spans="3:17" x14ac:dyDescent="0.2">
      <c r="C137" s="3"/>
      <c r="D137" s="4"/>
      <c r="E137" s="4"/>
      <c r="F137" s="3"/>
      <c r="G137" s="3"/>
      <c r="H137" s="225">
        <v>318</v>
      </c>
      <c r="I137" s="91" t="str">
        <f>IF(ISBLANK(H137), " ", IF(ISTEXT(H137), " ", IF(H137&lt;=Нормативы!$H$137, "МСМК", IF(H137&lt;=Нормативы!$H$138, "МС", IF(H137&lt;=Нормативы!$H$139, "КМС", IF(H137&lt;=Нормативы!$H$140, "I", IF(H137&lt;=Нормативы!$H$141, "II", IF(H137&lt;=Нормативы!$H$142, "III", IF(H137&lt;=Нормативы!$H$143, "I юн", IF(H137&lt;=Нормативы!$H$144, "II юн", IF(H137&lt;=Нормативы!$H$145, "III юн", "б/р")))))))))))</f>
        <v>МСМК</v>
      </c>
      <c r="J137" s="91" t="str">
        <f>IF(ISBLANK(H137), " ", IF(ISTEXT(H137), " ", IF(H137&lt;=Нормативы!$H$137, "МСМК", IF(H137&lt;=Нормативы!$H$138, "МС", IF(H137&lt;=Нормативы!$H$139, "КМС", IF(H137&lt;=Нормативы!$H$140, "I", IF(H137&lt;=Нормативы!$H$141, "II", IF(H137&lt;=Нормативы!$H$142, "III", IF(H137&lt;=Нормативы!$H$143, "I юн", IF(H137&lt;=Нормативы!$H$144, "II юн", IF(H137&lt;=Нормативы!$H$145, "III юн", "б/р")))))))))))</f>
        <v>МСМК</v>
      </c>
      <c r="K137" s="226"/>
      <c r="L137" s="225"/>
      <c r="M137" s="91" t="str">
        <f>IF(ISBLANK(L137), " ", IF(ISTEXT(L137), " ", IF(L137&lt;=Нормативы!$H$137, "КМС", IF(L137&lt;=Нормативы!$H$138, "КМС", IF(L137&lt;=Нормативы!$L$139, "КМС", IF(L137&lt;=Нормативы!$L$140, "I", IF(L137&lt;=Нормативы!$L$141, "II", IF(L137&lt;=Нормативы!$L$142, "III", IF(L137&lt;=Нормативы!$L$143, "I юн", IF(L137&lt;=Нормативы!$L$144, "II юн", IF(L137&lt;=Нормативы!$L$145, "III юн", "б/р")))))))))))</f>
        <v xml:space="preserve"> </v>
      </c>
      <c r="N137" s="91" t="str">
        <f>IF(ISBLANK(L137), " ", IF(ISTEXT(L137), " ", IF(L137&lt;=318.2, "МСМК", IF(L137&lt;=328.6, "МС", IF(L137&lt;=338.6, "КМС", IF(L137&lt;=355.2, "I", IF(L137&lt;=413.4, "II", IF(L137&lt;=433, "III", IF(L137&lt;=500, "I юн", IF(L137&lt;=530, "II юн", IF(L137&lt;=555, "III юн", "б/р")))))))))))</f>
        <v xml:space="preserve"> </v>
      </c>
      <c r="Q137" s="91" t="str">
        <f t="shared" ref="Q137:Q145" si="24">IF(ISBLANK(P137), " ", IF(ISTEXT(P137), " ", IF(P137&lt;=$H$137, "МСМК", IF(P137&lt;=$H$138, "МС", IF(P137&lt;=$H$139, "КМС", IF(P137&lt;=$H$140, "I", IF(P137&lt;=$H$141, "II", IF(P137&lt;=$H$142, "III", IF(P137&lt;=$H$143, "I юн", IF(P137&lt;=$H$144, "II юн", IF(P137&lt;=$H$145, "III юн", "б/р")))))))))))</f>
        <v xml:space="preserve"> </v>
      </c>
    </row>
    <row r="138" spans="3:17" x14ac:dyDescent="0.2">
      <c r="C138" s="3"/>
      <c r="D138" s="4"/>
      <c r="E138" s="4"/>
      <c r="F138" s="3"/>
      <c r="G138" s="3"/>
      <c r="H138" s="225">
        <v>325.60000000000002</v>
      </c>
      <c r="I138" s="91" t="str">
        <f>IF(ISBLANK(H138), " ", IF(ISTEXT(H138), " ", IF(H138&lt;=Нормативы!$H$137, "МСМК", IF(H138&lt;=Нормативы!$H$138, "МС", IF(H138&lt;=Нормативы!$H$139, "КМС", IF(H138&lt;=Нормативы!$H$140, "I", IF(H138&lt;=Нормативы!$H$141, "II", IF(H138&lt;=Нормативы!$H$142, "III", IF(H138&lt;=Нормативы!$H$143, "I юн", IF(H138&lt;=Нормативы!$H$144, "II юн", IF(H138&lt;=Нормативы!$H$145, "III юн", "б/р")))))))))))</f>
        <v>МС</v>
      </c>
      <c r="J138" s="91" t="str">
        <f>IF(ISBLANK(H138), " ", IF(ISTEXT(H138), " ", IF(H138&lt;=Нормативы!$H$137, "МСМК", IF(H138&lt;=Нормативы!$H$138, "МС", IF(H138&lt;=Нормативы!$H$139, "КМС", IF(H138&lt;=Нормативы!$H$140, "I", IF(H138&lt;=Нормативы!$H$141, "II", IF(H138&lt;=Нормативы!$H$142, "III", IF(H138&lt;=Нормативы!$H$143, "I юн", IF(H138&lt;=Нормативы!$H$144, "II юн", IF(H138&lt;=Нормативы!$H$145, "III юн", "б/р")))))))))))</f>
        <v>МС</v>
      </c>
      <c r="K138" s="226"/>
      <c r="L138" s="225"/>
      <c r="M138" s="91" t="str">
        <f>IF(ISBLANK(L138), " ", IF(ISTEXT(L138), " ", IF(L138&lt;=Нормативы!$H$137, "КМС", IF(L138&lt;=Нормативы!$H$138, "КМС", IF(L138&lt;=Нормативы!$L$139, "КМС", IF(L138&lt;=Нормативы!$L$140, "I", IF(L138&lt;=Нормативы!$L$141, "II", IF(L138&lt;=Нормативы!$L$142, "III", IF(L138&lt;=Нормативы!$L$143, "I юн", IF(L138&lt;=Нормативы!$L$144, "II юн", IF(L138&lt;=Нормативы!$L$145, "III юн", "б/р")))))))))))</f>
        <v xml:space="preserve"> </v>
      </c>
      <c r="N138" s="91" t="str">
        <f>IF(ISBLANK(L138), " ", IF(ISTEXT(L138), " ", IF(L138&lt;=318.2, "МСМК", IF(L138&lt;=328.6, "МС", IF(L138&lt;=338.6, "КМС", IF(L138&lt;=355.2, "I", IF(L138&lt;=413.4, "II", IF(L138&lt;=433, "III", IF(L138&lt;=500, "I юн", IF(L138&lt;=530, "II юн", IF(L138&lt;=555, "III юн", "б/р")))))))))))</f>
        <v xml:space="preserve"> </v>
      </c>
      <c r="Q138" s="91" t="str">
        <f t="shared" si="24"/>
        <v xml:space="preserve"> </v>
      </c>
    </row>
    <row r="139" spans="3:17" x14ac:dyDescent="0.2">
      <c r="C139" s="3"/>
      <c r="D139" s="4"/>
      <c r="E139" s="4"/>
      <c r="F139" s="3"/>
      <c r="G139" s="3"/>
      <c r="H139" s="225">
        <v>337.2</v>
      </c>
      <c r="I139" s="91" t="str">
        <f>IF(ISBLANK(H139), " ", IF(ISTEXT(H139), " ", IF(H139&lt;=Нормативы!$H$137, "МСМК", IF(H139&lt;=Нормативы!$H$138, "МС", IF(H139&lt;=Нормативы!$H$139, "КМС", IF(H139&lt;=Нормативы!$H$140, "I", IF(H139&lt;=Нормативы!$H$141, "II", IF(H139&lt;=Нормативы!$H$142, "III", IF(H139&lt;=Нормативы!$H$143, "I юн", IF(H139&lt;=Нормативы!$H$144, "II юн", IF(H139&lt;=Нормативы!$H$145, "III юн", "б/р")))))))))))</f>
        <v>КМС</v>
      </c>
      <c r="J139" s="91" t="str">
        <f>IF(ISBLANK(H139), " ", IF(ISTEXT(H139), " ", IF(H139&lt;=Нормативы!$H$137, "МСМК", IF(H139&lt;=Нормативы!$H$138, "МС", IF(H139&lt;=Нормативы!$H$139, "КМС", IF(H139&lt;=Нормативы!$H$140, "I", IF(H139&lt;=Нормативы!$H$141, "II", IF(H139&lt;=Нормативы!$H$142, "III", IF(H139&lt;=Нормативы!$H$143, "I юн", IF(H139&lt;=Нормативы!$H$144, "II юн", IF(H139&lt;=Нормативы!$H$145, "III юн", "б/р")))))))))))</f>
        <v>КМС</v>
      </c>
      <c r="K139" s="226"/>
      <c r="L139" s="225">
        <f t="shared" ref="L139:L145" si="25">H139-0.2</f>
        <v>337</v>
      </c>
      <c r="M139" s="91" t="str">
        <f>IF(ISBLANK(L139), " ", IF(ISTEXT(L139), " ", IF(L139&lt;=Нормативы!$H$137, "КМС", IF(L139&lt;=Нормативы!$H$138, "КМС", IF(L139&lt;=Нормативы!$L$139, "КМС", IF(L139&lt;=Нормативы!$L$140, "I", IF(L139&lt;=Нормативы!$L$141, "II", IF(L139&lt;=Нормативы!$L$142, "III", IF(L139&lt;=Нормативы!$L$143, "I юн", IF(L139&lt;=Нормативы!$L$144, "II юн", IF(L139&lt;=Нормативы!$L$145, "III юн", "б/р")))))))))))</f>
        <v>КМС</v>
      </c>
      <c r="N139" s="91" t="str">
        <f>IF(ISBLANK(L139), " ", IF(ISTEXT(L139), " ", IF(L139&lt;=Нормативы!$H$137, "КМС", IF(L139&lt;=Нормативы!$H$138, "КМС", IF(L139&lt;=Нормативы!$L$139, "КМС", IF(L139&lt;=Нормативы!$L$140, "I", IF(L139&lt;=Нормативы!$L$141, "II", IF(L139&lt;=Нормативы!$L$142, "III", IF(L139&lt;=Нормативы!$L$143, "I юн", IF(L139&lt;=Нормативы!$L$144, "II юн", IF(L139&lt;=Нормативы!$L$145, "III юн", "б/р")))))))))))</f>
        <v>КМС</v>
      </c>
      <c r="Q139" s="91" t="str">
        <f t="shared" si="24"/>
        <v xml:space="preserve"> </v>
      </c>
    </row>
    <row r="140" spans="3:17" x14ac:dyDescent="0.2">
      <c r="C140" s="3"/>
      <c r="D140" s="4"/>
      <c r="E140" s="4"/>
      <c r="F140" s="3"/>
      <c r="G140" s="3"/>
      <c r="H140" s="225">
        <v>353.2</v>
      </c>
      <c r="I140" s="91" t="str">
        <f>IF(ISBLANK(H140), " ", IF(ISTEXT(H140), " ", IF(H140&lt;=Нормативы!$H$137, "МСМК", IF(H140&lt;=Нормативы!$H$138, "МС", IF(H140&lt;=Нормативы!$H$139, "КМС", IF(H140&lt;=Нормативы!$H$140, "I", IF(H140&lt;=Нормативы!$H$141, "II", IF(H140&lt;=Нормативы!$H$142, "III", IF(H140&lt;=Нормативы!$H$143, "I юн", IF(H140&lt;=Нормативы!$H$144, "II юн", IF(H140&lt;=Нормативы!$H$145, "III юн", "б/р")))))))))))</f>
        <v>I</v>
      </c>
      <c r="J140" s="91" t="str">
        <f>IF(ISBLANK(H140), " ", IF(ISTEXT(H140), " ", IF(H140&lt;=Нормативы!$H$137, "МСМК", IF(H140&lt;=Нормативы!$H$138, "МС", IF(H140&lt;=Нормативы!$H$139, "КМС", IF(H140&lt;=Нормативы!$H$140, "I", IF(H140&lt;=Нормативы!$H$141, "II", IF(H140&lt;=Нормативы!$H$142, "III", IF(H140&lt;=Нормативы!$H$143, "I юн", IF(H140&lt;=Нормативы!$H$144, "II юн", IF(H140&lt;=Нормативы!$H$145, "III юн", "б/р")))))))))))</f>
        <v>I</v>
      </c>
      <c r="K140" s="226"/>
      <c r="L140" s="225">
        <f t="shared" si="25"/>
        <v>353</v>
      </c>
      <c r="M140" s="91" t="str">
        <f>IF(ISBLANK(L140), " ", IF(ISTEXT(L140), " ", IF(L140&lt;=Нормативы!$H$137, "КМС", IF(L140&lt;=Нормативы!$H$138, "КМС", IF(L140&lt;=Нормативы!$L$139, "КМС", IF(L140&lt;=Нормативы!$L$140, "I", IF(L140&lt;=Нормативы!$L$141, "II", IF(L140&lt;=Нормативы!$L$142, "III", IF(L140&lt;=Нормативы!$L$143, "I юн", IF(L140&lt;=Нормативы!$L$144, "II юн", IF(L140&lt;=Нормативы!$L$145, "III юн", "б/р")))))))))))</f>
        <v>I</v>
      </c>
      <c r="N140" s="91" t="str">
        <f>IF(ISBLANK(L140), " ", IF(ISTEXT(L140), " ", IF(L140&lt;=Нормативы!$H$137, "КМС", IF(L140&lt;=Нормативы!$H$138, "КМС", IF(L140&lt;=Нормативы!$L$139, "КМС", IF(L140&lt;=Нормативы!$L$140, "I", IF(L140&lt;=Нормативы!$L$141, "II", IF(L140&lt;=Нормативы!$L$142, "III", IF(L140&lt;=Нормативы!$L$143, "I юн", IF(L140&lt;=Нормативы!$L$144, "II юн", IF(L140&lt;=Нормативы!$L$145, "III юн", "б/р")))))))))))</f>
        <v>I</v>
      </c>
      <c r="Q140" s="91" t="str">
        <f t="shared" si="24"/>
        <v xml:space="preserve"> </v>
      </c>
    </row>
    <row r="141" spans="3:17" x14ac:dyDescent="0.2">
      <c r="C141" s="3"/>
      <c r="D141" s="4"/>
      <c r="E141" s="4"/>
      <c r="F141" s="3"/>
      <c r="G141" s="3"/>
      <c r="H141" s="225">
        <v>410.2</v>
      </c>
      <c r="I141" s="91" t="str">
        <f>IF(ISBLANK(H141), " ", IF(ISTEXT(H141), " ", IF(H141&lt;=Нормативы!$H$137, "МСМК", IF(H141&lt;=Нормативы!$H$138, "МС", IF(H141&lt;=Нормативы!$H$139, "КМС", IF(H141&lt;=Нормативы!$H$140, "I", IF(H141&lt;=Нормативы!$H$141, "II", IF(H141&lt;=Нормативы!$H$142, "III", IF(H141&lt;=Нормативы!$H$143, "I юн", IF(H141&lt;=Нормативы!$H$144, "II юн", IF(H141&lt;=Нормативы!$H$145, "III юн", "б/р")))))))))))</f>
        <v>II</v>
      </c>
      <c r="J141" s="91" t="str">
        <f>IF(ISBLANK(H141), " ", IF(ISTEXT(H141), " ", IF(H141&lt;=Нормативы!$H$137, "МСМК", IF(H141&lt;=Нормативы!$H$138, "МС", IF(H141&lt;=Нормативы!$H$139, "КМС", IF(H141&lt;=Нормативы!$H$140, "I", IF(H141&lt;=Нормативы!$H$141, "II", IF(H141&lt;=Нормативы!$H$142, "III", IF(H141&lt;=Нормативы!$H$143, "I юн", IF(H141&lt;=Нормативы!$H$144, "II юн", IF(H141&lt;=Нормативы!$H$145, "III юн", "б/р")))))))))))</f>
        <v>II</v>
      </c>
      <c r="K141" s="226"/>
      <c r="L141" s="225">
        <f t="shared" si="25"/>
        <v>410</v>
      </c>
      <c r="M141" s="91" t="str">
        <f>IF(ISBLANK(L141), " ", IF(ISTEXT(L141), " ", IF(L141&lt;=Нормативы!$H$137, "КМС", IF(L141&lt;=Нормативы!$H$138, "КМС", IF(L141&lt;=Нормативы!$L$139, "КМС", IF(L141&lt;=Нормативы!$L$140, "I", IF(L141&lt;=Нормативы!$L$141, "II", IF(L141&lt;=Нормативы!$L$142, "III", IF(L141&lt;=Нормативы!$L$143, "I юн", IF(L141&lt;=Нормативы!$L$144, "II юн", IF(L141&lt;=Нормативы!$L$145, "III юн", "б/р")))))))))))</f>
        <v>II</v>
      </c>
      <c r="N141" s="91" t="str">
        <f>IF(ISBLANK(L141), " ", IF(ISTEXT(L141), " ", IF(L141&lt;=Нормативы!$H$137, "КМС", IF(L141&lt;=Нормативы!$H$138, "КМС", IF(L141&lt;=Нормативы!$L$139, "КМС", IF(L141&lt;=Нормативы!$L$140, "I", IF(L141&lt;=Нормативы!$L$141, "II", IF(L141&lt;=Нормативы!$L$142, "III", IF(L141&lt;=Нормативы!$L$143, "I юн", IF(L141&lt;=Нормативы!$L$144, "II юн", IF(L141&lt;=Нормативы!$L$145, "III юн", "б/р")))))))))))</f>
        <v>II</v>
      </c>
      <c r="Q141" s="91" t="str">
        <f t="shared" si="24"/>
        <v xml:space="preserve"> </v>
      </c>
    </row>
    <row r="142" spans="3:17" x14ac:dyDescent="0.2">
      <c r="C142" s="3"/>
      <c r="D142" s="4"/>
      <c r="E142" s="4"/>
      <c r="F142" s="3"/>
      <c r="G142" s="3"/>
      <c r="H142" s="225">
        <v>430.2</v>
      </c>
      <c r="I142" s="91" t="str">
        <f>IF(ISBLANK(H142), " ", IF(ISTEXT(H142), " ", IF(H142&lt;=Нормативы!$H$137, "МСМК", IF(H142&lt;=Нормативы!$H$138, "МС", IF(H142&lt;=Нормативы!$H$139, "КМС", IF(H142&lt;=Нормативы!$H$140, "I", IF(H142&lt;=Нормативы!$H$141, "II", IF(H142&lt;=Нормативы!$H$142, "III", IF(H142&lt;=Нормативы!$H$143, "I юн", IF(H142&lt;=Нормативы!$H$144, "II юн", IF(H142&lt;=Нормативы!$H$145, "III юн", "б/р")))))))))))</f>
        <v>III</v>
      </c>
      <c r="J142" s="91" t="str">
        <f>IF(ISBLANK(H142), " ", IF(ISTEXT(H142), " ", IF(H142&lt;=Нормативы!$H$137, "МСМК", IF(H142&lt;=Нормативы!$H$138, "МС", IF(H142&lt;=Нормативы!$H$139, "КМС", IF(H142&lt;=Нормативы!$H$140, "I", IF(H142&lt;=Нормативы!$H$141, "II", IF(H142&lt;=Нормативы!$H$142, "III", IF(H142&lt;=Нормативы!$H$143, "I юн", IF(H142&lt;=Нормативы!$H$144, "II юн", IF(H142&lt;=Нормативы!$H$145, "III юн", "б/р")))))))))))</f>
        <v>III</v>
      </c>
      <c r="K142" s="226"/>
      <c r="L142" s="225">
        <f t="shared" si="25"/>
        <v>430</v>
      </c>
      <c r="M142" s="91" t="str">
        <f>IF(ISBLANK(L142), " ", IF(ISTEXT(L142), " ", IF(L142&lt;=Нормативы!$H$137, "КМС", IF(L142&lt;=Нормативы!$H$138, "КМС", IF(L142&lt;=Нормативы!$L$139, "КМС", IF(L142&lt;=Нормативы!$L$140, "I", IF(L142&lt;=Нормативы!$L$141, "II", IF(L142&lt;=Нормативы!$L$142, "III", IF(L142&lt;=Нормативы!$L$143, "I юн", IF(L142&lt;=Нормативы!$L$144, "II юн", IF(L142&lt;=Нормативы!$L$145, "III юн", "б/р")))))))))))</f>
        <v>III</v>
      </c>
      <c r="N142" s="91" t="str">
        <f>IF(ISBLANK(L142), " ", IF(ISTEXT(L142), " ", IF(L142&lt;=Нормативы!$H$137, "КМС", IF(L142&lt;=Нормативы!$H$138, "КМС", IF(L142&lt;=Нормативы!$L$139, "КМС", IF(L142&lt;=Нормативы!$L$140, "I", IF(L142&lt;=Нормативы!$L$141, "II", IF(L142&lt;=Нормативы!$L$142, "III", IF(L142&lt;=Нормативы!$L$143, "I юн", IF(L142&lt;=Нормативы!$L$144, "II юн", IF(L142&lt;=Нормативы!$L$145, "III юн", "б/р")))))))))))</f>
        <v>III</v>
      </c>
      <c r="Q142" s="91" t="str">
        <f t="shared" si="24"/>
        <v xml:space="preserve"> </v>
      </c>
    </row>
    <row r="143" spans="3:17" x14ac:dyDescent="0.2">
      <c r="C143" s="3"/>
      <c r="D143" s="4"/>
      <c r="E143" s="4"/>
      <c r="F143" s="3"/>
      <c r="G143" s="3"/>
      <c r="H143" s="225">
        <v>457.2</v>
      </c>
      <c r="I143" s="91" t="str">
        <f>IF(ISBLANK(H143), " ", IF(ISTEXT(H143), " ", IF(H143&lt;=Нормативы!$H$137, "МСМК", IF(H143&lt;=Нормативы!$H$138, "МС", IF(H143&lt;=Нормативы!$H$139, "КМС", IF(H143&lt;=Нормативы!$H$140, "I", IF(H143&lt;=Нормативы!$H$141, "II", IF(H143&lt;=Нормативы!$H$142, "III", IF(H143&lt;=Нормативы!$H$143, "I юн", IF(H143&lt;=Нормативы!$H$144, "II юн", IF(H143&lt;=Нормативы!$H$145, "III юн", "б/р")))))))))))</f>
        <v>I юн</v>
      </c>
      <c r="J143" s="91" t="str">
        <f>IF(ISBLANK(H143), " ", IF(ISTEXT(H143), " ", IF(H143&lt;=Нормативы!$H$137, "МСМК", IF(H143&lt;=Нормативы!$H$138, "МС", IF(H143&lt;=Нормативы!$H$139, "КМС", IF(H143&lt;=Нормативы!$H$140, "I", IF(H143&lt;=Нормативы!$H$141, "II", IF(H143&lt;=Нормативы!$H$142, "III", IF(H143&lt;=Нормативы!$H$143, "I юн", IF(H143&lt;=Нормативы!$H$144, "II юн", IF(H143&lt;=Нормативы!$H$145, "III юн", "б/р")))))))))))</f>
        <v>I юн</v>
      </c>
      <c r="K143" s="226"/>
      <c r="L143" s="225">
        <f t="shared" si="25"/>
        <v>457</v>
      </c>
      <c r="M143" s="91" t="str">
        <f>IF(ISBLANK(L143), " ", IF(ISTEXT(L143), " ", IF(L143&lt;=Нормативы!$H$137, "КМС", IF(L143&lt;=Нормативы!$H$138, "КМС", IF(L143&lt;=Нормативы!$L$139, "КМС", IF(L143&lt;=Нормативы!$L$140, "I", IF(L143&lt;=Нормативы!$L$141, "II", IF(L143&lt;=Нормативы!$L$142, "III", IF(L143&lt;=Нормативы!$L$143, "I юн", IF(L143&lt;=Нормативы!$L$144, "II юн", IF(L143&lt;=Нормативы!$L$145, "III юн", "б/р")))))))))))</f>
        <v>I юн</v>
      </c>
      <c r="N143" s="91" t="str">
        <f>IF(ISBLANK(L143), " ", IF(ISTEXT(L143), " ", IF(L143&lt;=Нормативы!$H$137, "КМС", IF(L143&lt;=Нормативы!$H$138, "КМС", IF(L143&lt;=Нормативы!$L$139, "КМС", IF(L143&lt;=Нормативы!$L$140, "I", IF(L143&lt;=Нормативы!$L$141, "II", IF(L143&lt;=Нормативы!$L$142, "III", IF(L143&lt;=Нормативы!$L$143, "I юн", IF(L143&lt;=Нормативы!$L$144, "II юн", IF(L143&lt;=Нормативы!$L$145, "III юн", "б/р")))))))))))</f>
        <v>I юн</v>
      </c>
      <c r="Q143" s="91" t="str">
        <f t="shared" si="24"/>
        <v xml:space="preserve"> </v>
      </c>
    </row>
    <row r="144" spans="3:17" x14ac:dyDescent="0.2">
      <c r="C144" s="3"/>
      <c r="D144" s="4"/>
      <c r="E144" s="4"/>
      <c r="F144" s="3"/>
      <c r="G144" s="3"/>
      <c r="H144" s="225">
        <v>526.20000000000005</v>
      </c>
      <c r="I144" s="91" t="str">
        <f>IF(ISBLANK(H144), " ", IF(ISTEXT(H144), " ", IF(H144&lt;=Нормативы!$H$137, "МСМК", IF(H144&lt;=Нормативы!$H$138, "МС", IF(H144&lt;=Нормативы!$H$139, "КМС", IF(H144&lt;=Нормативы!$H$140, "I", IF(H144&lt;=Нормативы!$H$141, "II", IF(H144&lt;=Нормативы!$H$142, "III", IF(H144&lt;=Нормативы!$H$143, "I юн", IF(H144&lt;=Нормативы!$H$144, "II юн", IF(H144&lt;=Нормативы!$H$145, "III юн", "б/р")))))))))))</f>
        <v>II юн</v>
      </c>
      <c r="J144" s="91" t="str">
        <f>IF(ISBLANK(H144), " ", IF(ISTEXT(H144), " ", IF(H144&lt;=Нормативы!$H$137, "МСМК", IF(H144&lt;=Нормативы!$H$138, "МС", IF(H144&lt;=Нормативы!$H$139, "КМС", IF(H144&lt;=Нормативы!$H$140, "I", IF(H144&lt;=Нормативы!$H$141, "II", IF(H144&lt;=Нормативы!$H$142, "III", IF(H144&lt;=Нормативы!$H$143, "I юн", IF(H144&lt;=Нормативы!$H$144, "II юн", IF(H144&lt;=Нормативы!$H$145, "III юн", "б/р")))))))))))</f>
        <v>II юн</v>
      </c>
      <c r="K144" s="226"/>
      <c r="L144" s="225">
        <f t="shared" si="25"/>
        <v>526</v>
      </c>
      <c r="M144" s="91" t="str">
        <f>IF(ISBLANK(L144), " ", IF(ISTEXT(L144), " ", IF(L144&lt;=Нормативы!$H$137, "КМС", IF(L144&lt;=Нормативы!$H$138, "КМС", IF(L144&lt;=Нормативы!$L$139, "КМС", IF(L144&lt;=Нормативы!$L$140, "I", IF(L144&lt;=Нормативы!$L$141, "II", IF(L144&lt;=Нормативы!$L$142, "III", IF(L144&lt;=Нормативы!$L$143, "I юн", IF(L144&lt;=Нормативы!$L$144, "II юн", IF(L144&lt;=Нормативы!$L$145, "III юн", "б/р")))))))))))</f>
        <v>II юн</v>
      </c>
      <c r="N144" s="91" t="str">
        <f>IF(ISBLANK(L144), " ", IF(ISTEXT(L144), " ", IF(L144&lt;=Нормативы!$H$137, "КМС", IF(L144&lt;=Нормативы!$H$138, "КМС", IF(L144&lt;=Нормативы!$L$139, "КМС", IF(L144&lt;=Нормативы!$L$140, "I", IF(L144&lt;=Нормативы!$L$141, "II", IF(L144&lt;=Нормативы!$L$142, "III", IF(L144&lt;=Нормативы!$L$143, "I юн", IF(L144&lt;=Нормативы!$L$144, "II юн", IF(L144&lt;=Нормативы!$L$145, "III юн", "б/р")))))))))))</f>
        <v>II юн</v>
      </c>
      <c r="Q144" s="91" t="str">
        <f t="shared" si="24"/>
        <v xml:space="preserve"> </v>
      </c>
    </row>
    <row r="145" spans="3:33" x14ac:dyDescent="0.2">
      <c r="C145" s="3"/>
      <c r="D145" s="4"/>
      <c r="E145" s="4"/>
      <c r="F145" s="3"/>
      <c r="G145" s="3"/>
      <c r="H145" s="225">
        <v>550.20000000000005</v>
      </c>
      <c r="I145" s="91" t="str">
        <f>IF(ISBLANK(H145), " ", IF(ISTEXT(H145), " ", IF(H145&lt;=Нормативы!$H$137, "МСМК", IF(H145&lt;=Нормативы!$H$138, "МС", IF(H145&lt;=Нормативы!$H$139, "КМС", IF(H145&lt;=Нормативы!$H$140, "I", IF(H145&lt;=Нормативы!$H$141, "II", IF(H145&lt;=Нормативы!$H$142, "III", IF(H145&lt;=Нормативы!$H$143, "I юн", IF(H145&lt;=Нормативы!$H$144, "II юн", IF(H145&lt;=Нормативы!$H$145, "III юн", "б/р")))))))))))</f>
        <v>III юн</v>
      </c>
      <c r="J145" s="91" t="str">
        <f>IF(ISBLANK(H145), " ", IF(ISTEXT(H145), " ", IF(H145&lt;=Нормативы!$H$137, "МСМК", IF(H145&lt;=Нормативы!$H$138, "МС", IF(H145&lt;=Нормативы!$H$139, "КМС", IF(H145&lt;=Нормативы!$H$140, "I", IF(H145&lt;=Нормативы!$H$141, "II", IF(H145&lt;=Нормативы!$H$142, "III", IF(H145&lt;=Нормативы!$H$143, "I юн", IF(H145&lt;=Нормативы!$H$144, "II юн", IF(H145&lt;=Нормативы!$H$145, "III юн", "б/р")))))))))))</f>
        <v>III юн</v>
      </c>
      <c r="K145" s="226"/>
      <c r="L145" s="225">
        <f t="shared" si="25"/>
        <v>550</v>
      </c>
      <c r="M145" s="91" t="str">
        <f>IF(ISBLANK(L145), " ", IF(ISTEXT(L145), " ", IF(L145&lt;=Нормативы!$H$137, "КМС", IF(L145&lt;=Нормативы!$H$138, "КМС", IF(L145&lt;=Нормативы!$L$139, "КМС", IF(L145&lt;=Нормативы!$L$140, "I", IF(L145&lt;=Нормативы!$L$141, "II", IF(L145&lt;=Нормативы!$L$142, "III", IF(L145&lt;=Нормативы!$L$143, "I юн", IF(L145&lt;=Нормативы!$L$144, "II юн", IF(L145&lt;=Нормативы!$L$145, "III юн", "б/р")))))))))))</f>
        <v>III юн</v>
      </c>
      <c r="N145" s="91" t="str">
        <f>IF(ISBLANK(L145), " ", IF(ISTEXT(L145), " ", IF(L145&lt;=Нормативы!$H$137, "КМС", IF(L145&lt;=Нормативы!$H$138, "КМС", IF(L145&lt;=Нормативы!$L$139, "КМС", IF(L145&lt;=Нормативы!$L$140, "I", IF(L145&lt;=Нормативы!$L$141, "II", IF(L145&lt;=Нормативы!$L$142, "III", IF(L145&lt;=Нормативы!$L$143, "I юн", IF(L145&lt;=Нормативы!$L$144, "II юн", IF(L145&lt;=Нормативы!$L$145, "III юн", "б/р")))))))))))</f>
        <v>III юн</v>
      </c>
      <c r="Q145" s="91" t="str">
        <f t="shared" si="24"/>
        <v xml:space="preserve"> </v>
      </c>
    </row>
    <row r="146" spans="3:33" x14ac:dyDescent="0.2">
      <c r="C146" s="3"/>
      <c r="D146" s="4"/>
      <c r="E146" s="4"/>
      <c r="F146" s="3"/>
      <c r="G146" s="3"/>
      <c r="H146" s="225"/>
      <c r="I146" s="217"/>
      <c r="J146" s="217"/>
      <c r="K146" s="226"/>
      <c r="L146" s="217"/>
      <c r="M146" s="217"/>
      <c r="N146" s="217"/>
      <c r="P146" s="233"/>
      <c r="Q146" s="217"/>
      <c r="R146" s="233"/>
      <c r="S146" s="233"/>
      <c r="T146" s="233"/>
      <c r="U146" s="233"/>
      <c r="V146" s="233"/>
      <c r="W146" s="233"/>
      <c r="X146" s="233"/>
      <c r="Y146" s="233"/>
      <c r="Z146" s="233"/>
      <c r="AA146" s="233"/>
      <c r="AB146" s="224"/>
      <c r="AC146" s="224"/>
      <c r="AD146" s="224"/>
      <c r="AE146" s="224"/>
      <c r="AF146" s="224"/>
      <c r="AG146" s="224"/>
    </row>
    <row r="147" spans="3:33" x14ac:dyDescent="0.2">
      <c r="C147" s="58" t="s">
        <v>390</v>
      </c>
      <c r="D147" s="106"/>
      <c r="E147" s="106"/>
      <c r="F147" s="58"/>
      <c r="G147" s="58"/>
      <c r="H147" s="221"/>
      <c r="I147" s="217"/>
      <c r="J147" s="217"/>
      <c r="K147" s="235"/>
      <c r="L147" s="217"/>
      <c r="M147" s="217"/>
      <c r="N147" s="217"/>
      <c r="P147" s="224"/>
      <c r="Q147" s="217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</row>
    <row r="148" spans="3:33" x14ac:dyDescent="0.2">
      <c r="C148" s="3"/>
      <c r="D148" s="4"/>
      <c r="E148" s="4"/>
      <c r="F148" s="3"/>
      <c r="G148" s="3"/>
      <c r="H148" s="225">
        <v>303</v>
      </c>
      <c r="I148" s="91" t="str">
        <f>IF(ISBLANK(H148), " ", IF(ISTEXT(H148), " ", IF(H148&lt;=Нормативы!$H$148, "МСМК", IF(H148&lt;=Нормативы!$H$149, "МС", IF(H148&lt;=Нормативы!$H$150, "КМС", IF(H148&lt;=Нормативы!$H$151, "I", IF(H148&lt;=Нормативы!$H$152, "II", IF(H148&lt;=Нормативы!$H$153, "III", IF(H148&lt;=Нормативы!$H$154, "I юн", IF(H148&lt;=Нормативы!$H$155, "II юн", IF(H148&lt;=Нормативы!$H$156, "III юн", "б/р")))))))))))</f>
        <v>МСМК</v>
      </c>
      <c r="J148" s="91" t="str">
        <f>IF(ISBLANK(H148), " ", IF(ISTEXT(H148), " ", IF(H148&lt;=Нормативы!$H$148, "МСМК", IF(H148&lt;=Нормативы!$H$149, "МС", IF(H148&lt;=Нормативы!$H$150, "КМС", IF(H148&lt;=Нормативы!$H$151, "I", IF(H148&lt;=Нормативы!$H$152, "II", IF(H148&lt;=Нормативы!$H$153, "III", IF(H148&lt;=Нормативы!$H$154, "I юн", IF(H148&lt;=Нормативы!$H$155, "II юн", IF(H148&lt;=Нормативы!$H$156, "III юн", "б/р")))))))))))</f>
        <v>МСМК</v>
      </c>
      <c r="K148" s="226"/>
      <c r="L148" s="225"/>
      <c r="M148" s="91" t="str">
        <f>IF(ISBLANK(L148), " ", IF(ISTEXT(L148), " ", IF(L148&lt;=Нормативы!$H$148, "КМС", IF(L148&lt;=Нормативы!$H$149, "КМС", IF(L148&lt;=Нормативы!$L$150, "КМС", IF(L148&lt;=Нормативы!$L$151, "I", IF(L148&lt;=Нормативы!$L$152, "II", IF(L148&lt;=Нормативы!$L$153, "III", IF(L148&lt;=Нормативы!$L$154, "I юн", IF(L148&lt;=Нормативы!$L$155, "II юн", IF(L148&lt;=Нормативы!$L$156, "III юн", "б/р")))))))))))</f>
        <v xml:space="preserve"> </v>
      </c>
      <c r="N148" s="91" t="str">
        <f>IF(ISBLANK(L148), " ", IF(ISTEXT(L148), " ", IF(L148&lt;=304.2, "МСМК", IF(L148&lt;=314, "МС", IF(L148&lt;=322, "КМС", IF(L148&lt;=336.8, "I", IF(L148&lt;=354.8, "II", IF(L148&lt;=412.8, "III", IF(L148&lt;=441.7, "I юн", IF(L148&lt;=507.6, "II юн", IF(L148&lt;=533.5, "III юн", "б/р")))))))))))</f>
        <v xml:space="preserve"> </v>
      </c>
      <c r="Q148" s="91" t="str">
        <f t="shared" ref="Q148:Q156" si="26">IF(ISBLANK(P148), " ", IF(ISTEXT(P148), " ", IF(P148&lt;=$H$148, "МСМК", IF(P148&lt;=$H$149, "МС", IF(P148&lt;=$H$150, "КМС", IF(P148&lt;=$H$151, "I", IF(P148&lt;=$H$152, "II", IF(P148&lt;=$H$153, "III", IF(P148&lt;=$H$154, "I юн", IF(P148&lt;=$H$155, "II юн", IF(P148&lt;=$H$156, "III юн", "б/р")))))))))))</f>
        <v xml:space="preserve"> </v>
      </c>
    </row>
    <row r="149" spans="3:33" x14ac:dyDescent="0.2">
      <c r="C149" s="3"/>
      <c r="D149" s="4"/>
      <c r="E149" s="4"/>
      <c r="F149" s="3"/>
      <c r="G149" s="3"/>
      <c r="H149" s="225">
        <v>312.5</v>
      </c>
      <c r="I149" s="91" t="str">
        <f>IF(ISBLANK(H149), " ", IF(ISTEXT(H149), " ", IF(H149&lt;=Нормативы!$H$148, "МСМК", IF(H149&lt;=Нормативы!$H$149, "МС", IF(H149&lt;=Нормативы!$H$150, "КМС", IF(H149&lt;=Нормативы!$H$151, "I", IF(H149&lt;=Нормативы!$H$152, "II", IF(H149&lt;=Нормативы!$H$153, "III", IF(H149&lt;=Нормативы!$H$154, "I юн", IF(H149&lt;=Нормативы!$H$155, "II юн", IF(H149&lt;=Нормативы!$H$156, "III юн", "б/р")))))))))))</f>
        <v>МС</v>
      </c>
      <c r="J149" s="91" t="str">
        <f>IF(ISBLANK(H149), " ", IF(ISTEXT(H149), " ", IF(H149&lt;=Нормативы!$H$148, "МСМК", IF(H149&lt;=Нормативы!$H$149, "МС", IF(H149&lt;=Нормативы!$H$150, "КМС", IF(H149&lt;=Нормативы!$H$151, "I", IF(H149&lt;=Нормативы!$H$152, "II", IF(H149&lt;=Нормативы!$H$153, "III", IF(H149&lt;=Нормативы!$H$154, "I юн", IF(H149&lt;=Нормативы!$H$155, "II юн", IF(H149&lt;=Нормативы!$H$156, "III юн", "б/р")))))))))))</f>
        <v>МС</v>
      </c>
      <c r="K149" s="226"/>
      <c r="L149" s="225"/>
      <c r="M149" s="91" t="str">
        <f>IF(ISBLANK(L149), " ", IF(ISTEXT(L149), " ", IF(L149&lt;=Нормативы!$H$148, "КМС", IF(L149&lt;=Нормативы!$H$149, "КМС", IF(L149&lt;=Нормативы!$L$150, "КМС", IF(L149&lt;=Нормативы!$L$151, "I", IF(L149&lt;=Нормативы!$L$152, "II", IF(L149&lt;=Нормативы!$L$153, "III", IF(L149&lt;=Нормативы!$L$154, "I юн", IF(L149&lt;=Нормативы!$L$155, "II юн", IF(L149&lt;=Нормативы!$L$156, "III юн", "б/р")))))))))))</f>
        <v xml:space="preserve"> </v>
      </c>
      <c r="N149" s="91" t="str">
        <f>IF(ISBLANK(L149), " ", IF(ISTEXT(L149), " ", IF(L149&lt;=304.2, "МСМК", IF(L149&lt;=314, "МС", IF(L149&lt;=322, "КМС", IF(L149&lt;=336.8, "I", IF(L149&lt;=354.8, "II", IF(L149&lt;=412.8, "III", IF(L149&lt;=441.7, "I юн", IF(L149&lt;=507.6, "II юн", IF(L149&lt;=533.5, "III юн", "б/р")))))))))))</f>
        <v xml:space="preserve"> </v>
      </c>
      <c r="Q149" s="91" t="str">
        <f t="shared" si="26"/>
        <v xml:space="preserve"> </v>
      </c>
    </row>
    <row r="150" spans="3:33" x14ac:dyDescent="0.2">
      <c r="C150" s="3"/>
      <c r="D150" s="4"/>
      <c r="E150" s="4"/>
      <c r="F150" s="3"/>
      <c r="G150" s="3"/>
      <c r="H150" s="225">
        <v>320.2</v>
      </c>
      <c r="I150" s="91" t="str">
        <f>IF(ISBLANK(H150), " ", IF(ISTEXT(H150), " ", IF(H150&lt;=Нормативы!$H$148, "МСМК", IF(H150&lt;=Нормативы!$H$149, "МС", IF(H150&lt;=Нормативы!$H$150, "КМС", IF(H150&lt;=Нормативы!$H$151, "I", IF(H150&lt;=Нормативы!$H$152, "II", IF(H150&lt;=Нормативы!$H$153, "III", IF(H150&lt;=Нормативы!$H$154, "I юн", IF(H150&lt;=Нормативы!$H$155, "II юн", IF(H150&lt;=Нормативы!$H$156, "III юн", "б/р")))))))))))</f>
        <v>КМС</v>
      </c>
      <c r="J150" s="91" t="str">
        <f>IF(ISBLANK(H150), " ", IF(ISTEXT(H150), " ", IF(H150&lt;=Нормативы!$H$148, "МСМК", IF(H150&lt;=Нормативы!$H$149, "МС", IF(H150&lt;=Нормативы!$H$150, "КМС", IF(H150&lt;=Нормативы!$H$151, "I", IF(H150&lt;=Нормативы!$H$152, "II", IF(H150&lt;=Нормативы!$H$153, "III", IF(H150&lt;=Нормативы!$H$154, "I юн", IF(H150&lt;=Нормативы!$H$155, "II юн", IF(H150&lt;=Нормативы!$H$156, "III юн", "б/р")))))))))))</f>
        <v>КМС</v>
      </c>
      <c r="K150" s="226"/>
      <c r="L150" s="225">
        <f t="shared" ref="L150:L156" si="27">H150-0.2</f>
        <v>320</v>
      </c>
      <c r="M150" s="91" t="str">
        <f>IF(ISBLANK(L150), " ", IF(ISTEXT(L150), " ", IF(L150&lt;=Нормативы!$H$148, "КМС", IF(L150&lt;=Нормативы!$H$149, "КМС", IF(L150&lt;=Нормативы!$L$150, "КМС", IF(L150&lt;=Нормативы!$L$151, "I", IF(L150&lt;=Нормативы!$L$152, "II", IF(L150&lt;=Нормативы!$L$153, "III", IF(L150&lt;=Нормативы!$L$154, "I юн", IF(L150&lt;=Нормативы!$L$155, "II юн", IF(L150&lt;=Нормативы!$L$156, "III юн", "б/р")))))))))))</f>
        <v>КМС</v>
      </c>
      <c r="N150" s="91" t="str">
        <f>IF(ISBLANK(L150), " ", IF(ISTEXT(L150), " ", IF(L150&lt;=Нормативы!$H$148, "КМС", IF(L150&lt;=Нормативы!$H$149, "КМС", IF(L150&lt;=Нормативы!$L$150, "КМС", IF(L150&lt;=Нормативы!$L$151, "I", IF(L150&lt;=Нормативы!$L$152, "II", IF(L150&lt;=Нормативы!$L$153, "III", IF(L150&lt;=Нормативы!$L$154, "I юн", IF(L150&lt;=Нормативы!$L$155, "II юн", IF(L150&lt;=Нормативы!$L$156, "III юн", "б/р")))))))))))</f>
        <v>КМС</v>
      </c>
      <c r="Q150" s="91" t="str">
        <f t="shared" si="26"/>
        <v xml:space="preserve"> </v>
      </c>
    </row>
    <row r="151" spans="3:33" x14ac:dyDescent="0.2">
      <c r="C151" s="3"/>
      <c r="D151" s="4"/>
      <c r="E151" s="4"/>
      <c r="F151" s="3"/>
      <c r="G151" s="3"/>
      <c r="H151" s="225">
        <v>335.7</v>
      </c>
      <c r="I151" s="91" t="str">
        <f>IF(ISBLANK(H151), " ", IF(ISTEXT(H151), " ", IF(H151&lt;=Нормативы!$H$148, "МСМК", IF(H151&lt;=Нормативы!$H$149, "МС", IF(H151&lt;=Нормативы!$H$150, "КМС", IF(H151&lt;=Нормативы!$H$151, "I", IF(H151&lt;=Нормативы!$H$152, "II", IF(H151&lt;=Нормативы!$H$153, "III", IF(H151&lt;=Нормативы!$H$154, "I юн", IF(H151&lt;=Нормативы!$H$155, "II юн", IF(H151&lt;=Нормативы!$H$156, "III юн", "б/р")))))))))))</f>
        <v>I</v>
      </c>
      <c r="J151" s="91" t="str">
        <f>IF(ISBLANK(H151), " ", IF(ISTEXT(H151), " ", IF(H151&lt;=Нормативы!$H$148, "МСМК", IF(H151&lt;=Нормативы!$H$149, "МС", IF(H151&lt;=Нормативы!$H$150, "КМС", IF(H151&lt;=Нормативы!$H$151, "I", IF(H151&lt;=Нормативы!$H$152, "II", IF(H151&lt;=Нормативы!$H$153, "III", IF(H151&lt;=Нормативы!$H$154, "I юн", IF(H151&lt;=Нормативы!$H$155, "II юн", IF(H151&lt;=Нормативы!$H$156, "III юн", "б/р")))))))))))</f>
        <v>I</v>
      </c>
      <c r="K151" s="226"/>
      <c r="L151" s="225">
        <f t="shared" si="27"/>
        <v>335.5</v>
      </c>
      <c r="M151" s="91" t="str">
        <f>IF(ISBLANK(L151), " ", IF(ISTEXT(L151), " ", IF(L151&lt;=Нормативы!$H$148, "КМС", IF(L151&lt;=Нормативы!$H$149, "КМС", IF(L151&lt;=Нормативы!$L$150, "КМС", IF(L151&lt;=Нормативы!$L$151, "I", IF(L151&lt;=Нормативы!$L$152, "II", IF(L151&lt;=Нормативы!$L$153, "III", IF(L151&lt;=Нормативы!$L$154, "I юн", IF(L151&lt;=Нормативы!$L$155, "II юн", IF(L151&lt;=Нормативы!$L$156, "III юн", "б/р")))))))))))</f>
        <v>I</v>
      </c>
      <c r="N151" s="91" t="str">
        <f>IF(ISBLANK(L151), " ", IF(ISTEXT(L151), " ", IF(L151&lt;=Нормативы!$H$148, "КМС", IF(L151&lt;=Нормативы!$H$149, "КМС", IF(L151&lt;=Нормативы!$L$150, "КМС", IF(L151&lt;=Нормативы!$L$151, "I", IF(L151&lt;=Нормативы!$L$152, "II", IF(L151&lt;=Нормативы!$L$153, "III", IF(L151&lt;=Нормативы!$L$154, "I юн", IF(L151&lt;=Нормативы!$L$155, "II юн", IF(L151&lt;=Нормативы!$L$156, "III юн", "б/р")))))))))))</f>
        <v>I</v>
      </c>
      <c r="Q151" s="91" t="str">
        <f t="shared" si="26"/>
        <v xml:space="preserve"> </v>
      </c>
    </row>
    <row r="152" spans="3:33" x14ac:dyDescent="0.2">
      <c r="C152" s="3"/>
      <c r="D152" s="4"/>
      <c r="E152" s="4"/>
      <c r="F152" s="3"/>
      <c r="G152" s="3"/>
      <c r="H152" s="225">
        <v>352.7</v>
      </c>
      <c r="I152" s="91" t="str">
        <f>IF(ISBLANK(H152), " ", IF(ISTEXT(H152), " ", IF(H152&lt;=Нормативы!$H$148, "МСМК", IF(H152&lt;=Нормативы!$H$149, "МС", IF(H152&lt;=Нормативы!$H$150, "КМС", IF(H152&lt;=Нормативы!$H$151, "I", IF(H152&lt;=Нормативы!$H$152, "II", IF(H152&lt;=Нормативы!$H$153, "III", IF(H152&lt;=Нормативы!$H$154, "I юн", IF(H152&lt;=Нормативы!$H$155, "II юн", IF(H152&lt;=Нормативы!$H$156, "III юн", "б/р")))))))))))</f>
        <v>II</v>
      </c>
      <c r="J152" s="91" t="str">
        <f>IF(ISBLANK(H152), " ", IF(ISTEXT(H152), " ", IF(H152&lt;=Нормативы!$H$148, "МСМК", IF(H152&lt;=Нормативы!$H$149, "МС", IF(H152&lt;=Нормативы!$H$150, "КМС", IF(H152&lt;=Нормативы!$H$151, "I", IF(H152&lt;=Нормативы!$H$152, "II", IF(H152&lt;=Нормативы!$H$153, "III", IF(H152&lt;=Нормативы!$H$154, "I юн", IF(H152&lt;=Нормативы!$H$155, "II юн", IF(H152&lt;=Нормативы!$H$156, "III юн", "б/р")))))))))))</f>
        <v>II</v>
      </c>
      <c r="K152" s="226"/>
      <c r="L152" s="225">
        <f t="shared" si="27"/>
        <v>352.5</v>
      </c>
      <c r="M152" s="91" t="str">
        <f>IF(ISBLANK(L152), " ", IF(ISTEXT(L152), " ", IF(L152&lt;=Нормативы!$H$148, "КМС", IF(L152&lt;=Нормативы!$H$149, "КМС", IF(L152&lt;=Нормативы!$L$150, "КМС", IF(L152&lt;=Нормативы!$L$151, "I", IF(L152&lt;=Нормативы!$L$152, "II", IF(L152&lt;=Нормативы!$L$153, "III", IF(L152&lt;=Нормативы!$L$154, "I юн", IF(L152&lt;=Нормативы!$L$155, "II юн", IF(L152&lt;=Нормативы!$L$156, "III юн", "б/р")))))))))))</f>
        <v>II</v>
      </c>
      <c r="N152" s="91" t="str">
        <f>IF(ISBLANK(L152), " ", IF(ISTEXT(L152), " ", IF(L152&lt;=Нормативы!$H$148, "КМС", IF(L152&lt;=Нормативы!$H$149, "КМС", IF(L152&lt;=Нормативы!$L$150, "КМС", IF(L152&lt;=Нормативы!$L$151, "I", IF(L152&lt;=Нормативы!$L$152, "II", IF(L152&lt;=Нормативы!$L$153, "III", IF(L152&lt;=Нормативы!$L$154, "I юн", IF(L152&lt;=Нормативы!$L$155, "II юн", IF(L152&lt;=Нормативы!$L$156, "III юн", "б/р")))))))))))</f>
        <v>II</v>
      </c>
      <c r="Q152" s="91" t="str">
        <f t="shared" si="26"/>
        <v xml:space="preserve"> </v>
      </c>
    </row>
    <row r="153" spans="3:33" x14ac:dyDescent="0.2">
      <c r="C153" s="3"/>
      <c r="D153" s="4"/>
      <c r="E153" s="4"/>
      <c r="F153" s="3"/>
      <c r="G153" s="3"/>
      <c r="H153" s="225">
        <v>411.8</v>
      </c>
      <c r="I153" s="91" t="str">
        <f>IF(ISBLANK(H153), " ", IF(ISTEXT(H153), " ", IF(H153&lt;=Нормативы!$H$148, "МСМК", IF(H153&lt;=Нормативы!$H$149, "МС", IF(H153&lt;=Нормативы!$H$150, "КМС", IF(H153&lt;=Нормативы!$H$151, "I", IF(H153&lt;=Нормативы!$H$152, "II", IF(H153&lt;=Нормативы!$H$153, "III", IF(H153&lt;=Нормативы!$H$154, "I юн", IF(H153&lt;=Нормативы!$H$155, "II юн", IF(H153&lt;=Нормативы!$H$156, "III юн", "б/р")))))))))))</f>
        <v>III</v>
      </c>
      <c r="J153" s="91" t="str">
        <f>IF(ISBLANK(H153), " ", IF(ISTEXT(H153), " ", IF(H153&lt;=Нормативы!$H$148, "МСМК", IF(H153&lt;=Нормативы!$H$149, "МС", IF(H153&lt;=Нормативы!$H$150, "КМС", IF(H153&lt;=Нормативы!$H$151, "I", IF(H153&lt;=Нормативы!$H$152, "II", IF(H153&lt;=Нормативы!$H$153, "III", IF(H153&lt;=Нормативы!$H$154, "I юн", IF(H153&lt;=Нормативы!$H$155, "II юн", IF(H153&lt;=Нормативы!$H$156, "III юн", "б/р")))))))))))</f>
        <v>III</v>
      </c>
      <c r="K153" s="226"/>
      <c r="L153" s="225">
        <f t="shared" si="27"/>
        <v>411.6</v>
      </c>
      <c r="M153" s="91" t="str">
        <f>IF(ISBLANK(L153), " ", IF(ISTEXT(L153), " ", IF(L153&lt;=Нормативы!$H$148, "КМС", IF(L153&lt;=Нормативы!$H$149, "КМС", IF(L153&lt;=Нормативы!$L$150, "КМС", IF(L153&lt;=Нормативы!$L$151, "I", IF(L153&lt;=Нормативы!$L$152, "II", IF(L153&lt;=Нормативы!$L$153, "III", IF(L153&lt;=Нормативы!$L$154, "I юн", IF(L153&lt;=Нормативы!$L$155, "II юн", IF(L153&lt;=Нормативы!$L$156, "III юн", "б/р")))))))))))</f>
        <v>III</v>
      </c>
      <c r="N153" s="91" t="str">
        <f>IF(ISBLANK(L153), " ", IF(ISTEXT(L153), " ", IF(L153&lt;=Нормативы!$H$148, "КМС", IF(L153&lt;=Нормативы!$H$149, "КМС", IF(L153&lt;=Нормативы!$L$150, "КМС", IF(L153&lt;=Нормативы!$L$151, "I", IF(L153&lt;=Нормативы!$L$152, "II", IF(L153&lt;=Нормативы!$L$153, "III", IF(L153&lt;=Нормативы!$L$154, "I юн", IF(L153&lt;=Нормативы!$L$155, "II юн", IF(L153&lt;=Нормативы!$L$156, "III юн", "б/р")))))))))))</f>
        <v>III</v>
      </c>
      <c r="Q153" s="91" t="str">
        <f t="shared" si="26"/>
        <v xml:space="preserve"> </v>
      </c>
    </row>
    <row r="154" spans="3:33" x14ac:dyDescent="0.2">
      <c r="C154" s="3"/>
      <c r="D154" s="4"/>
      <c r="E154" s="4"/>
      <c r="F154" s="3"/>
      <c r="G154" s="3"/>
      <c r="H154" s="225">
        <v>440</v>
      </c>
      <c r="I154" s="91" t="str">
        <f>IF(ISBLANK(H154), " ", IF(ISTEXT(H154), " ", IF(H154&lt;=Нормативы!$H$148, "МСМК", IF(H154&lt;=Нормативы!$H$149, "МС", IF(H154&lt;=Нормативы!$H$150, "КМС", IF(H154&lt;=Нормативы!$H$151, "I", IF(H154&lt;=Нормативы!$H$152, "II", IF(H154&lt;=Нормативы!$H$153, "III", IF(H154&lt;=Нормативы!$H$154, "I юн", IF(H154&lt;=Нормативы!$H$155, "II юн", IF(H154&lt;=Нормативы!$H$156, "III юн", "б/р")))))))))))</f>
        <v>I юн</v>
      </c>
      <c r="J154" s="91" t="str">
        <f>IF(ISBLANK(H154), " ", IF(ISTEXT(H154), " ", IF(H154&lt;=Нормативы!$H$148, "МСМК", IF(H154&lt;=Нормативы!$H$149, "МС", IF(H154&lt;=Нормативы!$H$150, "КМС", IF(H154&lt;=Нормативы!$H$151, "I", IF(H154&lt;=Нормативы!$H$152, "II", IF(H154&lt;=Нормативы!$H$153, "III", IF(H154&lt;=Нормативы!$H$154, "I юн", IF(H154&lt;=Нормативы!$H$155, "II юн", IF(H154&lt;=Нормативы!$H$156, "III юн", "б/р")))))))))))</f>
        <v>I юн</v>
      </c>
      <c r="K154" s="226"/>
      <c r="L154" s="225">
        <f t="shared" si="27"/>
        <v>439.8</v>
      </c>
      <c r="M154" s="91" t="str">
        <f>IF(ISBLANK(L154), " ", IF(ISTEXT(L154), " ", IF(L154&lt;=Нормативы!$H$148, "КМС", IF(L154&lt;=Нормативы!$H$149, "КМС", IF(L154&lt;=Нормативы!$L$150, "КМС", IF(L154&lt;=Нормативы!$L$151, "I", IF(L154&lt;=Нормативы!$L$152, "II", IF(L154&lt;=Нормативы!$L$153, "III", IF(L154&lt;=Нормативы!$L$154, "I юн", IF(L154&lt;=Нормативы!$L$155, "II юн", IF(L154&lt;=Нормативы!$L$156, "III юн", "б/р")))))))))))</f>
        <v>I юн</v>
      </c>
      <c r="N154" s="91" t="str">
        <f>IF(ISBLANK(L154), " ", IF(ISTEXT(L154), " ", IF(L154&lt;=Нормативы!$H$148, "КМС", IF(L154&lt;=Нормативы!$H$149, "КМС", IF(L154&lt;=Нормативы!$L$150, "КМС", IF(L154&lt;=Нормативы!$L$151, "I", IF(L154&lt;=Нормативы!$L$152, "II", IF(L154&lt;=Нормативы!$L$153, "III", IF(L154&lt;=Нормативы!$L$154, "I юн", IF(L154&lt;=Нормативы!$L$155, "II юн", IF(L154&lt;=Нормативы!$L$156, "III юн", "б/р")))))))))))</f>
        <v>I юн</v>
      </c>
      <c r="Q154" s="91" t="str">
        <f t="shared" si="26"/>
        <v xml:space="preserve"> </v>
      </c>
    </row>
    <row r="155" spans="3:33" x14ac:dyDescent="0.2">
      <c r="C155" s="3"/>
      <c r="D155" s="4"/>
      <c r="E155" s="4"/>
      <c r="F155" s="3"/>
      <c r="G155" s="3"/>
      <c r="H155" s="225">
        <v>505.7</v>
      </c>
      <c r="I155" s="91" t="str">
        <f>IF(ISBLANK(H155), " ", IF(ISTEXT(H155), " ", IF(H155&lt;=Нормативы!$H$148, "МСМК", IF(H155&lt;=Нормативы!$H$149, "МС", IF(H155&lt;=Нормативы!$H$150, "КМС", IF(H155&lt;=Нормативы!$H$151, "I", IF(H155&lt;=Нормативы!$H$152, "II", IF(H155&lt;=Нормативы!$H$153, "III", IF(H155&lt;=Нормативы!$H$154, "I юн", IF(H155&lt;=Нормативы!$H$155, "II юн", IF(H155&lt;=Нормативы!$H$156, "III юн", "б/р")))))))))))</f>
        <v>II юн</v>
      </c>
      <c r="J155" s="91" t="str">
        <f>IF(ISBLANK(H155), " ", IF(ISTEXT(H155), " ", IF(H155&lt;=Нормативы!$H$148, "МСМК", IF(H155&lt;=Нормативы!$H$149, "МС", IF(H155&lt;=Нормативы!$H$150, "КМС", IF(H155&lt;=Нормативы!$H$151, "I", IF(H155&lt;=Нормативы!$H$152, "II", IF(H155&lt;=Нормативы!$H$153, "III", IF(H155&lt;=Нормативы!$H$154, "I юн", IF(H155&lt;=Нормативы!$H$155, "II юн", IF(H155&lt;=Нормативы!$H$156, "III юн", "б/р")))))))))))</f>
        <v>II юн</v>
      </c>
      <c r="K155" s="226"/>
      <c r="L155" s="225">
        <f t="shared" si="27"/>
        <v>505.5</v>
      </c>
      <c r="M155" s="91" t="str">
        <f>IF(ISBLANK(L155), " ", IF(ISTEXT(L155), " ", IF(L155&lt;=Нормативы!$H$148, "КМС", IF(L155&lt;=Нормативы!$H$149, "КМС", IF(L155&lt;=Нормативы!$L$150, "КМС", IF(L155&lt;=Нормативы!$L$151, "I", IF(L155&lt;=Нормативы!$L$152, "II", IF(L155&lt;=Нормативы!$L$153, "III", IF(L155&lt;=Нормативы!$L$154, "I юн", IF(L155&lt;=Нормативы!$L$155, "II юн", IF(L155&lt;=Нормативы!$L$156, "III юн", "б/р")))))))))))</f>
        <v>II юн</v>
      </c>
      <c r="N155" s="91" t="str">
        <f>IF(ISBLANK(L155), " ", IF(ISTEXT(L155), " ", IF(L155&lt;=Нормативы!$H$148, "КМС", IF(L155&lt;=Нормативы!$H$149, "КМС", IF(L155&lt;=Нормативы!$L$150, "КМС", IF(L155&lt;=Нормативы!$L$151, "I", IF(L155&lt;=Нормативы!$L$152, "II", IF(L155&lt;=Нормативы!$L$153, "III", IF(L155&lt;=Нормативы!$L$154, "I юн", IF(L155&lt;=Нормативы!$L$155, "II юн", IF(L155&lt;=Нормативы!$L$156, "III юн", "б/р")))))))))))</f>
        <v>II юн</v>
      </c>
      <c r="Q155" s="91" t="str">
        <f t="shared" si="26"/>
        <v xml:space="preserve"> </v>
      </c>
    </row>
    <row r="156" spans="3:33" x14ac:dyDescent="0.2">
      <c r="C156" s="3"/>
      <c r="D156" s="4"/>
      <c r="E156" s="4"/>
      <c r="F156" s="3"/>
      <c r="G156" s="3"/>
      <c r="H156" s="225">
        <v>530.20000000000005</v>
      </c>
      <c r="I156" s="91" t="str">
        <f>IF(ISBLANK(H156), " ", IF(ISTEXT(H156), " ", IF(H156&lt;=Нормативы!$H$148, "МСМК", IF(H156&lt;=Нормативы!$H$149, "МС", IF(H156&lt;=Нормативы!$H$150, "КМС", IF(H156&lt;=Нормативы!$H$151, "I", IF(H156&lt;=Нормативы!$H$152, "II", IF(H156&lt;=Нормативы!$H$153, "III", IF(H156&lt;=Нормативы!$H$154, "I юн", IF(H156&lt;=Нормативы!$H$155, "II юн", IF(H156&lt;=Нормативы!$H$156, "III юн", "б/р")))))))))))</f>
        <v>III юн</v>
      </c>
      <c r="J156" s="91" t="str">
        <f>IF(ISBLANK(H156), " ", IF(ISTEXT(H156), " ", IF(H156&lt;=Нормативы!$H$148, "МСМК", IF(H156&lt;=Нормативы!$H$149, "МС", IF(H156&lt;=Нормативы!$H$150, "КМС", IF(H156&lt;=Нормативы!$H$151, "I", IF(H156&lt;=Нормативы!$H$152, "II", IF(H156&lt;=Нормативы!$H$153, "III", IF(H156&lt;=Нормативы!$H$154, "I юн", IF(H156&lt;=Нормативы!$H$155, "II юн", IF(H156&lt;=Нормативы!$H$156, "III юн", "б/р")))))))))))</f>
        <v>III юн</v>
      </c>
      <c r="K156" s="226"/>
      <c r="L156" s="225">
        <f t="shared" si="27"/>
        <v>530</v>
      </c>
      <c r="M156" s="91" t="str">
        <f>IF(ISBLANK(L156), " ", IF(ISTEXT(L156), " ", IF(L156&lt;=Нормативы!$H$148, "КМС", IF(L156&lt;=Нормативы!$H$149, "КМС", IF(L156&lt;=Нормативы!$L$150, "КМС", IF(L156&lt;=Нормативы!$L$151, "I", IF(L156&lt;=Нормативы!$L$152, "II", IF(L156&lt;=Нормативы!$L$153, "III", IF(L156&lt;=Нормативы!$L$154, "I юн", IF(L156&lt;=Нормативы!$L$155, "II юн", IF(L156&lt;=Нормативы!$L$156, "III юн", "б/р")))))))))))</f>
        <v>III юн</v>
      </c>
      <c r="N156" s="91" t="str">
        <f>IF(ISBLANK(L156), " ", IF(ISTEXT(L156), " ", IF(L156&lt;=Нормативы!$H$148, "КМС", IF(L156&lt;=Нормативы!$H$149, "КМС", IF(L156&lt;=Нормативы!$L$150, "КМС", IF(L156&lt;=Нормативы!$L$151, "I", IF(L156&lt;=Нормативы!$L$152, "II", IF(L156&lt;=Нормативы!$L$153, "III", IF(L156&lt;=Нормативы!$L$154, "I юн", IF(L156&lt;=Нормативы!$L$155, "II юн", IF(L156&lt;=Нормативы!$L$156, "III юн", "б/р")))))))))))</f>
        <v>III юн</v>
      </c>
      <c r="Q156" s="91" t="str">
        <f t="shared" si="26"/>
        <v xml:space="preserve"> </v>
      </c>
    </row>
    <row r="157" spans="3:33" x14ac:dyDescent="0.2">
      <c r="C157" s="3"/>
      <c r="D157" s="4"/>
      <c r="E157" s="4"/>
      <c r="F157" s="3"/>
      <c r="G157" s="3"/>
      <c r="H157" s="225"/>
      <c r="I157" s="91"/>
      <c r="J157" s="91"/>
      <c r="K157" s="226"/>
      <c r="L157" s="225"/>
      <c r="M157" s="91"/>
      <c r="N157" s="91"/>
      <c r="Q157" s="91"/>
    </row>
    <row r="158" spans="3:33" x14ac:dyDescent="0.2">
      <c r="C158" s="58" t="s">
        <v>391</v>
      </c>
      <c r="D158" s="217"/>
      <c r="E158" s="217"/>
      <c r="F158" s="217"/>
      <c r="G158" s="217"/>
      <c r="H158" s="234"/>
      <c r="I158" s="217"/>
      <c r="J158" s="217"/>
      <c r="K158" s="235"/>
      <c r="L158" s="217"/>
      <c r="M158" s="217"/>
      <c r="N158" s="217"/>
      <c r="Q158" s="217"/>
    </row>
    <row r="159" spans="3:33" x14ac:dyDescent="0.2">
      <c r="C159" s="217"/>
      <c r="D159" s="217"/>
      <c r="E159" s="217"/>
      <c r="F159" s="217"/>
      <c r="G159" s="217"/>
      <c r="H159" s="222">
        <v>348.9</v>
      </c>
      <c r="I159" s="91" t="str">
        <f>IF(ISBLANK(H159), " ", IF(ISTEXT(H159), " ", IF(H159&lt;=Нормативы!$H$159, "МСМК", IF(H159&lt;=Нормативы!$H$160, "МС", IF(H159&lt;=Нормативы!$H$161, "КМС", IF(H159&lt;=Нормативы!$H$162, "I", IF(H159&lt;=Нормативы!$H$163, "II", IF(H159&lt;=Нормативы!$H$164, "III", IF(H159&lt;=Нормативы!$H$165, "I юн", IF(H159&lt;=Нормативы!$H$166, "II юн", IF(H159&lt;=Нормативы!$H$167, "III юн", "б/р")))))))))))</f>
        <v>МСМК</v>
      </c>
      <c r="J159" s="91" t="str">
        <f>IF(ISBLANK(H159), " ", IF(ISTEXT(H159), " ", IF(H159&lt;=Нормативы!$H$159, "МСМК", IF(H159&lt;=Нормативы!$H$160, "МС", IF(H159&lt;=Нормативы!$H$161, "КМС", IF(H159&lt;=Нормативы!$H$162, "I", IF(H159&lt;=Нормативы!$H$163, "II", IF(H159&lt;=Нормативы!$H$164, "III", IF(H159&lt;=Нормативы!$H$165, "I юн", IF(H159&lt;=Нормативы!$H$166, "II юн", IF(H159&lt;=Нормативы!$H$167, "III юн", "б/р")))))))))))</f>
        <v>МСМК</v>
      </c>
      <c r="K159" s="226"/>
      <c r="L159" s="222"/>
      <c r="M159" s="91" t="str">
        <f>IF(ISBLANK(L159), " ", IF(ISTEXT(L159), " ", IF(L159&lt;=Нормативы!$H$159, "КМС", IF(L159&lt;=Нормативы!$H$160, "КМС", IF(L159&lt;=Нормативы!$L$161, "КМС", IF(L159&lt;=Нормативы!$L$162, "I", IF(L159&lt;=Нормативы!$L$163, "II", IF(L159&lt;=Нормативы!$L$164, "III", IF(L159&lt;=Нормативы!$L$165, "I юн", IF(L159&lt;=Нормативы!$L$166, "II юн", IF(L159&lt;=Нормативы!$L$167, "III юн", "б/р")))))))))))</f>
        <v xml:space="preserve"> </v>
      </c>
      <c r="N159" s="91" t="str">
        <f>IF(ISBLANK(L159), " ", IF(ISTEXT(L159), " ", IF(L159&lt;=349, "МСМК", IF(L159&lt;=404.4, "МС", IF(L159&lt;=414, "КМС", IF(L159&lt;=430, "I", IF(L159&lt;=448, "II", IF(L159&lt;=508, "III", IF(L159&lt;=534, "I юн", IF(L159&lt;=601, "II юн", IF(L159&lt;=630, "III юн", "б/р")))))))))))</f>
        <v xml:space="preserve"> </v>
      </c>
      <c r="O159" s="91"/>
      <c r="Q159" s="91" t="str">
        <f t="shared" ref="Q159:Q167" si="28">IF(ISBLANK(P159), " ", IF(ISTEXT(P159), " ", IF(P159&lt;=$H$159, "МСМК", IF(P159&lt;=$H$160, "МС", IF(P159&lt;=$H$161, "КМС", IF(P159&lt;=$H$162, "I", IF(P159&lt;=$H$163, "II", IF(P159&lt;=$H$164, "III", IF(P159&lt;=$H$165, "I юн", IF(P159&lt;=$H$166, "II юн", IF(P159&lt;=$H$167, "III юн", "б/р")))))))))))</f>
        <v xml:space="preserve"> </v>
      </c>
    </row>
    <row r="160" spans="3:33" x14ac:dyDescent="0.2">
      <c r="C160" s="217"/>
      <c r="D160" s="217"/>
      <c r="E160" s="217"/>
      <c r="F160" s="217"/>
      <c r="G160" s="217"/>
      <c r="H160" s="222">
        <v>359.5</v>
      </c>
      <c r="I160" s="91" t="str">
        <f>IF(ISBLANK(H160), " ", IF(ISTEXT(H160), " ", IF(H160&lt;=Нормативы!$H$159, "МСМК", IF(H160&lt;=Нормативы!$H$160, "МС", IF(H160&lt;=Нормативы!$H$161, "КМС", IF(H160&lt;=Нормативы!$H$162, "I", IF(H160&lt;=Нормативы!$H$163, "II", IF(H160&lt;=Нормативы!$H$164, "III", IF(H160&lt;=Нормативы!$H$165, "I юн", IF(H160&lt;=Нормативы!$H$166, "II юн", IF(H160&lt;=Нормативы!$H$167, "III юн", "б/р")))))))))))</f>
        <v>МС</v>
      </c>
      <c r="J160" s="91" t="str">
        <f>IF(ISBLANK(H160), " ", IF(ISTEXT(H160), " ", IF(H160&lt;=Нормативы!$H$159, "МСМК", IF(H160&lt;=Нормативы!$H$160, "МС", IF(H160&lt;=Нормативы!$H$161, "КМС", IF(H160&lt;=Нормативы!$H$162, "I", IF(H160&lt;=Нормативы!$H$163, "II", IF(H160&lt;=Нормативы!$H$164, "III", IF(H160&lt;=Нормативы!$H$165, "I юн", IF(H160&lt;=Нормативы!$H$166, "II юн", IF(H160&lt;=Нормативы!$H$167, "III юн", "б/р")))))))))))</f>
        <v>МС</v>
      </c>
      <c r="K160" s="226"/>
      <c r="L160" s="222"/>
      <c r="M160" s="91" t="str">
        <f>IF(ISBLANK(L160), " ", IF(ISTEXT(L160), " ", IF(L160&lt;=Нормативы!$H$159, "КМС", IF(L160&lt;=Нормативы!$H$160, "КМС", IF(L160&lt;=Нормативы!$L$161, "КМС", IF(L160&lt;=Нормативы!$L$162, "I", IF(L160&lt;=Нормативы!$L$163, "II", IF(L160&lt;=Нормативы!$L$164, "III", IF(L160&lt;=Нормативы!$L$165, "I юн", IF(L160&lt;=Нормативы!$L$166, "II юн", IF(L160&lt;=Нормативы!$L$167, "III юн", "б/р")))))))))))</f>
        <v xml:space="preserve"> </v>
      </c>
      <c r="N160" s="91" t="str">
        <f>IF(ISBLANK(L160), " ", IF(ISTEXT(L160), " ", IF(L160&lt;=349, "МСМК", IF(L160&lt;=404.4, "МС", IF(L160&lt;=414, "КМС", IF(L160&lt;=430, "I", IF(L160&lt;=448, "II", IF(L160&lt;=508, "III", IF(L160&lt;=534, "I юн", IF(L160&lt;=601, "II юн", IF(L160&lt;=630, "III юн", "б/р")))))))))))</f>
        <v xml:space="preserve"> </v>
      </c>
      <c r="O160" s="91"/>
      <c r="Q160" s="91" t="str">
        <f t="shared" si="28"/>
        <v xml:space="preserve"> </v>
      </c>
    </row>
    <row r="161" spans="3:33" x14ac:dyDescent="0.2">
      <c r="C161" s="217"/>
      <c r="D161" s="217"/>
      <c r="E161" s="217"/>
      <c r="F161" s="217"/>
      <c r="G161" s="217"/>
      <c r="H161" s="222">
        <v>412.8</v>
      </c>
      <c r="I161" s="91" t="str">
        <f>IF(ISBLANK(H161), " ", IF(ISTEXT(H161), " ", IF(H161&lt;=Нормативы!$H$159, "МСМК", IF(H161&lt;=Нормативы!$H$160, "МС", IF(H161&lt;=Нормативы!$H$161, "КМС", IF(H161&lt;=Нормативы!$H$162, "I", IF(H161&lt;=Нормативы!$H$163, "II", IF(H161&lt;=Нормативы!$H$164, "III", IF(H161&lt;=Нормативы!$H$165, "I юн", IF(H161&lt;=Нормативы!$H$166, "II юн", IF(H161&lt;=Нормативы!$H$167, "III юн", "б/р")))))))))))</f>
        <v>КМС</v>
      </c>
      <c r="J161" s="91" t="str">
        <f>IF(ISBLANK(H161), " ", IF(ISTEXT(H161), " ", IF(H161&lt;=Нормативы!$H$159, "МСМК", IF(H161&lt;=Нормативы!$H$160, "МС", IF(H161&lt;=Нормативы!$H$161, "КМС", IF(H161&lt;=Нормативы!$H$162, "I", IF(H161&lt;=Нормативы!$H$163, "II", IF(H161&lt;=Нормативы!$H$164, "III", IF(H161&lt;=Нормативы!$H$165, "I юн", IF(H161&lt;=Нормативы!$H$166, "II юн", IF(H161&lt;=Нормативы!$H$167, "III юн", "б/р")))))))))))</f>
        <v>КМС</v>
      </c>
      <c r="K161" s="226"/>
      <c r="L161" s="225">
        <f t="shared" ref="L161:L167" si="29">H161-0.2</f>
        <v>412.6</v>
      </c>
      <c r="M161" s="91" t="str">
        <f>IF(ISBLANK(L161), " ", IF(ISTEXT(L161), " ", IF(L161&lt;=Нормативы!$H$159, "КМС", IF(L161&lt;=Нормативы!$H$160, "КМС", IF(L161&lt;=Нормативы!$L$161, "КМС", IF(L161&lt;=Нормативы!$L$162, "I", IF(L161&lt;=Нормативы!$L$163, "II", IF(L161&lt;=Нормативы!$L$164, "III", IF(L161&lt;=Нормативы!$L$165, "I юн", IF(L161&lt;=Нормативы!$L$166, "II юн", IF(L161&lt;=Нормативы!$L$167, "III юн", "б/р")))))))))))</f>
        <v>КМС</v>
      </c>
      <c r="N161" s="91" t="str">
        <f>IF(ISBLANK(L161), " ", IF(ISTEXT(L161), " ", IF(L161&lt;=Нормативы!$H$159, "КМС", IF(L161&lt;=Нормативы!$H$160, "КМС", IF(L161&lt;=Нормативы!$L$161, "КМС", IF(L161&lt;=Нормативы!$L$162, "I", IF(L161&lt;=Нормативы!$L$163, "II", IF(L161&lt;=Нормативы!$L$164, "III", IF(L161&lt;=Нормативы!$L$165, "I юн", IF(L161&lt;=Нормативы!$L$166, "II юн", IF(L161&lt;=Нормативы!$L$167, "III юн", "б/р")))))))))))</f>
        <v>КМС</v>
      </c>
      <c r="O161" s="91"/>
      <c r="Q161" s="91" t="str">
        <f t="shared" si="28"/>
        <v xml:space="preserve"> </v>
      </c>
    </row>
    <row r="162" spans="3:33" x14ac:dyDescent="0.2">
      <c r="C162" s="217"/>
      <c r="D162" s="217"/>
      <c r="E162" s="217"/>
      <c r="F162" s="217"/>
      <c r="G162" s="217"/>
      <c r="H162" s="222">
        <v>428.2</v>
      </c>
      <c r="I162" s="91" t="str">
        <f>IF(ISBLANK(H162), " ", IF(ISTEXT(H162), " ", IF(H162&lt;=Нормативы!$H$159, "МСМК", IF(H162&lt;=Нормативы!$H$160, "МС", IF(H162&lt;=Нормативы!$H$161, "КМС", IF(H162&lt;=Нормативы!$H$162, "I", IF(H162&lt;=Нормативы!$H$163, "II", IF(H162&lt;=Нормативы!$H$164, "III", IF(H162&lt;=Нормативы!$H$165, "I юн", IF(H162&lt;=Нормативы!$H$166, "II юн", IF(H162&lt;=Нормативы!$H$167, "III юн", "б/р")))))))))))</f>
        <v>I</v>
      </c>
      <c r="J162" s="91" t="str">
        <f>IF(ISBLANK(H162), " ", IF(ISTEXT(H162), " ", IF(H162&lt;=Нормативы!$H$159, "МСМК", IF(H162&lt;=Нормативы!$H$160, "МС", IF(H162&lt;=Нормативы!$H$161, "КМС", IF(H162&lt;=Нормативы!$H$162, "I", IF(H162&lt;=Нормативы!$H$163, "II", IF(H162&lt;=Нормативы!$H$164, "III", IF(H162&lt;=Нормативы!$H$165, "I юн", IF(H162&lt;=Нормативы!$H$166, "II юн", IF(H162&lt;=Нормативы!$H$167, "III юн", "б/р")))))))))))</f>
        <v>I</v>
      </c>
      <c r="K162" s="226"/>
      <c r="L162" s="225">
        <f t="shared" si="29"/>
        <v>428</v>
      </c>
      <c r="M162" s="91" t="str">
        <f>IF(ISBLANK(L162), " ", IF(ISTEXT(L162), " ", IF(L162&lt;=Нормативы!$H$159, "КМС", IF(L162&lt;=Нормативы!$H$160, "КМС", IF(L162&lt;=Нормативы!$L$161, "КМС", IF(L162&lt;=Нормативы!$L$162, "I", IF(L162&lt;=Нормативы!$L$163, "II", IF(L162&lt;=Нормативы!$L$164, "III", IF(L162&lt;=Нормативы!$L$165, "I юн", IF(L162&lt;=Нормативы!$L$166, "II юн", IF(L162&lt;=Нормативы!$L$167, "III юн", "б/р")))))))))))</f>
        <v>I</v>
      </c>
      <c r="N162" s="91" t="str">
        <f>IF(ISBLANK(L162), " ", IF(ISTEXT(L162), " ", IF(L162&lt;=Нормативы!$H$159, "КМС", IF(L162&lt;=Нормативы!$H$160, "КМС", IF(L162&lt;=Нормативы!$L$161, "КМС", IF(L162&lt;=Нормативы!$L$162, "I", IF(L162&lt;=Нормативы!$L$163, "II", IF(L162&lt;=Нормативы!$L$164, "III", IF(L162&lt;=Нормативы!$L$165, "I юн", IF(L162&lt;=Нормативы!$L$166, "II юн", IF(L162&lt;=Нормативы!$L$167, "III юн", "б/р")))))))))))</f>
        <v>I</v>
      </c>
      <c r="O162" s="91"/>
      <c r="Q162" s="91" t="str">
        <f t="shared" si="28"/>
        <v xml:space="preserve"> </v>
      </c>
    </row>
    <row r="163" spans="3:33" x14ac:dyDescent="0.2">
      <c r="C163" s="217"/>
      <c r="D163" s="217"/>
      <c r="E163" s="217"/>
      <c r="F163" s="217"/>
      <c r="G163" s="217"/>
      <c r="H163" s="222">
        <v>446.7</v>
      </c>
      <c r="I163" s="91" t="str">
        <f>IF(ISBLANK(H163), " ", IF(ISTEXT(H163), " ", IF(H163&lt;=Нормативы!$H$159, "МСМК", IF(H163&lt;=Нормативы!$H$160, "МС", IF(H163&lt;=Нормативы!$H$161, "КМС", IF(H163&lt;=Нормативы!$H$162, "I", IF(H163&lt;=Нормативы!$H$163, "II", IF(H163&lt;=Нормативы!$H$164, "III", IF(H163&lt;=Нормативы!$H$165, "I юн", IF(H163&lt;=Нормативы!$H$166, "II юн", IF(H163&lt;=Нормативы!$H$167, "III юн", "б/р")))))))))))</f>
        <v>II</v>
      </c>
      <c r="J163" s="91" t="str">
        <f>IF(ISBLANK(H163), " ", IF(ISTEXT(H163), " ", IF(H163&lt;=Нормативы!$H$159, "МСМК", IF(H163&lt;=Нормативы!$H$160, "МС", IF(H163&lt;=Нормативы!$H$161, "КМС", IF(H163&lt;=Нормативы!$H$162, "I", IF(H163&lt;=Нормативы!$H$163, "II", IF(H163&lt;=Нормативы!$H$164, "III", IF(H163&lt;=Нормативы!$H$165, "I юн", IF(H163&lt;=Нормативы!$H$166, "II юн", IF(H163&lt;=Нормативы!$H$167, "III юн", "б/р")))))))))))</f>
        <v>II</v>
      </c>
      <c r="K163" s="226"/>
      <c r="L163" s="225">
        <f t="shared" si="29"/>
        <v>446.5</v>
      </c>
      <c r="M163" s="91" t="str">
        <f>IF(ISBLANK(L163), " ", IF(ISTEXT(L163), " ", IF(L163&lt;=Нормативы!$H$159, "КМС", IF(L163&lt;=Нормативы!$H$160, "КМС", IF(L163&lt;=Нормативы!$L$161, "КМС", IF(L163&lt;=Нормативы!$L$162, "I", IF(L163&lt;=Нормативы!$L$163, "II", IF(L163&lt;=Нормативы!$L$164, "III", IF(L163&lt;=Нормативы!$L$165, "I юн", IF(L163&lt;=Нормативы!$L$166, "II юн", IF(L163&lt;=Нормативы!$L$167, "III юн", "б/р")))))))))))</f>
        <v>II</v>
      </c>
      <c r="N163" s="91" t="str">
        <f>IF(ISBLANK(L163), " ", IF(ISTEXT(L163), " ", IF(L163&lt;=Нормативы!$H$159, "КМС", IF(L163&lt;=Нормативы!$H$160, "КМС", IF(L163&lt;=Нормативы!$L$161, "КМС", IF(L163&lt;=Нормативы!$L$162, "I", IF(L163&lt;=Нормативы!$L$163, "II", IF(L163&lt;=Нормативы!$L$164, "III", IF(L163&lt;=Нормативы!$L$165, "I юн", IF(L163&lt;=Нормативы!$L$166, "II юн", IF(L163&lt;=Нормативы!$L$167, "III юн", "б/р")))))))))))</f>
        <v>II</v>
      </c>
      <c r="O163" s="91"/>
      <c r="Q163" s="91" t="str">
        <f t="shared" si="28"/>
        <v xml:space="preserve"> </v>
      </c>
    </row>
    <row r="164" spans="3:33" x14ac:dyDescent="0.2">
      <c r="C164" s="217"/>
      <c r="D164" s="217"/>
      <c r="E164" s="217"/>
      <c r="F164" s="217"/>
      <c r="G164" s="217"/>
      <c r="H164" s="222">
        <v>506.2</v>
      </c>
      <c r="I164" s="91" t="str">
        <f>IF(ISBLANK(H164), " ", IF(ISTEXT(H164), " ", IF(H164&lt;=Нормативы!$H$159, "МСМК", IF(H164&lt;=Нормативы!$H$160, "МС", IF(H164&lt;=Нормативы!$H$161, "КМС", IF(H164&lt;=Нормативы!$H$162, "I", IF(H164&lt;=Нормативы!$H$163, "II", IF(H164&lt;=Нормативы!$H$164, "III", IF(H164&lt;=Нормативы!$H$165, "I юн", IF(H164&lt;=Нормативы!$H$166, "II юн", IF(H164&lt;=Нормативы!$H$167, "III юн", "б/р")))))))))))</f>
        <v>III</v>
      </c>
      <c r="J164" s="91" t="str">
        <f>IF(ISBLANK(H164), " ", IF(ISTEXT(H164), " ", IF(H164&lt;=Нормативы!$H$159, "МСМК", IF(H164&lt;=Нормативы!$H$160, "МС", IF(H164&lt;=Нормативы!$H$161, "КМС", IF(H164&lt;=Нормативы!$H$162, "I", IF(H164&lt;=Нормативы!$H$163, "II", IF(H164&lt;=Нормативы!$H$164, "III", IF(H164&lt;=Нормативы!$H$165, "I юн", IF(H164&lt;=Нормативы!$H$166, "II юн", IF(H164&lt;=Нормативы!$H$167, "III юн", "б/р")))))))))))</f>
        <v>III</v>
      </c>
      <c r="K164" s="226"/>
      <c r="L164" s="225">
        <f t="shared" si="29"/>
        <v>506</v>
      </c>
      <c r="M164" s="91" t="str">
        <f>IF(ISBLANK(L164), " ", IF(ISTEXT(L164), " ", IF(L164&lt;=Нормативы!$H$159, "КМС", IF(L164&lt;=Нормативы!$H$160, "КМС", IF(L164&lt;=Нормативы!$L$161, "КМС", IF(L164&lt;=Нормативы!$L$162, "I", IF(L164&lt;=Нормативы!$L$163, "II", IF(L164&lt;=Нормативы!$L$164, "III", IF(L164&lt;=Нормативы!$L$165, "I юн", IF(L164&lt;=Нормативы!$L$166, "II юн", IF(L164&lt;=Нормативы!$L$167, "III юн", "б/р")))))))))))</f>
        <v>III</v>
      </c>
      <c r="N164" s="91" t="str">
        <f>IF(ISBLANK(L164), " ", IF(ISTEXT(L164), " ", IF(L164&lt;=Нормативы!$H$159, "КМС", IF(L164&lt;=Нормативы!$H$160, "КМС", IF(L164&lt;=Нормативы!$L$161, "КМС", IF(L164&lt;=Нормативы!$L$162, "I", IF(L164&lt;=Нормативы!$L$163, "II", IF(L164&lt;=Нормативы!$L$164, "III", IF(L164&lt;=Нормативы!$L$165, "I юн", IF(L164&lt;=Нормативы!$L$166, "II юн", IF(L164&lt;=Нормативы!$L$167, "III юн", "б/р")))))))))))</f>
        <v>III</v>
      </c>
      <c r="O164" s="91"/>
      <c r="Q164" s="91" t="str">
        <f t="shared" si="28"/>
        <v xml:space="preserve"> </v>
      </c>
    </row>
    <row r="165" spans="3:33" x14ac:dyDescent="0.2">
      <c r="C165" s="217"/>
      <c r="D165" s="217"/>
      <c r="E165" s="217"/>
      <c r="F165" s="217"/>
      <c r="G165" s="217"/>
      <c r="H165" s="222">
        <v>530.20000000000005</v>
      </c>
      <c r="I165" s="91" t="str">
        <f>IF(ISBLANK(H165), " ", IF(ISTEXT(H165), " ", IF(H165&lt;=Нормативы!$H$159, "МСМК", IF(H165&lt;=Нормативы!$H$160, "МС", IF(H165&lt;=Нормативы!$H$161, "КМС", IF(H165&lt;=Нормативы!$H$162, "I", IF(H165&lt;=Нормативы!$H$163, "II", IF(H165&lt;=Нормативы!$H$164, "III", IF(H165&lt;=Нормативы!$H$165, "I юн", IF(H165&lt;=Нормативы!$H$166, "II юн", IF(H165&lt;=Нормативы!$H$167, "III юн", "б/р")))))))))))</f>
        <v>I юн</v>
      </c>
      <c r="J165" s="91" t="str">
        <f>IF(ISBLANK(H165), " ", IF(ISTEXT(H165), " ", IF(H165&lt;=Нормативы!$H$159, "МСМК", IF(H165&lt;=Нормативы!$H$160, "МС", IF(H165&lt;=Нормативы!$H$161, "КМС", IF(H165&lt;=Нормативы!$H$162, "I", IF(H165&lt;=Нормативы!$H$163, "II", IF(H165&lt;=Нормативы!$H$164, "III", IF(H165&lt;=Нормативы!$H$165, "I юн", IF(H165&lt;=Нормативы!$H$166, "II юн", IF(H165&lt;=Нормативы!$H$167, "III юн", "б/р")))))))))))</f>
        <v>I юн</v>
      </c>
      <c r="K165" s="226"/>
      <c r="L165" s="225">
        <f t="shared" si="29"/>
        <v>530</v>
      </c>
      <c r="M165" s="91" t="str">
        <f>IF(ISBLANK(L165), " ", IF(ISTEXT(L165), " ", IF(L165&lt;=Нормативы!$H$159, "КМС", IF(L165&lt;=Нормативы!$H$160, "КМС", IF(L165&lt;=Нормативы!$L$161, "КМС", IF(L165&lt;=Нормативы!$L$162, "I", IF(L165&lt;=Нормативы!$L$163, "II", IF(L165&lt;=Нормативы!$L$164, "III", IF(L165&lt;=Нормативы!$L$165, "I юн", IF(L165&lt;=Нормативы!$L$166, "II юн", IF(L165&lt;=Нормативы!$L$167, "III юн", "б/р")))))))))))</f>
        <v>I юн</v>
      </c>
      <c r="N165" s="91" t="str">
        <f>IF(ISBLANK(L165), " ", IF(ISTEXT(L165), " ", IF(L165&lt;=Нормативы!$H$159, "КМС", IF(L165&lt;=Нормативы!$H$160, "КМС", IF(L165&lt;=Нормативы!$L$161, "КМС", IF(L165&lt;=Нормативы!$L$162, "I", IF(L165&lt;=Нормативы!$L$163, "II", IF(L165&lt;=Нормативы!$L$164, "III", IF(L165&lt;=Нормативы!$L$165, "I юн", IF(L165&lt;=Нормативы!$L$166, "II юн", IF(L165&lt;=Нормативы!$L$167, "III юн", "б/р")))))))))))</f>
        <v>I юн</v>
      </c>
      <c r="O165" s="91"/>
      <c r="Q165" s="91" t="str">
        <f t="shared" si="28"/>
        <v xml:space="preserve"> </v>
      </c>
    </row>
    <row r="166" spans="3:33" x14ac:dyDescent="0.2">
      <c r="C166" s="217"/>
      <c r="D166" s="217"/>
      <c r="E166" s="217"/>
      <c r="F166" s="217"/>
      <c r="G166" s="217"/>
      <c r="H166" s="222">
        <v>558.20000000000005</v>
      </c>
      <c r="I166" s="91" t="str">
        <f>IF(ISBLANK(H166), " ", IF(ISTEXT(H166), " ", IF(H166&lt;=Нормативы!$H$159, "МСМК", IF(H166&lt;=Нормативы!$H$160, "МС", IF(H166&lt;=Нормативы!$H$161, "КМС", IF(H166&lt;=Нормативы!$H$162, "I", IF(H166&lt;=Нормативы!$H$163, "II", IF(H166&lt;=Нормативы!$H$164, "III", IF(H166&lt;=Нормативы!$H$165, "I юн", IF(H166&lt;=Нормативы!$H$166, "II юн", IF(H166&lt;=Нормативы!$H$167, "III юн", "б/р")))))))))))</f>
        <v>II юн</v>
      </c>
      <c r="J166" s="91" t="str">
        <f>IF(ISBLANK(H166), " ", IF(ISTEXT(H166), " ", IF(H166&lt;=Нормативы!$H$159, "МСМК", IF(H166&lt;=Нормативы!$H$160, "МС", IF(H166&lt;=Нормативы!$H$161, "КМС", IF(H166&lt;=Нормативы!$H$162, "I", IF(H166&lt;=Нормативы!$H$163, "II", IF(H166&lt;=Нормативы!$H$164, "III", IF(H166&lt;=Нормативы!$H$165, "I юн", IF(H166&lt;=Нормативы!$H$166, "II юн", IF(H166&lt;=Нормативы!$H$167, "III юн", "б/р")))))))))))</f>
        <v>II юн</v>
      </c>
      <c r="K166" s="226"/>
      <c r="L166" s="225">
        <f t="shared" si="29"/>
        <v>558</v>
      </c>
      <c r="M166" s="91" t="str">
        <f>IF(ISBLANK(L166), " ", IF(ISTEXT(L166), " ", IF(L166&lt;=Нормативы!$H$159, "КМС", IF(L166&lt;=Нормативы!$H$160, "КМС", IF(L166&lt;=Нормативы!$L$161, "КМС", IF(L166&lt;=Нормативы!$L$162, "I", IF(L166&lt;=Нормативы!$L$163, "II", IF(L166&lt;=Нормативы!$L$164, "III", IF(L166&lt;=Нормативы!$L$165, "I юн", IF(L166&lt;=Нормативы!$L$166, "II юн", IF(L166&lt;=Нормативы!$L$167, "III юн", "б/р")))))))))))</f>
        <v>II юн</v>
      </c>
      <c r="N166" s="91" t="str">
        <f>IF(ISBLANK(L166), " ", IF(ISTEXT(L166), " ", IF(L166&lt;=Нормативы!$H$159, "КМС", IF(L166&lt;=Нормативы!$H$160, "КМС", IF(L166&lt;=Нормативы!$L$161, "КМС", IF(L166&lt;=Нормативы!$L$162, "I", IF(L166&lt;=Нормативы!$L$163, "II", IF(L166&lt;=Нормативы!$L$164, "III", IF(L166&lt;=Нормативы!$L$165, "I юн", IF(L166&lt;=Нормативы!$L$166, "II юн", IF(L166&lt;=Нормативы!$L$167, "III юн", "б/р")))))))))))</f>
        <v>II юн</v>
      </c>
      <c r="O166" s="91"/>
      <c r="Q166" s="91" t="str">
        <f t="shared" si="28"/>
        <v xml:space="preserve"> </v>
      </c>
    </row>
    <row r="167" spans="3:33" x14ac:dyDescent="0.2">
      <c r="C167" s="217"/>
      <c r="D167" s="217"/>
      <c r="E167" s="217"/>
      <c r="F167" s="217"/>
      <c r="G167" s="217"/>
      <c r="H167" s="222">
        <v>626.20000000000005</v>
      </c>
      <c r="I167" s="91" t="str">
        <f>IF(ISBLANK(H167), " ", IF(ISTEXT(H167), " ", IF(H167&lt;=Нормативы!$H$159, "МСМК", IF(H167&lt;=Нормативы!$H$160, "МС", IF(H167&lt;=Нормативы!$H$161, "КМС", IF(H167&lt;=Нормативы!$H$162, "I", IF(H167&lt;=Нормативы!$H$163, "II", IF(H167&lt;=Нормативы!$H$164, "III", IF(H167&lt;=Нормативы!$H$165, "I юн", IF(H167&lt;=Нормативы!$H$166, "II юн", IF(H167&lt;=Нормативы!$H$167, "III юн", "б/р")))))))))))</f>
        <v>III юн</v>
      </c>
      <c r="J167" s="91" t="str">
        <f>IF(ISBLANK(H167), " ", IF(ISTEXT(H167), " ", IF(H167&lt;=Нормативы!$H$159, "МСМК", IF(H167&lt;=Нормативы!$H$160, "МС", IF(H167&lt;=Нормативы!$H$161, "КМС", IF(H167&lt;=Нормативы!$H$162, "I", IF(H167&lt;=Нормативы!$H$163, "II", IF(H167&lt;=Нормативы!$H$164, "III", IF(H167&lt;=Нормативы!$H$165, "I юн", IF(H167&lt;=Нормативы!$H$166, "II юн", IF(H167&lt;=Нормативы!$H$167, "III юн", "б/р")))))))))))</f>
        <v>III юн</v>
      </c>
      <c r="K167" s="226"/>
      <c r="L167" s="225">
        <f t="shared" si="29"/>
        <v>626</v>
      </c>
      <c r="M167" s="91" t="str">
        <f>IF(ISBLANK(L167), " ", IF(ISTEXT(L167), " ", IF(L167&lt;=Нормативы!$H$159, "КМС", IF(L167&lt;=Нормативы!$H$160, "КМС", IF(L167&lt;=Нормативы!$L$161, "КМС", IF(L167&lt;=Нормативы!$L$162, "I", IF(L167&lt;=Нормативы!$L$163, "II", IF(L167&lt;=Нормативы!$L$164, "III", IF(L167&lt;=Нормативы!$L$165, "I юн", IF(L167&lt;=Нормативы!$L$166, "II юн", IF(L167&lt;=Нормативы!$L$167, "III юн", "б/р")))))))))))</f>
        <v>III юн</v>
      </c>
      <c r="N167" s="91" t="str">
        <f>IF(ISBLANK(L167), " ", IF(ISTEXT(L167), " ", IF(L167&lt;=Нормативы!$H$159, "КМС", IF(L167&lt;=Нормативы!$H$160, "КМС", IF(L167&lt;=Нормативы!$L$161, "КМС", IF(L167&lt;=Нормативы!$L$162, "I", IF(L167&lt;=Нормативы!$L$163, "II", IF(L167&lt;=Нормативы!$L$164, "III", IF(L167&lt;=Нормативы!$L$165, "I юн", IF(L167&lt;=Нормативы!$L$166, "II юн", IF(L167&lt;=Нормативы!$L$167, "III юн", "б/р")))))))))))</f>
        <v>III юн</v>
      </c>
      <c r="O167" s="91"/>
      <c r="Q167" s="91" t="str">
        <f t="shared" si="28"/>
        <v xml:space="preserve"> </v>
      </c>
    </row>
    <row r="168" spans="3:33" x14ac:dyDescent="0.2">
      <c r="C168" s="217"/>
      <c r="D168" s="217"/>
      <c r="E168" s="217"/>
      <c r="F168" s="217"/>
      <c r="G168" s="217"/>
      <c r="H168" s="225"/>
      <c r="I168" s="217"/>
      <c r="J168" s="217"/>
      <c r="K168" s="226"/>
      <c r="L168" s="217"/>
      <c r="M168" s="217"/>
      <c r="N168" s="217"/>
      <c r="P168" s="233"/>
      <c r="Q168" s="217"/>
      <c r="R168" s="233"/>
      <c r="S168" s="233"/>
      <c r="T168" s="233"/>
      <c r="U168" s="233"/>
      <c r="V168" s="233"/>
      <c r="W168" s="233"/>
      <c r="X168" s="233"/>
      <c r="Y168" s="233"/>
      <c r="Z168" s="233"/>
      <c r="AA168" s="233"/>
      <c r="AB168" s="233"/>
      <c r="AC168" s="233"/>
      <c r="AD168" s="233"/>
      <c r="AE168" s="233"/>
      <c r="AF168" s="233"/>
      <c r="AG168" s="233"/>
    </row>
    <row r="169" spans="3:33" x14ac:dyDescent="0.2">
      <c r="C169" s="58" t="s">
        <v>392</v>
      </c>
      <c r="D169" s="217"/>
      <c r="E169" s="217"/>
      <c r="F169" s="217"/>
      <c r="G169" s="217"/>
      <c r="H169" s="222"/>
      <c r="I169" s="217"/>
      <c r="J169" s="217"/>
      <c r="K169" s="235"/>
      <c r="L169" s="217"/>
      <c r="M169" s="217"/>
      <c r="N169" s="217"/>
      <c r="P169" s="224"/>
      <c r="Q169" s="217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</row>
    <row r="170" spans="3:33" x14ac:dyDescent="0.2">
      <c r="C170" s="217"/>
      <c r="D170" s="217"/>
      <c r="E170" s="217"/>
      <c r="F170" s="217"/>
      <c r="G170" s="217"/>
      <c r="H170" s="222">
        <v>332.4</v>
      </c>
      <c r="I170" s="91" t="str">
        <f>IF(ISBLANK(H170), " ", IF(ISTEXT(H170), " ", IF(H170&lt;=Нормативы!$H$170, "МСМК", IF(H170&lt;=Нормативы!$H$171, "МС", IF(H170&lt;=Нормативы!$H$172, "КМС", IF(H170&lt;=Нормативы!$H$173, "I", IF(H170&lt;=Нормативы!$H$174, "II", IF(H170&lt;=Нормативы!$H$175, "III", IF(H170&lt;=Нормативы!$H$176, "I юн", IF(H170&lt;=Нормативы!$H$177, "II юн", IF(H170&lt;=Нормативы!$H$178, "III юн", "б/р")))))))))))</f>
        <v>МСМК</v>
      </c>
      <c r="J170" s="91" t="str">
        <f>IF(ISBLANK(H170), " ", IF(ISTEXT(H170), " ", IF(H170&lt;=Нормативы!$H$170, "МСМК", IF(H170&lt;=Нормативы!$H$171, "МС", IF(H170&lt;=Нормативы!$H$172, "КМС", IF(H170&lt;=Нормативы!$H$173, "I", IF(H170&lt;=Нормативы!$H$174, "II", IF(H170&lt;=Нормативы!$H$175, "III", IF(H170&lt;=Нормативы!$H$176, "I юн", IF(H170&lt;=Нормативы!$H$177, "II юн", IF(H170&lt;=Нормативы!$H$178, "III юн", "б/р")))))))))))</f>
        <v>МСМК</v>
      </c>
      <c r="K170" s="240"/>
      <c r="L170" s="222"/>
      <c r="M170" s="91" t="str">
        <f>IF(ISBLANK(L170), " ", IF(ISTEXT(L170), " ", IF(L170&lt;=Нормативы!$H$170, "КМС", IF(L170&lt;=Нормативы!$H$171, "КМС", IF(L170&lt;=Нормативы!$L$172, "КМС", IF(L170&lt;=Нормативы!$L$173, "I", IF(L170&lt;=Нормативы!$L$174, "II", IF(L170&lt;=Нормативы!$L$175, "III", IF(L170&lt;=Нормативы!$L$176, "I юн", IF(L170&lt;=Нормативы!$L$177, "II юн", IF(L170&lt;=Нормативы!$L$178, "III юн", "б/р")))))))))))</f>
        <v xml:space="preserve"> </v>
      </c>
      <c r="N170" s="91" t="str">
        <f>IF(ISBLANK(L170), " ", IF(ISTEXT(L170), " ", IF(L170&lt;=332.5, "МСМК", IF(L170&lt;=345.2, "МС", IF(L170&lt;=355, "КМС", IF(L170&lt;=410, "I", IF(L170&lt;=428, "II", IF(L170&lt;=448, "III", IF(L170&lt;=512.5, "I юн", IF(L170&lt;=538.5, "II юн", IF(L170&lt;=607, "III юн", "б/р")))))))))))</f>
        <v xml:space="preserve"> </v>
      </c>
      <c r="O170" s="91"/>
      <c r="Q170" s="91" t="str">
        <f t="shared" ref="Q170:Q178" si="30">IF(ISBLANK(P170), " ", IF(ISTEXT(P170), " ", IF(P170&lt;=$H$170, "МСМК", IF(P170&lt;=$H$171, "МС", IF(P170&lt;=$H$172, "КМС", IF(P170&lt;=$H$173, "I", IF(P170&lt;=$H$174, "II", IF(P170&lt;=$H$175, "III", IF(P170&lt;=$H$176, "I юн", IF(P170&lt;=$H$177, "II юн", IF(P170&lt;=$H$178, "III юн", "б/р")))))))))))</f>
        <v xml:space="preserve"> </v>
      </c>
    </row>
    <row r="171" spans="3:33" x14ac:dyDescent="0.2">
      <c r="C171" s="217"/>
      <c r="D171" s="217"/>
      <c r="E171" s="217"/>
      <c r="F171" s="217"/>
      <c r="G171" s="217"/>
      <c r="H171" s="222">
        <v>342.5</v>
      </c>
      <c r="I171" s="91" t="str">
        <f>IF(ISBLANK(H171), " ", IF(ISTEXT(H171), " ", IF(H171&lt;=Нормативы!$H$170, "МСМК", IF(H171&lt;=Нормативы!$H$171, "МС", IF(H171&lt;=Нормативы!$H$172, "КМС", IF(H171&lt;=Нормативы!$H$173, "I", IF(H171&lt;=Нормативы!$H$174, "II", IF(H171&lt;=Нормативы!$H$175, "III", IF(H171&lt;=Нормативы!$H$176, "I юн", IF(H171&lt;=Нормативы!$H$177, "II юн", IF(H171&lt;=Нормативы!$H$178, "III юн", "б/р")))))))))))</f>
        <v>МС</v>
      </c>
      <c r="J171" s="91" t="str">
        <f>IF(ISBLANK(H171), " ", IF(ISTEXT(H171), " ", IF(H171&lt;=Нормативы!$H$170, "МСМК", IF(H171&lt;=Нормативы!$H$171, "МС", IF(H171&lt;=Нормативы!$H$172, "КМС", IF(H171&lt;=Нормативы!$H$173, "I", IF(H171&lt;=Нормативы!$H$174, "II", IF(H171&lt;=Нормативы!$H$175, "III", IF(H171&lt;=Нормативы!$H$176, "I юн", IF(H171&lt;=Нормативы!$H$177, "II юн", IF(H171&lt;=Нормативы!$H$178, "III юн", "б/р")))))))))))</f>
        <v>МС</v>
      </c>
      <c r="K171" s="240"/>
      <c r="L171" s="222"/>
      <c r="M171" s="91" t="str">
        <f>IF(ISBLANK(L171), " ", IF(ISTEXT(L171), " ", IF(L171&lt;=Нормативы!$H$170, "КМС", IF(L171&lt;=Нормативы!$H$171, "КМС", IF(L171&lt;=Нормативы!$L$172, "КМС", IF(L171&lt;=Нормативы!$L$173, "I", IF(L171&lt;=Нормативы!$L$174, "II", IF(L171&lt;=Нормативы!$L$175, "III", IF(L171&lt;=Нормативы!$L$176, "I юн", IF(L171&lt;=Нормативы!$L$177, "II юн", IF(L171&lt;=Нормативы!$L$178, "III юн", "б/р")))))))))))</f>
        <v xml:space="preserve"> </v>
      </c>
      <c r="N171" s="91" t="str">
        <f>IF(ISBLANK(L171), " ", IF(ISTEXT(L171), " ", IF(L171&lt;=332.5, "МСМК", IF(L171&lt;=345.2, "МС", IF(L171&lt;=355, "КМС", IF(L171&lt;=410, "I", IF(L171&lt;=428, "II", IF(L171&lt;=448, "III", IF(L171&lt;=512.5, "I юн", IF(L171&lt;=538.5, "II юн", IF(L171&lt;=607, "III юн", "б/р")))))))))))</f>
        <v xml:space="preserve"> </v>
      </c>
      <c r="O171" s="91"/>
      <c r="Q171" s="91" t="str">
        <f t="shared" si="30"/>
        <v xml:space="preserve"> </v>
      </c>
    </row>
    <row r="172" spans="3:33" x14ac:dyDescent="0.2">
      <c r="C172" s="217"/>
      <c r="D172" s="217"/>
      <c r="E172" s="217"/>
      <c r="F172" s="217"/>
      <c r="G172" s="217"/>
      <c r="H172" s="222">
        <v>353.2</v>
      </c>
      <c r="I172" s="91" t="str">
        <f>IF(ISBLANK(H172), " ", IF(ISTEXT(H172), " ", IF(H172&lt;=Нормативы!$H$170, "МСМК", IF(H172&lt;=Нормативы!$H$171, "МС", IF(H172&lt;=Нормативы!$H$172, "КМС", IF(H172&lt;=Нормативы!$H$173, "I", IF(H172&lt;=Нормативы!$H$174, "II", IF(H172&lt;=Нормативы!$H$175, "III", IF(H172&lt;=Нормативы!$H$176, "I юн", IF(H172&lt;=Нормативы!$H$177, "II юн", IF(H172&lt;=Нормативы!$H$178, "III юн", "б/р")))))))))))</f>
        <v>КМС</v>
      </c>
      <c r="J172" s="91" t="str">
        <f>IF(ISBLANK(H172), " ", IF(ISTEXT(H172), " ", IF(H172&lt;=Нормативы!$H$170, "МСМК", IF(H172&lt;=Нормативы!$H$171, "МС", IF(H172&lt;=Нормативы!$H$172, "КМС", IF(H172&lt;=Нормативы!$H$173, "I", IF(H172&lt;=Нормативы!$H$174, "II", IF(H172&lt;=Нормативы!$H$175, "III", IF(H172&lt;=Нормативы!$H$176, "I юн", IF(H172&lt;=Нормативы!$H$177, "II юн", IF(H172&lt;=Нормативы!$H$178, "III юн", "б/р")))))))))))</f>
        <v>КМС</v>
      </c>
      <c r="K172" s="240"/>
      <c r="L172" s="225">
        <f t="shared" ref="L172:L178" si="31">H172-0.2</f>
        <v>353</v>
      </c>
      <c r="M172" s="91" t="str">
        <f>IF(ISBLANK(L172), " ", IF(ISTEXT(L172), " ", IF(L172&lt;=Нормативы!$H$170, "КМС", IF(L172&lt;=Нормативы!$H$171, "КМС", IF(L172&lt;=Нормативы!$L$172, "КМС", IF(L172&lt;=Нормативы!$L$173, "I", IF(L172&lt;=Нормативы!$L$174, "II", IF(L172&lt;=Нормативы!$L$175, "III", IF(L172&lt;=Нормативы!$L$176, "I юн", IF(L172&lt;=Нормативы!$L$177, "II юн", IF(L172&lt;=Нормативы!$L$178, "III юн", "б/р")))))))))))</f>
        <v>КМС</v>
      </c>
      <c r="N172" s="91" t="str">
        <f>IF(ISBLANK(L172), " ", IF(ISTEXT(L172), " ", IF(L172&lt;=Нормативы!$H$170, "КМС", IF(L172&lt;=Нормативы!$H$171, "КМС", IF(L172&lt;=Нормативы!$L$172, "КМС", IF(L172&lt;=Нормативы!$L$173, "I", IF(L172&lt;=Нормативы!$L$174, "II", IF(L172&lt;=Нормативы!$L$175, "III", IF(L172&lt;=Нормативы!$L$176, "I юн", IF(L172&lt;=Нормативы!$L$177, "II юн", IF(L172&lt;=Нормативы!$L$178, "III юн", "б/р")))))))))))</f>
        <v>КМС</v>
      </c>
      <c r="O172" s="91"/>
      <c r="Q172" s="91" t="str">
        <f t="shared" si="30"/>
        <v xml:space="preserve"> </v>
      </c>
    </row>
    <row r="173" spans="3:33" x14ac:dyDescent="0.2">
      <c r="C173" s="217"/>
      <c r="D173" s="217"/>
      <c r="E173" s="217"/>
      <c r="F173" s="217"/>
      <c r="G173" s="217"/>
      <c r="H173" s="222">
        <v>407.2</v>
      </c>
      <c r="I173" s="91" t="str">
        <f>IF(ISBLANK(H173), " ", IF(ISTEXT(H173), " ", IF(H173&lt;=Нормативы!$H$170, "МСМК", IF(H173&lt;=Нормативы!$H$171, "МС", IF(H173&lt;=Нормативы!$H$172, "КМС", IF(H173&lt;=Нормативы!$H$173, "I", IF(H173&lt;=Нормативы!$H$174, "II", IF(H173&lt;=Нормативы!$H$175, "III", IF(H173&lt;=Нормативы!$H$176, "I юн", IF(H173&lt;=Нормативы!$H$177, "II юн", IF(H173&lt;=Нормативы!$H$178, "III юн", "б/р")))))))))))</f>
        <v>I</v>
      </c>
      <c r="J173" s="91" t="str">
        <f>IF(ISBLANK(H173), " ", IF(ISTEXT(H173), " ", IF(H173&lt;=Нормативы!$H$170, "МСМК", IF(H173&lt;=Нормативы!$H$171, "МС", IF(H173&lt;=Нормативы!$H$172, "КМС", IF(H173&lt;=Нормативы!$H$173, "I", IF(H173&lt;=Нормативы!$H$174, "II", IF(H173&lt;=Нормативы!$H$175, "III", IF(H173&lt;=Нормативы!$H$176, "I юн", IF(H173&lt;=Нормативы!$H$177, "II юн", IF(H173&lt;=Нормативы!$H$178, "III юн", "б/р")))))))))))</f>
        <v>I</v>
      </c>
      <c r="K173" s="240"/>
      <c r="L173" s="225">
        <f t="shared" si="31"/>
        <v>407</v>
      </c>
      <c r="M173" s="91" t="str">
        <f>IF(ISBLANK(L173), " ", IF(ISTEXT(L173), " ", IF(L173&lt;=Нормативы!$H$170, "КМС", IF(L173&lt;=Нормативы!$H$171, "КМС", IF(L173&lt;=Нормативы!$L$172, "КМС", IF(L173&lt;=Нормативы!$L$173, "I", IF(L173&lt;=Нормативы!$L$174, "II", IF(L173&lt;=Нормативы!$L$175, "III", IF(L173&lt;=Нормативы!$L$176, "I юн", IF(L173&lt;=Нормативы!$L$177, "II юн", IF(L173&lt;=Нормативы!$L$178, "III юн", "б/р")))))))))))</f>
        <v>I</v>
      </c>
      <c r="N173" s="91" t="str">
        <f>IF(ISBLANK(L173), " ", IF(ISTEXT(L173), " ", IF(L173&lt;=Нормативы!$H$170, "КМС", IF(L173&lt;=Нормативы!$H$171, "КМС", IF(L173&lt;=Нормативы!$L$172, "КМС", IF(L173&lt;=Нормативы!$L$173, "I", IF(L173&lt;=Нормативы!$L$174, "II", IF(L173&lt;=Нормативы!$L$175, "III", IF(L173&lt;=Нормативы!$L$176, "I юн", IF(L173&lt;=Нормативы!$L$177, "II юн", IF(L173&lt;=Нормативы!$L$178, "III юн", "б/р")))))))))))</f>
        <v>I</v>
      </c>
      <c r="O173" s="91"/>
      <c r="Q173" s="91" t="str">
        <f t="shared" si="30"/>
        <v xml:space="preserve"> </v>
      </c>
    </row>
    <row r="174" spans="3:33" x14ac:dyDescent="0.2">
      <c r="C174" s="217"/>
      <c r="D174" s="217"/>
      <c r="E174" s="217"/>
      <c r="F174" s="217"/>
      <c r="G174" s="217"/>
      <c r="H174" s="222">
        <v>425.2</v>
      </c>
      <c r="I174" s="91" t="str">
        <f>IF(ISBLANK(H174), " ", IF(ISTEXT(H174), " ", IF(H174&lt;=Нормативы!$H$170, "МСМК", IF(H174&lt;=Нормативы!$H$171, "МС", IF(H174&lt;=Нормативы!$H$172, "КМС", IF(H174&lt;=Нормативы!$H$173, "I", IF(H174&lt;=Нормативы!$H$174, "II", IF(H174&lt;=Нормативы!$H$175, "III", IF(H174&lt;=Нормативы!$H$176, "I юн", IF(H174&lt;=Нормативы!$H$177, "II юн", IF(H174&lt;=Нормативы!$H$178, "III юн", "б/р")))))))))))</f>
        <v>II</v>
      </c>
      <c r="J174" s="91" t="str">
        <f>IF(ISBLANK(H174), " ", IF(ISTEXT(H174), " ", IF(H174&lt;=Нормативы!$H$170, "МСМК", IF(H174&lt;=Нормативы!$H$171, "МС", IF(H174&lt;=Нормативы!$H$172, "КМС", IF(H174&lt;=Нормативы!$H$173, "I", IF(H174&lt;=Нормативы!$H$174, "II", IF(H174&lt;=Нормативы!$H$175, "III", IF(H174&lt;=Нормативы!$H$176, "I юн", IF(H174&lt;=Нормативы!$H$177, "II юн", IF(H174&lt;=Нормативы!$H$178, "III юн", "б/р")))))))))))</f>
        <v>II</v>
      </c>
      <c r="K174" s="240"/>
      <c r="L174" s="225">
        <f t="shared" si="31"/>
        <v>425</v>
      </c>
      <c r="M174" s="91" t="str">
        <f>IF(ISBLANK(L174), " ", IF(ISTEXT(L174), " ", IF(L174&lt;=Нормативы!$H$170, "КМС", IF(L174&lt;=Нормативы!$H$171, "КМС", IF(L174&lt;=Нормативы!$L$172, "КМС", IF(L174&lt;=Нормативы!$L$173, "I", IF(L174&lt;=Нормативы!$L$174, "II", IF(L174&lt;=Нормативы!$L$175, "III", IF(L174&lt;=Нормативы!$L$176, "I юн", IF(L174&lt;=Нормативы!$L$177, "II юн", IF(L174&lt;=Нормативы!$L$178, "III юн", "б/р")))))))))))</f>
        <v>II</v>
      </c>
      <c r="N174" s="91" t="str">
        <f>IF(ISBLANK(L174), " ", IF(ISTEXT(L174), " ", IF(L174&lt;=Нормативы!$H$170, "КМС", IF(L174&lt;=Нормативы!$H$171, "КМС", IF(L174&lt;=Нормативы!$L$172, "КМС", IF(L174&lt;=Нормативы!$L$173, "I", IF(L174&lt;=Нормативы!$L$174, "II", IF(L174&lt;=Нормативы!$L$175, "III", IF(L174&lt;=Нормативы!$L$176, "I юн", IF(L174&lt;=Нормативы!$L$177, "II юн", IF(L174&lt;=Нормативы!$L$178, "III юн", "б/р")))))))))))</f>
        <v>II</v>
      </c>
      <c r="O174" s="91"/>
      <c r="Q174" s="91" t="str">
        <f t="shared" si="30"/>
        <v xml:space="preserve"> </v>
      </c>
    </row>
    <row r="175" spans="3:33" x14ac:dyDescent="0.2">
      <c r="C175" s="217"/>
      <c r="D175" s="217"/>
      <c r="E175" s="217"/>
      <c r="F175" s="217"/>
      <c r="G175" s="217"/>
      <c r="H175" s="222">
        <v>445.2</v>
      </c>
      <c r="I175" s="91" t="str">
        <f>IF(ISBLANK(H175), " ", IF(ISTEXT(H175), " ", IF(H175&lt;=Нормативы!$H$170, "МСМК", IF(H175&lt;=Нормативы!$H$171, "МС", IF(H175&lt;=Нормативы!$H$172, "КМС", IF(H175&lt;=Нормативы!$H$173, "I", IF(H175&lt;=Нормативы!$H$174, "II", IF(H175&lt;=Нормативы!$H$175, "III", IF(H175&lt;=Нормативы!$H$176, "I юн", IF(H175&lt;=Нормативы!$H$177, "II юн", IF(H175&lt;=Нормативы!$H$178, "III юн", "б/р")))))))))))</f>
        <v>III</v>
      </c>
      <c r="J175" s="91" t="str">
        <f>IF(ISBLANK(H175), " ", IF(ISTEXT(H175), " ", IF(H175&lt;=Нормативы!$H$170, "МСМК", IF(H175&lt;=Нормативы!$H$171, "МС", IF(H175&lt;=Нормативы!$H$172, "КМС", IF(H175&lt;=Нормативы!$H$173, "I", IF(H175&lt;=Нормативы!$H$174, "II", IF(H175&lt;=Нормативы!$H$175, "III", IF(H175&lt;=Нормативы!$H$176, "I юн", IF(H175&lt;=Нормативы!$H$177, "II юн", IF(H175&lt;=Нормативы!$H$178, "III юн", "б/р")))))))))))</f>
        <v>III</v>
      </c>
      <c r="K175" s="240"/>
      <c r="L175" s="225">
        <f t="shared" si="31"/>
        <v>445</v>
      </c>
      <c r="M175" s="91" t="str">
        <f>IF(ISBLANK(L175), " ", IF(ISTEXT(L175), " ", IF(L175&lt;=Нормативы!$H$170, "КМС", IF(L175&lt;=Нормативы!$H$171, "КМС", IF(L175&lt;=Нормативы!$L$172, "КМС", IF(L175&lt;=Нормативы!$L$173, "I", IF(L175&lt;=Нормативы!$L$174, "II", IF(L175&lt;=Нормативы!$L$175, "III", IF(L175&lt;=Нормативы!$L$176, "I юн", IF(L175&lt;=Нормативы!$L$177, "II юн", IF(L175&lt;=Нормативы!$L$178, "III юн", "б/р")))))))))))</f>
        <v>III</v>
      </c>
      <c r="N175" s="91" t="str">
        <f>IF(ISBLANK(L175), " ", IF(ISTEXT(L175), " ", IF(L175&lt;=Нормативы!$H$170, "КМС", IF(L175&lt;=Нормативы!$H$171, "КМС", IF(L175&lt;=Нормативы!$L$172, "КМС", IF(L175&lt;=Нормативы!$L$173, "I", IF(L175&lt;=Нормативы!$L$174, "II", IF(L175&lt;=Нормативы!$L$175, "III", IF(L175&lt;=Нормативы!$L$176, "I юн", IF(L175&lt;=Нормативы!$L$177, "II юн", IF(L175&lt;=Нормативы!$L$178, "III юн", "б/р")))))))))))</f>
        <v>III</v>
      </c>
      <c r="O175" s="91"/>
      <c r="Q175" s="91" t="str">
        <f t="shared" si="30"/>
        <v xml:space="preserve"> </v>
      </c>
    </row>
    <row r="176" spans="3:33" x14ac:dyDescent="0.2">
      <c r="C176" s="217"/>
      <c r="D176" s="217"/>
      <c r="E176" s="217"/>
      <c r="F176" s="217"/>
      <c r="G176" s="217"/>
      <c r="H176" s="222">
        <v>507.7</v>
      </c>
      <c r="I176" s="91" t="str">
        <f>IF(ISBLANK(H176), " ", IF(ISTEXT(H176), " ", IF(H176&lt;=Нормативы!$H$170, "МСМК", IF(H176&lt;=Нормативы!$H$171, "МС", IF(H176&lt;=Нормативы!$H$172, "КМС", IF(H176&lt;=Нормативы!$H$173, "I", IF(H176&lt;=Нормативы!$H$174, "II", IF(H176&lt;=Нормативы!$H$175, "III", IF(H176&lt;=Нормативы!$H$176, "I юн", IF(H176&lt;=Нормативы!$H$177, "II юн", IF(H176&lt;=Нормативы!$H$178, "III юн", "б/р")))))))))))</f>
        <v>I юн</v>
      </c>
      <c r="J176" s="91" t="str">
        <f>IF(ISBLANK(H176), " ", IF(ISTEXT(H176), " ", IF(H176&lt;=Нормативы!$H$170, "МСМК", IF(H176&lt;=Нормативы!$H$171, "МС", IF(H176&lt;=Нормативы!$H$172, "КМС", IF(H176&lt;=Нормативы!$H$173, "I", IF(H176&lt;=Нормативы!$H$174, "II", IF(H176&lt;=Нормативы!$H$175, "III", IF(H176&lt;=Нормативы!$H$176, "I юн", IF(H176&lt;=Нормативы!$H$177, "II юн", IF(H176&lt;=Нормативы!$H$178, "III юн", "б/р")))))))))))</f>
        <v>I юн</v>
      </c>
      <c r="K176" s="240"/>
      <c r="L176" s="225">
        <f t="shared" si="31"/>
        <v>507.5</v>
      </c>
      <c r="M176" s="91" t="str">
        <f>IF(ISBLANK(L176), " ", IF(ISTEXT(L176), " ", IF(L176&lt;=Нормативы!$H$170, "КМС", IF(L176&lt;=Нормативы!$H$171, "КМС", IF(L176&lt;=Нормативы!$L$172, "КМС", IF(L176&lt;=Нормативы!$L$173, "I", IF(L176&lt;=Нормативы!$L$174, "II", IF(L176&lt;=Нормативы!$L$175, "III", IF(L176&lt;=Нормативы!$L$176, "I юн", IF(L176&lt;=Нормативы!$L$177, "II юн", IF(L176&lt;=Нормативы!$L$178, "III юн", "б/р")))))))))))</f>
        <v>I юн</v>
      </c>
      <c r="N176" s="91" t="str">
        <f>IF(ISBLANK(L176), " ", IF(ISTEXT(L176), " ", IF(L176&lt;=Нормативы!$H$170, "КМС", IF(L176&lt;=Нормативы!$H$171, "КМС", IF(L176&lt;=Нормативы!$L$172, "КМС", IF(L176&lt;=Нормативы!$L$173, "I", IF(L176&lt;=Нормативы!$L$174, "II", IF(L176&lt;=Нормативы!$L$175, "III", IF(L176&lt;=Нормативы!$L$176, "I юн", IF(L176&lt;=Нормативы!$L$177, "II юн", IF(L176&lt;=Нормативы!$L$178, "III юн", "б/р")))))))))))</f>
        <v>I юн</v>
      </c>
      <c r="O176" s="91"/>
      <c r="Q176" s="91" t="str">
        <f t="shared" si="30"/>
        <v xml:space="preserve"> </v>
      </c>
    </row>
    <row r="177" spans="3:33" x14ac:dyDescent="0.2">
      <c r="C177" s="217"/>
      <c r="D177" s="217"/>
      <c r="E177" s="217"/>
      <c r="F177" s="217"/>
      <c r="G177" s="217"/>
      <c r="H177" s="222">
        <v>530.70000000000005</v>
      </c>
      <c r="I177" s="91" t="str">
        <f>IF(ISBLANK(H177), " ", IF(ISTEXT(H177), " ", IF(H177&lt;=Нормативы!$H$170, "МСМК", IF(H177&lt;=Нормативы!$H$171, "МС", IF(H177&lt;=Нормативы!$H$172, "КМС", IF(H177&lt;=Нормативы!$H$173, "I", IF(H177&lt;=Нормативы!$H$174, "II", IF(H177&lt;=Нормативы!$H$175, "III", IF(H177&lt;=Нормативы!$H$176, "I юн", IF(H177&lt;=Нормативы!$H$177, "II юн", IF(H177&lt;=Нормативы!$H$178, "III юн", "б/р")))))))))))</f>
        <v>II юн</v>
      </c>
      <c r="J177" s="91" t="str">
        <f>IF(ISBLANK(H177), " ", IF(ISTEXT(H177), " ", IF(H177&lt;=Нормативы!$H$170, "МСМК", IF(H177&lt;=Нормативы!$H$171, "МС", IF(H177&lt;=Нормативы!$H$172, "КМС", IF(H177&lt;=Нормативы!$H$173, "I", IF(H177&lt;=Нормативы!$H$174, "II", IF(H177&lt;=Нормативы!$H$175, "III", IF(H177&lt;=Нормативы!$H$176, "I юн", IF(H177&lt;=Нормативы!$H$177, "II юн", IF(H177&lt;=Нормативы!$H$178, "III юн", "б/р")))))))))))</f>
        <v>II юн</v>
      </c>
      <c r="K177" s="240"/>
      <c r="L177" s="225">
        <f t="shared" si="31"/>
        <v>530.5</v>
      </c>
      <c r="M177" s="91" t="str">
        <f>IF(ISBLANK(L177), " ", IF(ISTEXT(L177), " ", IF(L177&lt;=Нормативы!$H$170, "КМС", IF(L177&lt;=Нормативы!$H$171, "КМС", IF(L177&lt;=Нормативы!$L$172, "КМС", IF(L177&lt;=Нормативы!$L$173, "I", IF(L177&lt;=Нормативы!$L$174, "II", IF(L177&lt;=Нормативы!$L$175, "III", IF(L177&lt;=Нормативы!$L$176, "I юн", IF(L177&lt;=Нормативы!$L$177, "II юн", IF(L177&lt;=Нормативы!$L$178, "III юн", "б/р")))))))))))</f>
        <v>II юн</v>
      </c>
      <c r="N177" s="91" t="str">
        <f>IF(ISBLANK(L177), " ", IF(ISTEXT(L177), " ", IF(L177&lt;=Нормативы!$H$170, "КМС", IF(L177&lt;=Нормативы!$H$171, "КМС", IF(L177&lt;=Нормативы!$L$172, "КМС", IF(L177&lt;=Нормативы!$L$173, "I", IF(L177&lt;=Нормативы!$L$174, "II", IF(L177&lt;=Нормативы!$L$175, "III", IF(L177&lt;=Нормативы!$L$176, "I юн", IF(L177&lt;=Нормативы!$L$177, "II юн", IF(L177&lt;=Нормативы!$L$178, "III юн", "б/р")))))))))))</f>
        <v>II юн</v>
      </c>
      <c r="O177" s="91"/>
      <c r="Q177" s="91" t="str">
        <f t="shared" si="30"/>
        <v xml:space="preserve"> </v>
      </c>
    </row>
    <row r="178" spans="3:33" x14ac:dyDescent="0.2">
      <c r="C178" s="217"/>
      <c r="D178" s="217"/>
      <c r="E178" s="217"/>
      <c r="F178" s="217"/>
      <c r="G178" s="217"/>
      <c r="H178" s="222">
        <v>558.20000000000005</v>
      </c>
      <c r="I178" s="91" t="str">
        <f>IF(ISBLANK(H178), " ", IF(ISTEXT(H178), " ", IF(H178&lt;=Нормативы!$H$170, "МСМК", IF(H178&lt;=Нормативы!$H$171, "МС", IF(H178&lt;=Нормативы!$H$172, "КМС", IF(H178&lt;=Нормативы!$H$173, "I", IF(H178&lt;=Нормативы!$H$174, "II", IF(H178&lt;=Нормативы!$H$175, "III", IF(H178&lt;=Нормативы!$H$176, "I юн", IF(H178&lt;=Нормативы!$H$177, "II юн", IF(H178&lt;=Нормативы!$H$178, "III юн", "б/р")))))))))))</f>
        <v>III юн</v>
      </c>
      <c r="J178" s="91" t="str">
        <f>IF(ISBLANK(H178), " ", IF(ISTEXT(H178), " ", IF(H178&lt;=Нормативы!$H$170, "МСМК", IF(H178&lt;=Нормативы!$H$171, "МС", IF(H178&lt;=Нормативы!$H$172, "КМС", IF(H178&lt;=Нормативы!$H$173, "I", IF(H178&lt;=Нормативы!$H$174, "II", IF(H178&lt;=Нормативы!$H$175, "III", IF(H178&lt;=Нормативы!$H$176, "I юн", IF(H178&lt;=Нормативы!$H$177, "II юн", IF(H178&lt;=Нормативы!$H$178, "III юн", "б/р")))))))))))</f>
        <v>III юн</v>
      </c>
      <c r="K178" s="240"/>
      <c r="L178" s="225">
        <f t="shared" si="31"/>
        <v>558</v>
      </c>
      <c r="M178" s="91" t="str">
        <f>IF(ISBLANK(L178), " ", IF(ISTEXT(L178), " ", IF(L178&lt;=Нормативы!$H$170, "КМС", IF(L178&lt;=Нормативы!$H$171, "КМС", IF(L178&lt;=Нормативы!$L$172, "КМС", IF(L178&lt;=Нормативы!$L$173, "I", IF(L178&lt;=Нормативы!$L$174, "II", IF(L178&lt;=Нормативы!$L$175, "III", IF(L178&lt;=Нормативы!$L$176, "I юн", IF(L178&lt;=Нормативы!$L$177, "II юн", IF(L178&lt;=Нормативы!$L$178, "III юн", "б/р")))))))))))</f>
        <v>III юн</v>
      </c>
      <c r="N178" s="91" t="str">
        <f>IF(ISBLANK(L178), " ", IF(ISTEXT(L178), " ", IF(L178&lt;=Нормативы!$H$170, "КМС", IF(L178&lt;=Нормативы!$H$171, "КМС", IF(L178&lt;=Нормативы!$L$172, "КМС", IF(L178&lt;=Нормативы!$L$173, "I", IF(L178&lt;=Нормативы!$L$174, "II", IF(L178&lt;=Нормативы!$L$175, "III", IF(L178&lt;=Нормативы!$L$176, "I юн", IF(L178&lt;=Нормативы!$L$177, "II юн", IF(L178&lt;=Нормативы!$L$178, "III юн", "б/р")))))))))))</f>
        <v>III юн</v>
      </c>
      <c r="O178" s="91"/>
      <c r="Q178" s="91" t="str">
        <f t="shared" si="30"/>
        <v xml:space="preserve"> </v>
      </c>
    </row>
    <row r="179" spans="3:33" x14ac:dyDescent="0.2">
      <c r="C179" s="217"/>
      <c r="D179" s="217"/>
      <c r="E179" s="217"/>
      <c r="F179" s="217"/>
      <c r="G179" s="217"/>
      <c r="H179" s="225"/>
      <c r="I179" s="91" t="str">
        <f>IF(ISBLANK(H179), " ", IF(ISTEXT(H179), " ", IF(H179&lt;=148.2, "КМС", IF(H179&lt;=156.1, "I", IF(H179&lt;=206, "II", IF(H179&lt;=216.8, "III", IF(H179&lt;=226.6, "I юн", IF(H179&lt;=243.3, "II юн", IF(H179&lt;=257, "III юн", "б/р")))))))))</f>
        <v xml:space="preserve"> </v>
      </c>
      <c r="J179" s="91" t="str">
        <f>IF(ISBLANK(H179), " ", IF(ISTEXT(H179), " ", IF(H179&lt;=148.2, "КМС", IF(H179&lt;=156.1, "I", IF(H179&lt;=206, "II", IF(H179&lt;=216.8, "III", IF(H179&lt;=226.6, "I юн", IF(H179&lt;=243.3, "II юн", IF(H179&lt;=257, "III юн", "б/р")))))))))</f>
        <v xml:space="preserve"> </v>
      </c>
      <c r="K179" s="240"/>
      <c r="L179" s="217"/>
      <c r="M179" s="91" t="str">
        <f>IF(ISBLANK(L179), " ", IF(ISTEXT(L179), " ", IF(L179&lt;=148.2, "КМС", IF(L179&lt;=156.1, "I", IF(L179&lt;=206, "II", IF(L179&lt;=216.8, "III", IF(L179&lt;=226.6, "I юн", IF(L179&lt;=243.3, "II юн", IF(L179&lt;=257, "III юн", "б/р")))))))))</f>
        <v xml:space="preserve"> </v>
      </c>
      <c r="N179" s="91" t="str">
        <f>IF(ISBLANK(L179), " ", IF(ISTEXT(L179), " ", IF(L179&lt;=148.2, "КМС", IF(L179&lt;=156.1, "I", IF(L179&lt;=206, "II", IF(L179&lt;=216.8, "III", IF(L179&lt;=226.6, "I юн", IF(L179&lt;=243.3, "II юн", IF(L179&lt;=257, "III юн", "б/р")))))))))</f>
        <v xml:space="preserve"> </v>
      </c>
      <c r="O179" s="91"/>
      <c r="Q179" s="91" t="str">
        <f>IF(ISBLANK(P179), " ", IF(ISTEXT(P179), " ", IF(P179&lt;=148.2, "КМС", IF(P179&lt;=156.1, "I", IF(P179&lt;=206, "II", IF(P179&lt;=216.8, "III", IF(P179&lt;=226.6, "I юн", IF(P179&lt;=243.3, "II юн", IF(P179&lt;=257, "III юн", "б/р")))))))))</f>
        <v xml:space="preserve"> </v>
      </c>
    </row>
    <row r="180" spans="3:33" x14ac:dyDescent="0.2">
      <c r="C180" s="58" t="s">
        <v>393</v>
      </c>
      <c r="D180" s="106"/>
      <c r="E180" s="106"/>
      <c r="F180" s="58"/>
      <c r="G180" s="58"/>
      <c r="H180" s="221"/>
      <c r="I180" s="217"/>
      <c r="J180" s="217"/>
      <c r="K180" s="237"/>
      <c r="L180" s="217"/>
      <c r="M180" s="217"/>
      <c r="N180" s="217"/>
      <c r="Q180" s="217"/>
    </row>
    <row r="181" spans="3:33" x14ac:dyDescent="0.2">
      <c r="C181" s="3"/>
      <c r="D181" s="4"/>
      <c r="E181" s="4"/>
      <c r="F181" s="3"/>
      <c r="G181" s="3"/>
      <c r="H181" s="222">
        <v>703.8</v>
      </c>
      <c r="I181" s="91" t="str">
        <f>IF(ISBLANK(H181), " ", IF(ISTEXT(H181), " ", IF(H181&lt;=Нормативы!$H$181, "МСМК", IF(H181&lt;=Нормативы!$H$182, "МС", IF(H181&lt;=Нормативы!$H$183, "КМС", IF(H181&lt;=Нормативы!$H$184, "I", IF(H181&lt;=Нормативы!$H$185, "II", IF(H181&lt;=Нормативы!$H$186, "III", IF(H181&lt;=Нормативы!$H$187, "I юн", IF(H181&lt;=Нормативы!$H$188, "II юн", IF(H181&lt;=Нормативы!$H$189, "III юн", "б/р")))))))))))</f>
        <v>МСМК</v>
      </c>
      <c r="J181" s="91" t="str">
        <f>IF(ISBLANK(H181), " ", IF(ISTEXT(H181), " ", IF(H181&lt;=Нормативы!$H$181, "МСМК", IF(H181&lt;=Нормативы!$H$182, "МС", IF(H181&lt;=Нормативы!$H$183, "КМС", IF(H181&lt;=Нормативы!$H$184, "I", IF(H181&lt;=Нормативы!$H$185, "II", IF(H181&lt;=Нормативы!$H$186, "III", IF(H181&lt;=Нормативы!$H$187, "I юн", IF(H181&lt;=Нормативы!$H$188, "II юн", IF(H181&lt;=Нормативы!$H$189, "III юн", "б/р")))))))))))</f>
        <v>МСМК</v>
      </c>
      <c r="K181" s="226"/>
      <c r="L181" s="222"/>
      <c r="M181" s="91" t="str">
        <f>IF(ISBLANK(L181), " ", IF(ISTEXT(L181), " ", IF(L181&lt;=Нормативы!$H$181, "КМС", IF(L181&lt;=Нормативы!$H$182, "КМС", IF(L181&lt;=Нормативы!$L$183, "КМС", IF(L181&lt;=Нормативы!$L$184, "I", IF(L181&lt;=Нормативы!$L$185, "II", IF(L181&lt;=Нормативы!$L$186, "III", IF(L181&lt;=Нормативы!$L$187, "I юн", IF(L181&lt;=Нормативы!$L$188, "II юн", IF(L181&lt;=Нормативы!$L$189, "III юн", "б/р")))))))))))</f>
        <v xml:space="preserve"> </v>
      </c>
      <c r="N181" s="91" t="str">
        <f>IF(ISBLANK(L181), " ", IF(ISTEXT(L181), " ", IF(L181&lt;=705.2, "МСМК", IF(L181&lt;=725.7, "МС", IF(L181&lt;=748, "КМС", IF(L181&lt;=820.5, "I", IF(L181&lt;=902.5, "II", IF(L181&lt;=944.5, "III", IF(L181&lt;=1038.5, "I юн", IF(L181&lt;=1142, "II юн", IF(L181&lt;=1236.5, "III юн", "б/р")))))))))))</f>
        <v xml:space="preserve"> </v>
      </c>
      <c r="Q181" s="91" t="str">
        <f t="shared" ref="Q181:Q189" si="32">IF(ISBLANK(P181), " ", IF(ISTEXT(P181), " ", IF(P181&lt;=$H$181, "МСМК", IF(P181&lt;=$H$182, "МС", IF(P181&lt;=$H$183, "КМС", IF(P181&lt;=$H$184, "I", IF(P181&lt;=$H$185, "II", IF(P181&lt;=$H$186, "III", IF(P181&lt;=$H$187, "I юн", IF(P181&lt;=$H$188, "II юн", IF(P181&lt;=$H$189, "III юн", "б/р")))))))))))</f>
        <v xml:space="preserve"> </v>
      </c>
    </row>
    <row r="182" spans="3:33" x14ac:dyDescent="0.2">
      <c r="C182" s="3"/>
      <c r="D182" s="4"/>
      <c r="E182" s="4"/>
      <c r="F182" s="3"/>
      <c r="G182" s="3"/>
      <c r="H182" s="222">
        <v>720.7</v>
      </c>
      <c r="I182" s="91" t="str">
        <f>IF(ISBLANK(H182), " ", IF(ISTEXT(H182), " ", IF(H182&lt;=Нормативы!$H$181, "МСМК", IF(H182&lt;=Нормативы!$H$182, "МС", IF(H182&lt;=Нормативы!$H$183, "КМС", IF(H182&lt;=Нормативы!$H$184, "I", IF(H182&lt;=Нормативы!$H$185, "II", IF(H182&lt;=Нормативы!$H$186, "III", IF(H182&lt;=Нормативы!$H$187, "I юн", IF(H182&lt;=Нормативы!$H$188, "II юн", IF(H182&lt;=Нормативы!$H$189, "III юн", "б/р")))))))))))</f>
        <v>МС</v>
      </c>
      <c r="J182" s="91" t="str">
        <f>IF(ISBLANK(H182), " ", IF(ISTEXT(H182), " ", IF(H182&lt;=Нормативы!$H$181, "МСМК", IF(H182&lt;=Нормативы!$H$182, "МС", IF(H182&lt;=Нормативы!$H$183, "КМС", IF(H182&lt;=Нормативы!$H$184, "I", IF(H182&lt;=Нормативы!$H$185, "II", IF(H182&lt;=Нормативы!$H$186, "III", IF(H182&lt;=Нормативы!$H$187, "I юн", IF(H182&lt;=Нормативы!$H$188, "II юн", IF(H182&lt;=Нормативы!$H$189, "III юн", "б/р")))))))))))</f>
        <v>МС</v>
      </c>
      <c r="K182" s="226"/>
      <c r="L182" s="222"/>
      <c r="M182" s="91" t="str">
        <f>IF(ISBLANK(L182), " ", IF(ISTEXT(L182), " ", IF(L182&lt;=Нормативы!$H$181, "КМС", IF(L182&lt;=Нормативы!$H$182, "КМС", IF(L182&lt;=Нормативы!$L$183, "КМС", IF(L182&lt;=Нормативы!$L$184, "I", IF(L182&lt;=Нормативы!$L$185, "II", IF(L182&lt;=Нормативы!$L$186, "III", IF(L182&lt;=Нормативы!$L$187, "I юн", IF(L182&lt;=Нормативы!$L$188, "II юн", IF(L182&lt;=Нормативы!$L$189, "III юн", "б/р")))))))))))</f>
        <v xml:space="preserve"> </v>
      </c>
      <c r="N182" s="91" t="str">
        <f>IF(ISBLANK(L182), " ", IF(ISTEXT(L182), " ", IF(L182&lt;=705.2, "МСМК", IF(L182&lt;=725.7, "МС", IF(L182&lt;=748, "КМС", IF(L182&lt;=820.5, "I", IF(L182&lt;=902.5, "II", IF(L182&lt;=944.5, "III", IF(L182&lt;=1038.5, "I юн", IF(L182&lt;=1142, "II юн", IF(L182&lt;=1236.5, "III юн", "б/р")))))))))))</f>
        <v xml:space="preserve"> </v>
      </c>
      <c r="Q182" s="91" t="str">
        <f t="shared" si="32"/>
        <v xml:space="preserve"> </v>
      </c>
    </row>
    <row r="183" spans="3:33" x14ac:dyDescent="0.2">
      <c r="C183" s="3"/>
      <c r="D183" s="4"/>
      <c r="E183" s="4"/>
      <c r="F183" s="3"/>
      <c r="G183" s="3"/>
      <c r="H183" s="222">
        <v>746.7</v>
      </c>
      <c r="I183" s="91" t="str">
        <f>IF(ISBLANK(H183), " ", IF(ISTEXT(H183), " ", IF(H183&lt;=Нормативы!$H$181, "МСМК", IF(H183&lt;=Нормативы!$H$182, "МС", IF(H183&lt;=Нормативы!$H$183, "КМС", IF(H183&lt;=Нормативы!$H$184, "I", IF(H183&lt;=Нормативы!$H$185, "II", IF(H183&lt;=Нормативы!$H$186, "III", IF(H183&lt;=Нормативы!$H$187, "I юн", IF(H183&lt;=Нормативы!$H$188, "II юн", IF(H183&lt;=Нормативы!$H$189, "III юн", "б/р")))))))))))</f>
        <v>КМС</v>
      </c>
      <c r="J183" s="91" t="str">
        <f>IF(ISBLANK(H183), " ", IF(ISTEXT(H183), " ", IF(H183&lt;=Нормативы!$H$181, "МСМК", IF(H183&lt;=Нормативы!$H$182, "МС", IF(H183&lt;=Нормативы!$H$183, "КМС", IF(H183&lt;=Нормативы!$H$184, "I", IF(H183&lt;=Нормативы!$H$185, "II", IF(H183&lt;=Нормативы!$H$186, "III", IF(H183&lt;=Нормативы!$H$187, "I юн", IF(H183&lt;=Нормативы!$H$188, "II юн", IF(H183&lt;=Нормативы!$H$189, "III юн", "б/р")))))))))))</f>
        <v>КМС</v>
      </c>
      <c r="K183" s="226"/>
      <c r="L183" s="225">
        <f t="shared" ref="L183:L189" si="33">H183-0.2</f>
        <v>746.5</v>
      </c>
      <c r="M183" s="91" t="str">
        <f>IF(ISBLANK(L183), " ", IF(ISTEXT(L183), " ", IF(L183&lt;=Нормативы!$H$181, "КМС", IF(L183&lt;=Нормативы!$H$182, "КМС", IF(L183&lt;=Нормативы!$L$183, "КМС", IF(L183&lt;=Нормативы!$L$184, "I", IF(L183&lt;=Нормативы!$L$185, "II", IF(L183&lt;=Нормативы!$L$186, "III", IF(L183&lt;=Нормативы!$L$187, "I юн", IF(L183&lt;=Нормативы!$L$188, "II юн", IF(L183&lt;=Нормативы!$L$189, "III юн", "б/р")))))))))))</f>
        <v>КМС</v>
      </c>
      <c r="N183" s="91" t="str">
        <f>IF(ISBLANK(L183), " ", IF(ISTEXT(L183), " ", IF(L183&lt;=Нормативы!$H$181, "КМС", IF(L183&lt;=Нормативы!$H$182, "КМС", IF(L183&lt;=Нормативы!$L$183, "КМС", IF(L183&lt;=Нормативы!$L$184, "I", IF(L183&lt;=Нормативы!$L$185, "II", IF(L183&lt;=Нормативы!$L$186, "III", IF(L183&lt;=Нормативы!$L$187, "I юн", IF(L183&lt;=Нормативы!$L$188, "II юн", IF(L183&lt;=Нормативы!$L$189, "III юн", "б/р")))))))))))</f>
        <v>КМС</v>
      </c>
      <c r="Q183" s="91" t="str">
        <f t="shared" si="32"/>
        <v xml:space="preserve"> </v>
      </c>
    </row>
    <row r="184" spans="3:33" x14ac:dyDescent="0.2">
      <c r="C184" s="3"/>
      <c r="D184" s="4"/>
      <c r="E184" s="4"/>
      <c r="F184" s="3"/>
      <c r="G184" s="3"/>
      <c r="H184" s="222">
        <v>818.5</v>
      </c>
      <c r="I184" s="91" t="str">
        <f>IF(ISBLANK(H184), " ", IF(ISTEXT(H184), " ", IF(H184&lt;=Нормативы!$H$181, "МСМК", IF(H184&lt;=Нормативы!$H$182, "МС", IF(H184&lt;=Нормативы!$H$183, "КМС", IF(H184&lt;=Нормативы!$H$184, "I", IF(H184&lt;=Нормативы!$H$185, "II", IF(H184&lt;=Нормативы!$H$186, "III", IF(H184&lt;=Нормативы!$H$187, "I юн", IF(H184&lt;=Нормативы!$H$188, "II юн", IF(H184&lt;=Нормативы!$H$189, "III юн", "б/р")))))))))))</f>
        <v>I</v>
      </c>
      <c r="J184" s="91" t="str">
        <f>IF(ISBLANK(H184), " ", IF(ISTEXT(H184), " ", IF(H184&lt;=Нормативы!$H$181, "МСМК", IF(H184&lt;=Нормативы!$H$182, "МС", IF(H184&lt;=Нормативы!$H$183, "КМС", IF(H184&lt;=Нормативы!$H$184, "I", IF(H184&lt;=Нормативы!$H$185, "II", IF(H184&lt;=Нормативы!$H$186, "III", IF(H184&lt;=Нормативы!$H$187, "I юн", IF(H184&lt;=Нормативы!$H$188, "II юн", IF(H184&lt;=Нормативы!$H$189, "III юн", "б/р")))))))))))</f>
        <v>I</v>
      </c>
      <c r="K184" s="226"/>
      <c r="L184" s="225">
        <f t="shared" si="33"/>
        <v>818.3</v>
      </c>
      <c r="M184" s="91" t="str">
        <f>IF(ISBLANK(L184), " ", IF(ISTEXT(L184), " ", IF(L184&lt;=Нормативы!$H$181, "КМС", IF(L184&lt;=Нормативы!$H$182, "КМС", IF(L184&lt;=Нормативы!$L$183, "КМС", IF(L184&lt;=Нормативы!$L$184, "I", IF(L184&lt;=Нормативы!$L$185, "II", IF(L184&lt;=Нормативы!$L$186, "III", IF(L184&lt;=Нормативы!$L$187, "I юн", IF(L184&lt;=Нормативы!$L$188, "II юн", IF(L184&lt;=Нормативы!$L$189, "III юн", "б/р")))))))))))</f>
        <v>I</v>
      </c>
      <c r="N184" s="91" t="str">
        <f>IF(ISBLANK(L184), " ", IF(ISTEXT(L184), " ", IF(L184&lt;=Нормативы!$H$181, "КМС", IF(L184&lt;=Нормативы!$H$182, "КМС", IF(L184&lt;=Нормативы!$L$183, "КМС", IF(L184&lt;=Нормативы!$L$184, "I", IF(L184&lt;=Нормативы!$L$185, "II", IF(L184&lt;=Нормативы!$L$186, "III", IF(L184&lt;=Нормативы!$L$187, "I юн", IF(L184&lt;=Нормативы!$L$188, "II юн", IF(L184&lt;=Нормативы!$L$189, "III юн", "б/р")))))))))))</f>
        <v>I</v>
      </c>
      <c r="Q184" s="91" t="str">
        <f t="shared" si="32"/>
        <v xml:space="preserve"> </v>
      </c>
    </row>
    <row r="185" spans="3:33" x14ac:dyDescent="0.2">
      <c r="C185" s="3"/>
      <c r="D185" s="4"/>
      <c r="E185" s="4"/>
      <c r="F185" s="3"/>
      <c r="G185" s="3"/>
      <c r="H185" s="222">
        <v>860</v>
      </c>
      <c r="I185" s="91" t="str">
        <f>IF(ISBLANK(H185), " ", IF(ISTEXT(H185), " ", IF(H185&lt;=Нормативы!$H$181, "МСМК", IF(H185&lt;=Нормативы!$H$182, "МС", IF(H185&lt;=Нормативы!$H$183, "КМС", IF(H185&lt;=Нормативы!$H$184, "I", IF(H185&lt;=Нормативы!$H$185, "II", IF(H185&lt;=Нормативы!$H$186, "III", IF(H185&lt;=Нормативы!$H$187, "I юн", IF(H185&lt;=Нормативы!$H$188, "II юн", IF(H185&lt;=Нормативы!$H$189, "III юн", "б/р")))))))))))</f>
        <v>II</v>
      </c>
      <c r="J185" s="91" t="str">
        <f>IF(ISBLANK(H185), " ", IF(ISTEXT(H185), " ", IF(H185&lt;=Нормативы!$H$181, "МСМК", IF(H185&lt;=Нормативы!$H$182, "МС", IF(H185&lt;=Нормативы!$H$183, "КМС", IF(H185&lt;=Нормативы!$H$184, "I", IF(H185&lt;=Нормативы!$H$185, "II", IF(H185&lt;=Нормативы!$H$186, "III", IF(H185&lt;=Нормативы!$H$187, "I юн", IF(H185&lt;=Нормативы!$H$188, "II юн", IF(H185&lt;=Нормативы!$H$189, "III юн", "б/р")))))))))))</f>
        <v>II</v>
      </c>
      <c r="K185" s="226"/>
      <c r="L185" s="225">
        <f t="shared" si="33"/>
        <v>859.8</v>
      </c>
      <c r="M185" s="91" t="str">
        <f>IF(ISBLANK(L185), " ", IF(ISTEXT(L185), " ", IF(L185&lt;=Нормативы!$H$181, "КМС", IF(L185&lt;=Нормативы!$H$182, "КМС", IF(L185&lt;=Нормативы!$L$183, "КМС", IF(L185&lt;=Нормативы!$L$184, "I", IF(L185&lt;=Нормативы!$L$185, "II", IF(L185&lt;=Нормативы!$L$186, "III", IF(L185&lt;=Нормативы!$L$187, "I юн", IF(L185&lt;=Нормативы!$L$188, "II юн", IF(L185&lt;=Нормативы!$L$189, "III юн", "б/р")))))))))))</f>
        <v>II</v>
      </c>
      <c r="N185" s="91" t="str">
        <f>IF(ISBLANK(L185), " ", IF(ISTEXT(L185), " ", IF(L185&lt;=Нормативы!$H$181, "КМС", IF(L185&lt;=Нормативы!$H$182, "КМС", IF(L185&lt;=Нормативы!$L$183, "КМС", IF(L185&lt;=Нормативы!$L$184, "I", IF(L185&lt;=Нормативы!$L$185, "II", IF(L185&lt;=Нормативы!$L$186, "III", IF(L185&lt;=Нормативы!$L$187, "I юн", IF(L185&lt;=Нормативы!$L$188, "II юн", IF(L185&lt;=Нормативы!$L$189, "III юн", "б/р")))))))))))</f>
        <v>II</v>
      </c>
      <c r="Q185" s="91" t="str">
        <f t="shared" si="32"/>
        <v xml:space="preserve"> </v>
      </c>
    </row>
    <row r="186" spans="3:33" x14ac:dyDescent="0.2">
      <c r="C186" s="3"/>
      <c r="D186" s="4"/>
      <c r="E186" s="4"/>
      <c r="F186" s="3"/>
      <c r="G186" s="3"/>
      <c r="H186" s="222">
        <v>940.7</v>
      </c>
      <c r="I186" s="91" t="str">
        <f>IF(ISBLANK(H186), " ", IF(ISTEXT(H186), " ", IF(H186&lt;=Нормативы!$H$181, "МСМК", IF(H186&lt;=Нормативы!$H$182, "МС", IF(H186&lt;=Нормативы!$H$183, "КМС", IF(H186&lt;=Нормативы!$H$184, "I", IF(H186&lt;=Нормативы!$H$185, "II", IF(H186&lt;=Нормативы!$H$186, "III", IF(H186&lt;=Нормативы!$H$187, "I юн", IF(H186&lt;=Нормативы!$H$188, "II юн", IF(H186&lt;=Нормативы!$H$189, "III юн", "б/р")))))))))))</f>
        <v>III</v>
      </c>
      <c r="J186" s="91" t="str">
        <f>IF(ISBLANK(H186), " ", IF(ISTEXT(H186), " ", IF(H186&lt;=Нормативы!$H$181, "МСМК", IF(H186&lt;=Нормативы!$H$182, "МС", IF(H186&lt;=Нормативы!$H$183, "КМС", IF(H186&lt;=Нормативы!$H$184, "I", IF(H186&lt;=Нормативы!$H$185, "II", IF(H186&lt;=Нормативы!$H$186, "III", IF(H186&lt;=Нормативы!$H$187, "I юн", IF(H186&lt;=Нормативы!$H$188, "II юн", IF(H186&lt;=Нормативы!$H$189, "III юн", "б/р")))))))))))</f>
        <v>III</v>
      </c>
      <c r="K186" s="226"/>
      <c r="L186" s="225">
        <f t="shared" si="33"/>
        <v>940.5</v>
      </c>
      <c r="M186" s="91" t="str">
        <f>IF(ISBLANK(L186), " ", IF(ISTEXT(L186), " ", IF(L186&lt;=Нормативы!$H$181, "КМС", IF(L186&lt;=Нормативы!$H$182, "КМС", IF(L186&lt;=Нормативы!$L$183, "КМС", IF(L186&lt;=Нормативы!$L$184, "I", IF(L186&lt;=Нормативы!$L$185, "II", IF(L186&lt;=Нормативы!$L$186, "III", IF(L186&lt;=Нормативы!$L$187, "I юн", IF(L186&lt;=Нормативы!$L$188, "II юн", IF(L186&lt;=Нормативы!$L$189, "III юн", "б/р")))))))))))</f>
        <v>III</v>
      </c>
      <c r="N186" s="91" t="str">
        <f>IF(ISBLANK(L186), " ", IF(ISTEXT(L186), " ", IF(L186&lt;=Нормативы!$H$181, "КМС", IF(L186&lt;=Нормативы!$H$182, "КМС", IF(L186&lt;=Нормативы!$L$183, "КМС", IF(L186&lt;=Нормативы!$L$184, "I", IF(L186&lt;=Нормативы!$L$185, "II", IF(L186&lt;=Нормативы!$L$186, "III", IF(L186&lt;=Нормативы!$L$187, "I юн", IF(L186&lt;=Нормативы!$L$188, "II юн", IF(L186&lt;=Нормативы!$L$189, "III юн", "б/р")))))))))))</f>
        <v>III</v>
      </c>
      <c r="Q186" s="91" t="str">
        <f t="shared" si="32"/>
        <v xml:space="preserve"> </v>
      </c>
    </row>
    <row r="187" spans="3:33" x14ac:dyDescent="0.2">
      <c r="C187" s="3"/>
      <c r="D187" s="4"/>
      <c r="E187" s="4"/>
      <c r="F187" s="3"/>
      <c r="G187" s="3"/>
      <c r="H187" s="222">
        <v>1030.7</v>
      </c>
      <c r="I187" s="91" t="str">
        <f>IF(ISBLANK(H187), " ", IF(ISTEXT(H187), " ", IF(H187&lt;=Нормативы!$H$181, "МСМК", IF(H187&lt;=Нормативы!$H$182, "МС", IF(H187&lt;=Нормативы!$H$183, "КМС", IF(H187&lt;=Нормативы!$H$184, "I", IF(H187&lt;=Нормативы!$H$185, "II", IF(H187&lt;=Нормативы!$H$186, "III", IF(H187&lt;=Нормативы!$H$187, "I юн", IF(H187&lt;=Нормативы!$H$188, "II юн", IF(H187&lt;=Нормативы!$H$189, "III юн", "б/р")))))))))))</f>
        <v>I юн</v>
      </c>
      <c r="J187" s="91" t="str">
        <f>IF(ISBLANK(H187), " ", IF(ISTEXT(H187), " ", IF(H187&lt;=Нормативы!$H$181, "МСМК", IF(H187&lt;=Нормативы!$H$182, "МС", IF(H187&lt;=Нормативы!$H$183, "КМС", IF(H187&lt;=Нормативы!$H$184, "I", IF(H187&lt;=Нормативы!$H$185, "II", IF(H187&lt;=Нормативы!$H$186, "III", IF(H187&lt;=Нормативы!$H$187, "I юн", IF(H187&lt;=Нормативы!$H$188, "II юн", IF(H187&lt;=Нормативы!$H$189, "III юн", "б/р")))))))))))</f>
        <v>I юн</v>
      </c>
      <c r="K187" s="226"/>
      <c r="L187" s="225">
        <f t="shared" si="33"/>
        <v>1030.5</v>
      </c>
      <c r="M187" s="91" t="str">
        <f>IF(ISBLANK(L187), " ", IF(ISTEXT(L187), " ", IF(L187&lt;=Нормативы!$H$181, "КМС", IF(L187&lt;=Нормативы!$H$182, "КМС", IF(L187&lt;=Нормативы!$L$183, "КМС", IF(L187&lt;=Нормативы!$L$184, "I", IF(L187&lt;=Нормативы!$L$185, "II", IF(L187&lt;=Нормативы!$L$186, "III", IF(L187&lt;=Нормативы!$L$187, "I юн", IF(L187&lt;=Нормативы!$L$188, "II юн", IF(L187&lt;=Нормативы!$L$189, "III юн", "б/р")))))))))))</f>
        <v>I юн</v>
      </c>
      <c r="N187" s="91" t="str">
        <f>IF(ISBLANK(L187), " ", IF(ISTEXT(L187), " ", IF(L187&lt;=Нормативы!$H$181, "КМС", IF(L187&lt;=Нормативы!$H$182, "КМС", IF(L187&lt;=Нормативы!$L$183, "КМС", IF(L187&lt;=Нормативы!$L$184, "I", IF(L187&lt;=Нормативы!$L$185, "II", IF(L187&lt;=Нормативы!$L$186, "III", IF(L187&lt;=Нормативы!$L$187, "I юн", IF(L187&lt;=Нормативы!$L$188, "II юн", IF(L187&lt;=Нормативы!$L$189, "III юн", "б/р")))))))))))</f>
        <v>I юн</v>
      </c>
      <c r="Q187" s="91" t="str">
        <f t="shared" si="32"/>
        <v xml:space="preserve"> </v>
      </c>
    </row>
    <row r="188" spans="3:33" x14ac:dyDescent="0.2">
      <c r="C188" s="3"/>
      <c r="D188" s="4"/>
      <c r="E188" s="4"/>
      <c r="F188" s="3"/>
      <c r="G188" s="3"/>
      <c r="H188" s="222">
        <v>1137.2</v>
      </c>
      <c r="I188" s="91" t="str">
        <f>IF(ISBLANK(H188), " ", IF(ISTEXT(H188), " ", IF(H188&lt;=Нормативы!$H$181, "МСМК", IF(H188&lt;=Нормативы!$H$182, "МС", IF(H188&lt;=Нормативы!$H$183, "КМС", IF(H188&lt;=Нормативы!$H$184, "I", IF(H188&lt;=Нормативы!$H$185, "II", IF(H188&lt;=Нормативы!$H$186, "III", IF(H188&lt;=Нормативы!$H$187, "I юн", IF(H188&lt;=Нормативы!$H$188, "II юн", IF(H188&lt;=Нормативы!$H$189, "III юн", "б/р")))))))))))</f>
        <v>II юн</v>
      </c>
      <c r="J188" s="91" t="str">
        <f>IF(ISBLANK(H188), " ", IF(ISTEXT(H188), " ", IF(H188&lt;=Нормативы!$H$181, "МСМК", IF(H188&lt;=Нормативы!$H$182, "МС", IF(H188&lt;=Нормативы!$H$183, "КМС", IF(H188&lt;=Нормативы!$H$184, "I", IF(H188&lt;=Нормативы!$H$185, "II", IF(H188&lt;=Нормативы!$H$186, "III", IF(H188&lt;=Нормативы!$H$187, "I юн", IF(H188&lt;=Нормативы!$H$188, "II юн", IF(H188&lt;=Нормативы!$H$189, "III юн", "б/р")))))))))))</f>
        <v>II юн</v>
      </c>
      <c r="K188" s="226"/>
      <c r="L188" s="225">
        <f t="shared" si="33"/>
        <v>1137</v>
      </c>
      <c r="M188" s="91" t="str">
        <f>IF(ISBLANK(L188), " ", IF(ISTEXT(L188), " ", IF(L188&lt;=Нормативы!$H$181, "КМС", IF(L188&lt;=Нормативы!$H$182, "КМС", IF(L188&lt;=Нормативы!$L$183, "КМС", IF(L188&lt;=Нормативы!$L$184, "I", IF(L188&lt;=Нормативы!$L$185, "II", IF(L188&lt;=Нормативы!$L$186, "III", IF(L188&lt;=Нормативы!$L$187, "I юн", IF(L188&lt;=Нормативы!$L$188, "II юн", IF(L188&lt;=Нормативы!$L$189, "III юн", "б/р")))))))))))</f>
        <v>II юн</v>
      </c>
      <c r="N188" s="91" t="str">
        <f>IF(ISBLANK(L188), " ", IF(ISTEXT(L188), " ", IF(L188&lt;=Нормативы!$H$181, "КМС", IF(L188&lt;=Нормативы!$H$182, "КМС", IF(L188&lt;=Нормативы!$L$183, "КМС", IF(L188&lt;=Нормативы!$L$184, "I", IF(L188&lt;=Нормативы!$L$185, "II", IF(L188&lt;=Нормативы!$L$186, "III", IF(L188&lt;=Нормативы!$L$187, "I юн", IF(L188&lt;=Нормативы!$L$188, "II юн", IF(L188&lt;=Нормативы!$L$189, "III юн", "б/р")))))))))))</f>
        <v>II юн</v>
      </c>
      <c r="Q188" s="91" t="str">
        <f t="shared" si="32"/>
        <v xml:space="preserve"> </v>
      </c>
    </row>
    <row r="189" spans="3:33" x14ac:dyDescent="0.2">
      <c r="C189" s="3"/>
      <c r="D189" s="4"/>
      <c r="E189" s="4"/>
      <c r="F189" s="3"/>
      <c r="G189" s="3"/>
      <c r="H189" s="222">
        <v>1230</v>
      </c>
      <c r="I189" s="91" t="str">
        <f>IF(ISBLANK(H189), " ", IF(ISTEXT(H189), " ", IF(H189&lt;=Нормативы!$H$181, "МСМК", IF(H189&lt;=Нормативы!$H$182, "МС", IF(H189&lt;=Нормативы!$H$183, "КМС", IF(H189&lt;=Нормативы!$H$184, "I", IF(H189&lt;=Нормативы!$H$185, "II", IF(H189&lt;=Нормативы!$H$186, "III", IF(H189&lt;=Нормативы!$H$187, "I юн", IF(H189&lt;=Нормативы!$H$188, "II юн", IF(H189&lt;=Нормативы!$H$189, "III юн", "б/р")))))))))))</f>
        <v>III юн</v>
      </c>
      <c r="J189" s="91" t="str">
        <f>IF(ISBLANK(H189), " ", IF(ISTEXT(H189), " ", IF(H189&lt;=Нормативы!$H$181, "МСМК", IF(H189&lt;=Нормативы!$H$182, "МС", IF(H189&lt;=Нормативы!$H$183, "КМС", IF(H189&lt;=Нормативы!$H$184, "I", IF(H189&lt;=Нормативы!$H$185, "II", IF(H189&lt;=Нормативы!$H$186, "III", IF(H189&lt;=Нормативы!$H$187, "I юн", IF(H189&lt;=Нормативы!$H$188, "II юн", IF(H189&lt;=Нормативы!$H$189, "III юн", "б/р")))))))))))</f>
        <v>III юн</v>
      </c>
      <c r="K189" s="226"/>
      <c r="L189" s="225">
        <f t="shared" si="33"/>
        <v>1229.8</v>
      </c>
      <c r="M189" s="91" t="str">
        <f>IF(ISBLANK(L189), " ", IF(ISTEXT(L189), " ", IF(L189&lt;=Нормативы!$H$181, "КМС", IF(L189&lt;=Нормативы!$H$182, "КМС", IF(L189&lt;=Нормативы!$L$183, "КМС", IF(L189&lt;=Нормативы!$L$184, "I", IF(L189&lt;=Нормативы!$L$185, "II", IF(L189&lt;=Нормативы!$L$186, "III", IF(L189&lt;=Нормативы!$L$187, "I юн", IF(L189&lt;=Нормативы!$L$188, "II юн", IF(L189&lt;=Нормативы!$L$189, "III юн", "б/р")))))))))))</f>
        <v>III юн</v>
      </c>
      <c r="N189" s="91" t="str">
        <f>IF(ISBLANK(L189), " ", IF(ISTEXT(L189), " ", IF(L189&lt;=Нормативы!$H$181, "КМС", IF(L189&lt;=Нормативы!$H$182, "КМС", IF(L189&lt;=Нормативы!$L$183, "КМС", IF(L189&lt;=Нормативы!$L$184, "I", IF(L189&lt;=Нормативы!$L$185, "II", IF(L189&lt;=Нормативы!$L$186, "III", IF(L189&lt;=Нормативы!$L$187, "I юн", IF(L189&lt;=Нормативы!$L$188, "II юн", IF(L189&lt;=Нормативы!$L$189, "III юн", "б/р")))))))))))</f>
        <v>III юн</v>
      </c>
      <c r="Q189" s="91" t="str">
        <f t="shared" si="32"/>
        <v xml:space="preserve"> </v>
      </c>
    </row>
    <row r="190" spans="3:33" x14ac:dyDescent="0.2">
      <c r="C190" s="3"/>
      <c r="D190" s="4"/>
      <c r="E190" s="4"/>
      <c r="F190" s="3"/>
      <c r="G190" s="3"/>
      <c r="H190" s="222"/>
      <c r="I190" s="217"/>
      <c r="J190" s="217"/>
      <c r="K190" s="226"/>
      <c r="L190" s="217"/>
      <c r="M190" s="217"/>
      <c r="N190" s="217"/>
      <c r="P190" s="233"/>
      <c r="Q190" s="217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</row>
    <row r="191" spans="3:33" x14ac:dyDescent="0.2">
      <c r="C191" s="58" t="s">
        <v>394</v>
      </c>
      <c r="D191" s="106"/>
      <c r="E191" s="106"/>
      <c r="F191" s="58"/>
      <c r="G191" s="58"/>
      <c r="H191" s="221"/>
      <c r="I191" s="217"/>
      <c r="J191" s="217"/>
      <c r="K191" s="235"/>
      <c r="L191" s="217"/>
      <c r="M191" s="217"/>
      <c r="N191" s="217"/>
      <c r="P191" s="224"/>
      <c r="Q191" s="217"/>
      <c r="R191" s="224"/>
      <c r="S191" s="224"/>
      <c r="T191" s="224"/>
      <c r="U191" s="224"/>
      <c r="V191" s="224"/>
      <c r="W191" s="224"/>
      <c r="X191" s="224"/>
      <c r="Y191" s="224"/>
      <c r="Z191" s="224"/>
      <c r="AA191" s="224"/>
      <c r="AB191" s="224"/>
      <c r="AC191" s="224"/>
      <c r="AD191" s="224"/>
      <c r="AE191" s="224"/>
      <c r="AF191" s="224"/>
      <c r="AG191" s="224"/>
    </row>
    <row r="192" spans="3:33" x14ac:dyDescent="0.2">
      <c r="C192" s="3"/>
      <c r="D192" s="4"/>
      <c r="E192" s="4"/>
      <c r="F192" s="3"/>
      <c r="G192" s="3"/>
      <c r="H192" s="222">
        <v>633</v>
      </c>
      <c r="I192" s="91" t="str">
        <f>IF(ISBLANK(H192), " ", IF(ISTEXT(H192), " ", IF(H192&lt;=Нормативы!$H$192, "МСМК", IF(H192&lt;=Нормативы!$H$193, "МС", IF(H192&lt;=Нормативы!$H$194, "КМС", IF(H192&lt;=Нормативы!$H$195, "I", IF(H192&lt;=Нормативы!$H$196, "II", IF(H192&lt;=Нормативы!$H$197, "III", IF(H192&lt;=Нормативы!$H$198, "I юн", IF(H192&lt;=Нормативы!$H$199, "II юн", IF(H192&lt;=Нормативы!$H$200, "III юн", "б/р")))))))))))</f>
        <v>МСМК</v>
      </c>
      <c r="J192" s="91" t="str">
        <f>IF(ISBLANK(H192), " ", IF(ISTEXT(H192), " ", IF(H192&lt;=Нормативы!$H$192, "МСМК", IF(H192&lt;=Нормативы!$H$193, "МС", IF(H192&lt;=Нормативы!$H$194, "КМС", IF(H192&lt;=Нормативы!$H$195, "I", IF(H192&lt;=Нормативы!$H$196, "II", IF(H192&lt;=Нормативы!$H$197, "III", IF(H192&lt;=Нормативы!$H$198, "I юн", IF(H192&lt;=Нормативы!$H$199, "II юн", IF(H192&lt;=Нормативы!$H$200, "III юн", "б/р")))))))))))</f>
        <v>МСМК</v>
      </c>
      <c r="K192" s="226"/>
      <c r="L192" s="222"/>
      <c r="M192" s="91" t="str">
        <f>IF(ISBLANK(L192), " ", IF(ISTEXT(L192), " ", IF(L192&lt;=Нормативы!$H$192, "КМС", IF(L192&lt;=Нормативы!$H$193, "КМС", IF(L192&lt;=Нормативы!$L$194, "КМС", IF(L192&lt;=Нормативы!$L$195, "I", IF(L192&lt;=Нормативы!$L$196, "II", IF(L192&lt;=Нормативы!$L$197, "III", IF(L192&lt;=Нормативы!$L$198, "I юн", IF(L192&lt;=Нормативы!$L$199, "II юн", IF(L192&lt;=Нормативы!$L$200, "III юн", "б/р")))))))))))</f>
        <v xml:space="preserve"> </v>
      </c>
      <c r="N192" s="91" t="str">
        <f>IF(ISBLANK(L192), " ", IF(ISTEXT(L192), " ", IF(L192&lt;=634.7, "МСМК", IF(L192&lt;=652.2, "МС", IF(L192&lt;=714.5, "КМС", IF(L192&lt;=736, "I", IF(L192&lt;=825, "II", IF(L192&lt;=905.2, "III", IF(L192&lt;=955, "I юн", IF(L192&lt;=1054, "II юн", IF(L192&lt;=1150.5, "III юн", "б/р")))))))))))</f>
        <v xml:space="preserve"> </v>
      </c>
      <c r="Q192" s="91" t="str">
        <f t="shared" ref="Q192:Q200" si="34">IF(ISBLANK(P192), " ", IF(ISTEXT(P192), " ", IF(P192&lt;=$H$192, "МСМК", IF(P192&lt;=$H$193, "МС", IF(P192&lt;=$H$194, "КМС", IF(P192&lt;=$H$195, "I", IF(P192&lt;=$H$196, "II", IF(P192&lt;=$H$197, "III", IF(P192&lt;=$H$198, "I юн", IF(P192&lt;=$H$199, "II юн", IF(P192&lt;=$H$200, "III юн", "б/р")))))))))))</f>
        <v xml:space="preserve"> </v>
      </c>
    </row>
    <row r="193" spans="3:17" x14ac:dyDescent="0.2">
      <c r="C193" s="3"/>
      <c r="D193" s="4"/>
      <c r="E193" s="4"/>
      <c r="F193" s="3"/>
      <c r="G193" s="3"/>
      <c r="H193" s="222">
        <v>650</v>
      </c>
      <c r="I193" s="91" t="str">
        <f>IF(ISBLANK(H193), " ", IF(ISTEXT(H193), " ", IF(H193&lt;=Нормативы!$H$192, "МСМК", IF(H193&lt;=Нормативы!$H$193, "МС", IF(H193&lt;=Нормативы!$H$194, "КМС", IF(H193&lt;=Нормативы!$H$195, "I", IF(H193&lt;=Нормативы!$H$196, "II", IF(H193&lt;=Нормативы!$H$197, "III", IF(H193&lt;=Нормативы!$H$198, "I юн", IF(H193&lt;=Нормативы!$H$199, "II юн", IF(H193&lt;=Нормативы!$H$200, "III юн", "б/р")))))))))))</f>
        <v>МС</v>
      </c>
      <c r="J193" s="91" t="str">
        <f>IF(ISBLANK(H193), " ", IF(ISTEXT(H193), " ", IF(H193&lt;=Нормативы!$H$192, "МСМК", IF(H193&lt;=Нормативы!$H$193, "МС", IF(H193&lt;=Нормативы!$H$194, "КМС", IF(H193&lt;=Нормативы!$H$195, "I", IF(H193&lt;=Нормативы!$H$196, "II", IF(H193&lt;=Нормативы!$H$197, "III", IF(H193&lt;=Нормативы!$H$198, "I юн", IF(H193&lt;=Нормативы!$H$199, "II юн", IF(H193&lt;=Нормативы!$H$200, "III юн", "б/р")))))))))))</f>
        <v>МС</v>
      </c>
      <c r="K193" s="226"/>
      <c r="L193" s="222"/>
      <c r="M193" s="91" t="str">
        <f>IF(ISBLANK(L193), " ", IF(ISTEXT(L193), " ", IF(L193&lt;=Нормативы!$H$192, "КМС", IF(L193&lt;=Нормативы!$H$193, "КМС", IF(L193&lt;=Нормативы!$L$194, "КМС", IF(L193&lt;=Нормативы!$L$195, "I", IF(L193&lt;=Нормативы!$L$196, "II", IF(L193&lt;=Нормативы!$L$197, "III", IF(L193&lt;=Нормативы!$L$198, "I юн", IF(L193&lt;=Нормативы!$L$199, "II юн", IF(L193&lt;=Нормативы!$L$200, "III юн", "б/р")))))))))))</f>
        <v xml:space="preserve"> </v>
      </c>
      <c r="N193" s="91" t="str">
        <f>IF(ISBLANK(L193), " ", IF(ISTEXT(L193), " ", IF(L193&lt;=634.7, "МСМК", IF(L193&lt;=652.2, "МС", IF(L193&lt;=714.5, "КМС", IF(L193&lt;=736, "I", IF(L193&lt;=825, "II", IF(L193&lt;=905.2, "III", IF(L193&lt;=955, "I юн", IF(L193&lt;=1054, "II юн", IF(L193&lt;=1150.5, "III юн", "б/р")))))))))))</f>
        <v xml:space="preserve"> </v>
      </c>
      <c r="Q193" s="91" t="str">
        <f t="shared" si="34"/>
        <v xml:space="preserve"> </v>
      </c>
    </row>
    <row r="194" spans="3:17" x14ac:dyDescent="0.2">
      <c r="C194" s="3"/>
      <c r="D194" s="4"/>
      <c r="E194" s="4"/>
      <c r="F194" s="3"/>
      <c r="G194" s="3"/>
      <c r="H194" s="222">
        <v>713.7</v>
      </c>
      <c r="I194" s="91" t="str">
        <f>IF(ISBLANK(H194), " ", IF(ISTEXT(H194), " ", IF(H194&lt;=Нормативы!$H$192, "МСМК", IF(H194&lt;=Нормативы!$H$193, "МС", IF(H194&lt;=Нормативы!$H$194, "КМС", IF(H194&lt;=Нормативы!$H$195, "I", IF(H194&lt;=Нормативы!$H$196, "II", IF(H194&lt;=Нормативы!$H$197, "III", IF(H194&lt;=Нормативы!$H$198, "I юн", IF(H194&lt;=Нормативы!$H$199, "II юн", IF(H194&lt;=Нормативы!$H$200, "III юн", "б/р")))))))))))</f>
        <v>КМС</v>
      </c>
      <c r="J194" s="91" t="str">
        <f>IF(ISBLANK(H194), " ", IF(ISTEXT(H194), " ", IF(H194&lt;=Нормативы!$H$192, "МСМК", IF(H194&lt;=Нормативы!$H$193, "МС", IF(H194&lt;=Нормативы!$H$194, "КМС", IF(H194&lt;=Нормативы!$H$195, "I", IF(H194&lt;=Нормативы!$H$196, "II", IF(H194&lt;=Нормативы!$H$197, "III", IF(H194&lt;=Нормативы!$H$198, "I юн", IF(H194&lt;=Нормативы!$H$199, "II юн", IF(H194&lt;=Нормативы!$H$200, "III юн", "б/р")))))))))))</f>
        <v>КМС</v>
      </c>
      <c r="K194" s="226"/>
      <c r="L194" s="225">
        <f t="shared" ref="L194:L200" si="35">H194-0.2</f>
        <v>713.5</v>
      </c>
      <c r="M194" s="91" t="str">
        <f>IF(ISBLANK(L194), " ", IF(ISTEXT(L194), " ", IF(L194&lt;=Нормативы!$H$192, "КМС", IF(L194&lt;=Нормативы!$H$193, "КМС", IF(L194&lt;=Нормативы!$L$194, "КМС", IF(L194&lt;=Нормативы!$L$195, "I", IF(L194&lt;=Нормативы!$L$196, "II", IF(L194&lt;=Нормативы!$L$197, "III", IF(L194&lt;=Нормативы!$L$198, "I юн", IF(L194&lt;=Нормативы!$L$199, "II юн", IF(L194&lt;=Нормативы!$L$200, "III юн", "б/р")))))))))))</f>
        <v>КМС</v>
      </c>
      <c r="N194" s="91" t="str">
        <f>IF(ISBLANK(L194), " ", IF(ISTEXT(L194), " ", IF(L194&lt;=Нормативы!$H$192, "КМС", IF(L194&lt;=Нормативы!$H$193, "КМС", IF(L194&lt;=Нормативы!$L$194, "КМС", IF(L194&lt;=Нормативы!$L$195, "I", IF(L194&lt;=Нормативы!$L$196, "II", IF(L194&lt;=Нормативы!$L$197, "III", IF(L194&lt;=Нормативы!$L$198, "I юн", IF(L194&lt;=Нормативы!$L$199, "II юн", IF(L194&lt;=Нормативы!$L$200, "III юн", "б/р")))))))))))</f>
        <v>КМС</v>
      </c>
      <c r="Q194" s="91" t="str">
        <f t="shared" si="34"/>
        <v xml:space="preserve"> </v>
      </c>
    </row>
    <row r="195" spans="3:17" x14ac:dyDescent="0.2">
      <c r="C195" s="3"/>
      <c r="D195" s="4"/>
      <c r="E195" s="4"/>
      <c r="F195" s="3"/>
      <c r="G195" s="3"/>
      <c r="H195" s="222">
        <v>734.7</v>
      </c>
      <c r="I195" s="91" t="str">
        <f>IF(ISBLANK(H195), " ", IF(ISTEXT(H195), " ", IF(H195&lt;=Нормативы!$H$192, "МСМК", IF(H195&lt;=Нормативы!$H$193, "МС", IF(H195&lt;=Нормативы!$H$194, "КМС", IF(H195&lt;=Нормативы!$H$195, "I", IF(H195&lt;=Нормативы!$H$196, "II", IF(H195&lt;=Нормативы!$H$197, "III", IF(H195&lt;=Нормативы!$H$198, "I юн", IF(H195&lt;=Нормативы!$H$199, "II юн", IF(H195&lt;=Нормативы!$H$200, "III юн", "б/р")))))))))))</f>
        <v>I</v>
      </c>
      <c r="J195" s="91" t="str">
        <f>IF(ISBLANK(H195), " ", IF(ISTEXT(H195), " ", IF(H195&lt;=Нормативы!$H$192, "МСМК", IF(H195&lt;=Нормативы!$H$193, "МС", IF(H195&lt;=Нормативы!$H$194, "КМС", IF(H195&lt;=Нормативы!$H$195, "I", IF(H195&lt;=Нормативы!$H$196, "II", IF(H195&lt;=Нормативы!$H$197, "III", IF(H195&lt;=Нормативы!$H$198, "I юн", IF(H195&lt;=Нормативы!$H$199, "II юн", IF(H195&lt;=Нормативы!$H$200, "III юн", "б/р")))))))))))</f>
        <v>I</v>
      </c>
      <c r="K195" s="226"/>
      <c r="L195" s="225">
        <f t="shared" si="35"/>
        <v>734.5</v>
      </c>
      <c r="M195" s="91" t="str">
        <f>IF(ISBLANK(L195), " ", IF(ISTEXT(L195), " ", IF(L195&lt;=Нормативы!$H$192, "КМС", IF(L195&lt;=Нормативы!$H$193, "КМС", IF(L195&lt;=Нормативы!$L$194, "КМС", IF(L195&lt;=Нормативы!$L$195, "I", IF(L195&lt;=Нормативы!$L$196, "II", IF(L195&lt;=Нормативы!$L$197, "III", IF(L195&lt;=Нормативы!$L$198, "I юн", IF(L195&lt;=Нормативы!$L$199, "II юн", IF(L195&lt;=Нормативы!$L$200, "III юн", "б/р")))))))))))</f>
        <v>I</v>
      </c>
      <c r="N195" s="91" t="str">
        <f>IF(ISBLANK(L195), " ", IF(ISTEXT(L195), " ", IF(L195&lt;=Нормативы!$H$192, "КМС", IF(L195&lt;=Нормативы!$H$193, "КМС", IF(L195&lt;=Нормативы!$L$194, "КМС", IF(L195&lt;=Нормативы!$L$195, "I", IF(L195&lt;=Нормативы!$L$196, "II", IF(L195&lt;=Нормативы!$L$197, "III", IF(L195&lt;=Нормативы!$L$198, "I юн", IF(L195&lt;=Нормативы!$L$199, "II юн", IF(L195&lt;=Нормативы!$L$200, "III юн", "б/р")))))))))))</f>
        <v>I</v>
      </c>
      <c r="Q195" s="91" t="str">
        <f t="shared" si="34"/>
        <v xml:space="preserve"> </v>
      </c>
    </row>
    <row r="196" spans="3:17" x14ac:dyDescent="0.2">
      <c r="C196" s="3"/>
      <c r="D196" s="4"/>
      <c r="E196" s="4"/>
      <c r="F196" s="3"/>
      <c r="G196" s="3"/>
      <c r="H196" s="222">
        <v>823.2</v>
      </c>
      <c r="I196" s="91" t="str">
        <f>IF(ISBLANK(H196), " ", IF(ISTEXT(H196), " ", IF(H196&lt;=Нормативы!$H$192, "МСМК", IF(H196&lt;=Нормативы!$H$193, "МС", IF(H196&lt;=Нормативы!$H$194, "КМС", IF(H196&lt;=Нормативы!$H$195, "I", IF(H196&lt;=Нормативы!$H$196, "II", IF(H196&lt;=Нормативы!$H$197, "III", IF(H196&lt;=Нормативы!$H$198, "I юн", IF(H196&lt;=Нормативы!$H$199, "II юн", IF(H196&lt;=Нормативы!$H$200, "III юн", "б/р")))))))))))</f>
        <v>II</v>
      </c>
      <c r="J196" s="91" t="str">
        <f>IF(ISBLANK(H196), " ", IF(ISTEXT(H196), " ", IF(H196&lt;=Нормативы!$H$192, "МСМК", IF(H196&lt;=Нормативы!$H$193, "МС", IF(H196&lt;=Нормативы!$H$194, "КМС", IF(H196&lt;=Нормативы!$H$195, "I", IF(H196&lt;=Нормативы!$H$196, "II", IF(H196&lt;=Нормативы!$H$197, "III", IF(H196&lt;=Нормативы!$H$198, "I юн", IF(H196&lt;=Нормативы!$H$199, "II юн", IF(H196&lt;=Нормативы!$H$200, "III юн", "б/р")))))))))))</f>
        <v>II</v>
      </c>
      <c r="K196" s="226"/>
      <c r="L196" s="225">
        <f t="shared" si="35"/>
        <v>823</v>
      </c>
      <c r="M196" s="91" t="str">
        <f>IF(ISBLANK(L196), " ", IF(ISTEXT(L196), " ", IF(L196&lt;=Нормативы!$H$192, "КМС", IF(L196&lt;=Нормативы!$H$193, "КМС", IF(L196&lt;=Нормативы!$L$194, "КМС", IF(L196&lt;=Нормативы!$L$195, "I", IF(L196&lt;=Нормативы!$L$196, "II", IF(L196&lt;=Нормативы!$L$197, "III", IF(L196&lt;=Нормативы!$L$198, "I юн", IF(L196&lt;=Нормативы!$L$199, "II юн", IF(L196&lt;=Нормативы!$L$200, "III юн", "б/р")))))))))))</f>
        <v>II</v>
      </c>
      <c r="N196" s="91" t="str">
        <f>IF(ISBLANK(L196), " ", IF(ISTEXT(L196), " ", IF(L196&lt;=Нормативы!$H$192, "КМС", IF(L196&lt;=Нормативы!$H$193, "КМС", IF(L196&lt;=Нормативы!$L$194, "КМС", IF(L196&lt;=Нормативы!$L$195, "I", IF(L196&lt;=Нормативы!$L$196, "II", IF(L196&lt;=Нормативы!$L$197, "III", IF(L196&lt;=Нормативы!$L$198, "I юн", IF(L196&lt;=Нормативы!$L$199, "II юн", IF(L196&lt;=Нормативы!$L$200, "III юн", "б/р")))))))))))</f>
        <v>II</v>
      </c>
      <c r="Q196" s="91" t="str">
        <f t="shared" si="34"/>
        <v xml:space="preserve"> </v>
      </c>
    </row>
    <row r="197" spans="3:17" x14ac:dyDescent="0.2">
      <c r="C197" s="3"/>
      <c r="D197" s="4"/>
      <c r="E197" s="4"/>
      <c r="F197" s="3"/>
      <c r="G197" s="3"/>
      <c r="H197" s="222">
        <v>903.2</v>
      </c>
      <c r="I197" s="91" t="str">
        <f>IF(ISBLANK(H197), " ", IF(ISTEXT(H197), " ", IF(H197&lt;=Нормативы!$H$192, "МСМК", IF(H197&lt;=Нормативы!$H$193, "МС", IF(H197&lt;=Нормативы!$H$194, "КМС", IF(H197&lt;=Нормативы!$H$195, "I", IF(H197&lt;=Нормативы!$H$196, "II", IF(H197&lt;=Нормативы!$H$197, "III", IF(H197&lt;=Нормативы!$H$198, "I юн", IF(H197&lt;=Нормативы!$H$199, "II юн", IF(H197&lt;=Нормативы!$H$200, "III юн", "б/р")))))))))))</f>
        <v>III</v>
      </c>
      <c r="J197" s="91" t="str">
        <f>IF(ISBLANK(H197), " ", IF(ISTEXT(H197), " ", IF(H197&lt;=Нормативы!$H$192, "МСМК", IF(H197&lt;=Нормативы!$H$193, "МС", IF(H197&lt;=Нормативы!$H$194, "КМС", IF(H197&lt;=Нормативы!$H$195, "I", IF(H197&lt;=Нормативы!$H$196, "II", IF(H197&lt;=Нормативы!$H$197, "III", IF(H197&lt;=Нормативы!$H$198, "I юн", IF(H197&lt;=Нормативы!$H$199, "II юн", IF(H197&lt;=Нормативы!$H$200, "III юн", "б/р")))))))))))</f>
        <v>III</v>
      </c>
      <c r="K197" s="226"/>
      <c r="L197" s="225">
        <f t="shared" si="35"/>
        <v>903</v>
      </c>
      <c r="M197" s="91" t="str">
        <f>IF(ISBLANK(L197), " ", IF(ISTEXT(L197), " ", IF(L197&lt;=Нормативы!$H$192, "КМС", IF(L197&lt;=Нормативы!$H$193, "КМС", IF(L197&lt;=Нормативы!$L$194, "КМС", IF(L197&lt;=Нормативы!$L$195, "I", IF(L197&lt;=Нормативы!$L$196, "II", IF(L197&lt;=Нормативы!$L$197, "III", IF(L197&lt;=Нормативы!$L$198, "I юн", IF(L197&lt;=Нормативы!$L$199, "II юн", IF(L197&lt;=Нормативы!$L$200, "III юн", "б/р")))))))))))</f>
        <v>III</v>
      </c>
      <c r="N197" s="91" t="str">
        <f>IF(ISBLANK(L197), " ", IF(ISTEXT(L197), " ", IF(L197&lt;=Нормативы!$H$192, "КМС", IF(L197&lt;=Нормативы!$H$193, "КМС", IF(L197&lt;=Нормативы!$L$194, "КМС", IF(L197&lt;=Нормативы!$L$195, "I", IF(L197&lt;=Нормативы!$L$196, "II", IF(L197&lt;=Нормативы!$L$197, "III", IF(L197&lt;=Нормативы!$L$198, "I юн", IF(L197&lt;=Нормативы!$L$199, "II юн", IF(L197&lt;=Нормативы!$L$200, "III юн", "б/р")))))))))))</f>
        <v>III</v>
      </c>
      <c r="Q197" s="91" t="str">
        <f t="shared" si="34"/>
        <v xml:space="preserve"> </v>
      </c>
    </row>
    <row r="198" spans="3:17" x14ac:dyDescent="0.2">
      <c r="C198" s="3"/>
      <c r="D198" s="4"/>
      <c r="E198" s="4"/>
      <c r="F198" s="3"/>
      <c r="G198" s="3"/>
      <c r="H198" s="222">
        <v>950.40000000000009</v>
      </c>
      <c r="I198" s="91" t="str">
        <f>IF(ISBLANK(H198), " ", IF(ISTEXT(H198), " ", IF(H198&lt;=Нормативы!$H$192, "МСМК", IF(H198&lt;=Нормативы!$H$193, "МС", IF(H198&lt;=Нормативы!$H$194, "КМС", IF(H198&lt;=Нормативы!$H$195, "I", IF(H198&lt;=Нормативы!$H$196, "II", IF(H198&lt;=Нормативы!$H$197, "III", IF(H198&lt;=Нормативы!$H$198, "I юн", IF(H198&lt;=Нормативы!$H$199, "II юн", IF(H198&lt;=Нормативы!$H$200, "III юн", "б/р")))))))))))</f>
        <v>I юн</v>
      </c>
      <c r="J198" s="91" t="str">
        <f>IF(ISBLANK(H198), " ", IF(ISTEXT(H198), " ", IF(H198&lt;=Нормативы!$H$192, "МСМК", IF(H198&lt;=Нормативы!$H$193, "МС", IF(H198&lt;=Нормативы!$H$194, "КМС", IF(H198&lt;=Нормативы!$H$195, "I", IF(H198&lt;=Нормативы!$H$196, "II", IF(H198&lt;=Нормативы!$H$197, "III", IF(H198&lt;=Нормативы!$H$198, "I юн", IF(H198&lt;=Нормативы!$H$199, "II юн", IF(H198&lt;=Нормативы!$H$200, "III юн", "б/р")))))))))))</f>
        <v>I юн</v>
      </c>
      <c r="K198" s="226"/>
      <c r="L198" s="225">
        <f t="shared" si="35"/>
        <v>950.2</v>
      </c>
      <c r="M198" s="91" t="str">
        <f>IF(ISBLANK(L198), " ", IF(ISTEXT(L198), " ", IF(L198&lt;=Нормативы!$H$192, "КМС", IF(L198&lt;=Нормативы!$H$193, "КМС", IF(L198&lt;=Нормативы!$L$194, "КМС", IF(L198&lt;=Нормативы!$L$195, "I", IF(L198&lt;=Нормативы!$L$196, "II", IF(L198&lt;=Нормативы!$L$197, "III", IF(L198&lt;=Нормативы!$L$198, "I юн", IF(L198&lt;=Нормативы!$L$199, "II юн", IF(L198&lt;=Нормативы!$L$200, "III юн", "б/р")))))))))))</f>
        <v>I юн</v>
      </c>
      <c r="N198" s="91" t="str">
        <f>IF(ISBLANK(L198), " ", IF(ISTEXT(L198), " ", IF(L198&lt;=Нормативы!$H$192, "КМС", IF(L198&lt;=Нормативы!$H$193, "КМС", IF(L198&lt;=Нормативы!$L$194, "КМС", IF(L198&lt;=Нормативы!$L$195, "I", IF(L198&lt;=Нормативы!$L$196, "II", IF(L198&lt;=Нормативы!$L$197, "III", IF(L198&lt;=Нормативы!$L$198, "I юн", IF(L198&lt;=Нормативы!$L$199, "II юн", IF(L198&lt;=Нормативы!$L$200, "III юн", "б/р")))))))))))</f>
        <v>I юн</v>
      </c>
      <c r="Q198" s="91" t="str">
        <f t="shared" si="34"/>
        <v xml:space="preserve"> </v>
      </c>
    </row>
    <row r="199" spans="3:17" x14ac:dyDescent="0.2">
      <c r="C199" s="3"/>
      <c r="D199" s="4"/>
      <c r="E199" s="4"/>
      <c r="F199" s="3"/>
      <c r="G199" s="3"/>
      <c r="H199" s="222">
        <v>1052</v>
      </c>
      <c r="I199" s="91" t="str">
        <f>IF(ISBLANK(H199), " ", IF(ISTEXT(H199), " ", IF(H199&lt;=Нормативы!$H$192, "МСМК", IF(H199&lt;=Нормативы!$H$193, "МС", IF(H199&lt;=Нормативы!$H$194, "КМС", IF(H199&lt;=Нормативы!$H$195, "I", IF(H199&lt;=Нормативы!$H$196, "II", IF(H199&lt;=Нормативы!$H$197, "III", IF(H199&lt;=Нормативы!$H$198, "I юн", IF(H199&lt;=Нормативы!$H$199, "II юн", IF(H199&lt;=Нормативы!$H$200, "III юн", "б/р")))))))))))</f>
        <v>II юн</v>
      </c>
      <c r="J199" s="91" t="str">
        <f>IF(ISBLANK(H199), " ", IF(ISTEXT(H199), " ", IF(H199&lt;=Нормативы!$H$192, "МСМК", IF(H199&lt;=Нормативы!$H$193, "МС", IF(H199&lt;=Нормативы!$H$194, "КМС", IF(H199&lt;=Нормативы!$H$195, "I", IF(H199&lt;=Нормативы!$H$196, "II", IF(H199&lt;=Нормативы!$H$197, "III", IF(H199&lt;=Нормативы!$H$198, "I юн", IF(H199&lt;=Нормативы!$H$199, "II юн", IF(H199&lt;=Нормативы!$H$200, "III юн", "б/р")))))))))))</f>
        <v>II юн</v>
      </c>
      <c r="K199" s="226"/>
      <c r="L199" s="225">
        <f t="shared" si="35"/>
        <v>1051.8</v>
      </c>
      <c r="M199" s="91" t="str">
        <f>IF(ISBLANK(L199), " ", IF(ISTEXT(L199), " ", IF(L199&lt;=Нормативы!$H$192, "КМС", IF(L199&lt;=Нормативы!$H$193, "КМС", IF(L199&lt;=Нормативы!$L$194, "КМС", IF(L199&lt;=Нормативы!$L$195, "I", IF(L199&lt;=Нормативы!$L$196, "II", IF(L199&lt;=Нормативы!$L$197, "III", IF(L199&lt;=Нормативы!$L$198, "I юн", IF(L199&lt;=Нормативы!$L$199, "II юн", IF(L199&lt;=Нормативы!$L$200, "III юн", "б/р")))))))))))</f>
        <v>II юн</v>
      </c>
      <c r="N199" s="91" t="str">
        <f>IF(ISBLANK(L199), " ", IF(ISTEXT(L199), " ", IF(L199&lt;=Нормативы!$H$192, "КМС", IF(L199&lt;=Нормативы!$H$193, "КМС", IF(L199&lt;=Нормативы!$L$194, "КМС", IF(L199&lt;=Нормативы!$L$195, "I", IF(L199&lt;=Нормативы!$L$196, "II", IF(L199&lt;=Нормативы!$L$197, "III", IF(L199&lt;=Нормативы!$L$198, "I юн", IF(L199&lt;=Нормативы!$L$199, "II юн", IF(L199&lt;=Нормативы!$L$200, "III юн", "б/р")))))))))))</f>
        <v>II юн</v>
      </c>
      <c r="Q199" s="91" t="str">
        <f t="shared" si="34"/>
        <v xml:space="preserve"> </v>
      </c>
    </row>
    <row r="200" spans="3:17" x14ac:dyDescent="0.2">
      <c r="C200" s="3"/>
      <c r="D200" s="4"/>
      <c r="E200" s="4"/>
      <c r="F200" s="3"/>
      <c r="G200" s="3"/>
      <c r="H200" s="222">
        <v>1145.2</v>
      </c>
      <c r="I200" s="91" t="str">
        <f>IF(ISBLANK(H200), " ", IF(ISTEXT(H200), " ", IF(H200&lt;=Нормативы!$H$192, "МСМК", IF(H200&lt;=Нормативы!$H$193, "МС", IF(H200&lt;=Нормативы!$H$194, "КМС", IF(H200&lt;=Нормативы!$H$195, "I", IF(H200&lt;=Нормативы!$H$196, "II", IF(H200&lt;=Нормативы!$H$197, "III", IF(H200&lt;=Нормативы!$H$198, "I юн", IF(H200&lt;=Нормативы!$H$199, "II юн", IF(H200&lt;=Нормативы!$H$200, "III юн", "б/р")))))))))))</f>
        <v>III юн</v>
      </c>
      <c r="J200" s="91" t="str">
        <f>IF(ISBLANK(H200), " ", IF(ISTEXT(H200), " ", IF(H200&lt;=Нормативы!$H$192, "МСМК", IF(H200&lt;=Нормативы!$H$193, "МС", IF(H200&lt;=Нормативы!$H$194, "КМС", IF(H200&lt;=Нормативы!$H$195, "I", IF(H200&lt;=Нормативы!$H$196, "II", IF(H200&lt;=Нормативы!$H$197, "III", IF(H200&lt;=Нормативы!$H$198, "I юн", IF(H200&lt;=Нормативы!$H$199, "II юн", IF(H200&lt;=Нормативы!$H$200, "III юн", "б/р")))))))))))</f>
        <v>III юн</v>
      </c>
      <c r="K200" s="226"/>
      <c r="L200" s="225">
        <f t="shared" si="35"/>
        <v>1145</v>
      </c>
      <c r="M200" s="91" t="str">
        <f>IF(ISBLANK(L200), " ", IF(ISTEXT(L200), " ", IF(L200&lt;=Нормативы!$H$192, "КМС", IF(L200&lt;=Нормативы!$H$193, "КМС", IF(L200&lt;=Нормативы!$L$194, "КМС", IF(L200&lt;=Нормативы!$L$195, "I", IF(L200&lt;=Нормативы!$L$196, "II", IF(L200&lt;=Нормативы!$L$197, "III", IF(L200&lt;=Нормативы!$L$198, "I юн", IF(L200&lt;=Нормативы!$L$199, "II юн", IF(L200&lt;=Нормативы!$L$200, "III юн", "б/р")))))))))))</f>
        <v>III юн</v>
      </c>
      <c r="N200" s="91" t="str">
        <f>IF(ISBLANK(L200), " ", IF(ISTEXT(L200), " ", IF(L200&lt;=Нормативы!$H$192, "КМС", IF(L200&lt;=Нормативы!$H$193, "КМС", IF(L200&lt;=Нормативы!$L$194, "КМС", IF(L200&lt;=Нормативы!$L$195, "I", IF(L200&lt;=Нормативы!$L$196, "II", IF(L200&lt;=Нормативы!$L$197, "III", IF(L200&lt;=Нормативы!$L$198, "I юн", IF(L200&lt;=Нормативы!$L$199, "II юн", IF(L200&lt;=Нормативы!$L$200, "III юн", "б/р")))))))))))</f>
        <v>III юн</v>
      </c>
      <c r="Q200" s="91" t="str">
        <f t="shared" si="34"/>
        <v xml:space="preserve"> </v>
      </c>
    </row>
    <row r="201" spans="3:17" x14ac:dyDescent="0.2">
      <c r="C201" s="3"/>
      <c r="D201" s="4"/>
      <c r="E201" s="4"/>
      <c r="F201" s="3"/>
      <c r="G201" s="3"/>
      <c r="H201" s="222"/>
      <c r="I201" s="217"/>
      <c r="J201" s="217"/>
      <c r="K201" s="226"/>
      <c r="L201" s="217"/>
      <c r="M201" s="217"/>
      <c r="N201" s="217"/>
      <c r="Q201" s="217"/>
    </row>
    <row r="202" spans="3:17" x14ac:dyDescent="0.2">
      <c r="C202" s="58" t="s">
        <v>395</v>
      </c>
      <c r="D202" s="106"/>
      <c r="E202" s="106"/>
      <c r="F202" s="58"/>
      <c r="G202" s="58"/>
      <c r="H202" s="221"/>
      <c r="I202" s="217"/>
      <c r="J202" s="217"/>
      <c r="K202" s="237"/>
      <c r="L202" s="217"/>
      <c r="M202" s="217"/>
      <c r="N202" s="217"/>
      <c r="Q202" s="217"/>
    </row>
    <row r="203" spans="3:17" x14ac:dyDescent="0.2">
      <c r="C203" s="3"/>
      <c r="D203" s="4"/>
      <c r="E203" s="4"/>
      <c r="F203" s="3"/>
      <c r="G203" s="3"/>
      <c r="H203" s="222">
        <v>1339</v>
      </c>
      <c r="I203" s="91" t="str">
        <f>IF(ISBLANK(H203), " ", IF(ISTEXT(H203), " ", IF(H203&lt;=Нормативы!$H$203, "МСМК", IF(H203&lt;=Нормативы!$H$204, "МС", IF(H203&lt;=Нормативы!$H$205, "КМС", IF(H203&lt;=Нормативы!$H$206, "I", IF(H203&lt;=Нормативы!$H$207, "II", IF(H203&lt;=Нормативы!$H$208, "III", "б/р"))))))))</f>
        <v>МСМК</v>
      </c>
      <c r="J203" s="91" t="str">
        <f>IF(ISBLANK(H203), " ", IF(ISTEXT(H203), " ", IF(H203&lt;=Нормативы!$H$203, "МСМК", IF(H203&lt;=Нормативы!$H$204, "МС", IF(H203&lt;=Нормативы!$H$205, "КМС", IF(H203&lt;=Нормативы!$H$206, "I", IF(H203&lt;=Нормативы!$H$207, "II", IF(H203&lt;=Нормативы!$H$208, "III", "б/р"))))))))</f>
        <v>МСМК</v>
      </c>
      <c r="K203" s="226"/>
      <c r="L203" s="222"/>
      <c r="M203" s="91" t="str">
        <f>IF(ISBLANK(L203), " ", IF(ISTEXT(L203), " ", IF(L203&lt;=Нормативы!$H$203, "КМС", IF(L203&lt;=Нормативы!$H$204, "КМС", IF(L203&lt;=Нормативы!$L$205, "КМС", IF(L203&lt;=Нормативы!$L$206, "I", IF(L203&lt;=Нормативы!$L$207, "II", IF(L203&lt;=Нормативы!$L$208, "III", "б/р"))))))))</f>
        <v xml:space="preserve"> </v>
      </c>
      <c r="N203" s="91" t="str">
        <f>IF(ISBLANK(L203), " ", IF(ISTEXT(L203), " ", IF(L203&lt;=1339.2, "МСМК", IF(L203&lt;=1418.2, "МС", IF(L203&lt;=1458.5, "КМС", IF(L203&lt;=1600, "I", IF(L203&lt;=1724.5, "II", IF(L203&lt;=1850, "III", "б/р"))))))))</f>
        <v xml:space="preserve"> </v>
      </c>
      <c r="Q203" s="91" t="str">
        <f t="shared" ref="Q203:Q208" si="36">IF(ISBLANK(P203), " ", IF(ISTEXT(P203), " ", IF(P203&lt;=$H$203, "МСМК", IF(P203&lt;=$H$204, "МС", IF(P203&lt;=$H$205, "КМС", IF(P203&lt;=$H$206, "I", IF(P203&lt;=$H$207, "II", IF(P203&lt;=$H$208, "III", "б/р"))))))))</f>
        <v xml:space="preserve"> </v>
      </c>
    </row>
    <row r="204" spans="3:17" x14ac:dyDescent="0.2">
      <c r="C204" s="3"/>
      <c r="D204" s="4"/>
      <c r="E204" s="4"/>
      <c r="F204" s="3"/>
      <c r="G204" s="3"/>
      <c r="H204" s="222">
        <v>1415</v>
      </c>
      <c r="I204" s="91" t="str">
        <f>IF(ISBLANK(H204), " ", IF(ISTEXT(H204), " ", IF(H204&lt;=Нормативы!$H$203, "МСМК", IF(H204&lt;=Нормативы!$H$204, "МС", IF(H204&lt;=Нормативы!$H$205, "КМС", IF(H204&lt;=Нормативы!$H$206, "I", IF(H204&lt;=Нормативы!$H$207, "II", IF(H204&lt;=Нормативы!$H$208, "III", "б/р"))))))))</f>
        <v>МС</v>
      </c>
      <c r="J204" s="91" t="str">
        <f>IF(ISBLANK(H204), " ", IF(ISTEXT(H204), " ", IF(H204&lt;=Нормативы!$H$203, "МСМК", IF(H204&lt;=Нормативы!$H$204, "МС", IF(H204&lt;=Нормативы!$H$205, "КМС", IF(H204&lt;=Нормативы!$H$206, "I", IF(H204&lt;=Нормативы!$H$207, "II", IF(H204&lt;=Нормативы!$H$208, "III", "б/р"))))))))</f>
        <v>МС</v>
      </c>
      <c r="K204" s="226"/>
      <c r="L204" s="222"/>
      <c r="M204" s="91" t="str">
        <f>IF(ISBLANK(L204), " ", IF(ISTEXT(L204), " ", IF(L204&lt;=Нормативы!$H$203, "КМС", IF(L204&lt;=Нормативы!$H$204, "КМС", IF(L204&lt;=Нормативы!$L$205, "КМС", IF(L204&lt;=Нормативы!$L$206, "I", IF(L204&lt;=Нормативы!$L$207, "II", IF(L204&lt;=Нормативы!$L$208, "III", "б/р"))))))))</f>
        <v xml:space="preserve"> </v>
      </c>
      <c r="N204" s="91" t="str">
        <f>IF(ISBLANK(L204), " ", IF(ISTEXT(L204), " ", IF(L204&lt;=1339.2, "МСМК", IF(L204&lt;=1418.2, "МС", IF(L204&lt;=1458.5, "КМС", IF(L204&lt;=1600, "I", IF(L204&lt;=1724.5, "II", IF(L204&lt;=1850, "III", "б/р"))))))))</f>
        <v xml:space="preserve"> </v>
      </c>
      <c r="Q204" s="91" t="str">
        <f t="shared" si="36"/>
        <v xml:space="preserve"> </v>
      </c>
    </row>
    <row r="205" spans="3:17" x14ac:dyDescent="0.2">
      <c r="C205" s="3"/>
      <c r="D205" s="4"/>
      <c r="E205" s="4"/>
      <c r="F205" s="3"/>
      <c r="G205" s="3"/>
      <c r="H205" s="222">
        <v>1456.2</v>
      </c>
      <c r="I205" s="91" t="str">
        <f>IF(ISBLANK(H205), " ", IF(ISTEXT(H205), " ", IF(H205&lt;=Нормативы!$H$203, "МСМК", IF(H205&lt;=Нормативы!$H$204, "МС", IF(H205&lt;=Нормативы!$H$205, "КМС", IF(H205&lt;=Нормативы!$H$206, "I", IF(H205&lt;=Нормативы!$H$207, "II", IF(H205&lt;=Нормативы!$H$208, "III", "б/р"))))))))</f>
        <v>КМС</v>
      </c>
      <c r="J205" s="91" t="str">
        <f>IF(ISBLANK(H205), " ", IF(ISTEXT(H205), " ", IF(H205&lt;=Нормативы!$H$203, "МСМК", IF(H205&lt;=Нормативы!$H$204, "МС", IF(H205&lt;=Нормативы!$H$205, "КМС", IF(H205&lt;=Нормативы!$H$206, "I", IF(H205&lt;=Нормативы!$H$207, "II", IF(H205&lt;=Нормативы!$H$208, "III", "б/р"))))))))</f>
        <v>КМС</v>
      </c>
      <c r="K205" s="226"/>
      <c r="L205" s="225">
        <f>H205-0.2</f>
        <v>1456</v>
      </c>
      <c r="M205" s="91" t="str">
        <f>IF(ISBLANK(L205), " ", IF(ISTEXT(L205), " ", IF(L205&lt;=Нормативы!$H$203, "КМС", IF(L205&lt;=Нормативы!$H$204, "КМС", IF(L205&lt;=Нормативы!$L$205, "КМС", IF(L205&lt;=Нормативы!$L$206, "I", IF(L205&lt;=Нормативы!$L$207, "II", IF(L205&lt;=Нормативы!$L$208, "III", "б/р"))))))))</f>
        <v>КМС</v>
      </c>
      <c r="N205" s="91" t="str">
        <f>IF(ISBLANK(L205), " ", IF(ISTEXT(L205), " ", IF(L205&lt;=Нормативы!$H$203, "КМС", IF(L205&lt;=Нормативы!$H$204, "КМС", IF(L205&lt;=Нормативы!$L$205, "КМС", IF(L205&lt;=Нормативы!$L$206, "I", IF(L205&lt;=Нормативы!$L$207, "II", IF(L205&lt;=Нормативы!$L$208, "III", "б/р"))))))))</f>
        <v>КМС</v>
      </c>
      <c r="Q205" s="91" t="str">
        <f t="shared" si="36"/>
        <v xml:space="preserve"> </v>
      </c>
    </row>
    <row r="206" spans="3:17" x14ac:dyDescent="0.2">
      <c r="C206" s="3"/>
      <c r="D206" s="4"/>
      <c r="E206" s="4"/>
      <c r="F206" s="3"/>
      <c r="G206" s="3"/>
      <c r="H206" s="222">
        <v>1556.7</v>
      </c>
      <c r="I206" s="91" t="str">
        <f>IF(ISBLANK(H206), " ", IF(ISTEXT(H206), " ", IF(H206&lt;=Нормативы!$H$203, "МСМК", IF(H206&lt;=Нормативы!$H$204, "МС", IF(H206&lt;=Нормативы!$H$205, "КМС", IF(H206&lt;=Нормативы!$H$206, "I", IF(H206&lt;=Нормативы!$H$207, "II", IF(H206&lt;=Нормативы!$H$208, "III", "б/р"))))))))</f>
        <v>I</v>
      </c>
      <c r="J206" s="91" t="str">
        <f>IF(ISBLANK(H206), " ", IF(ISTEXT(H206), " ", IF(H206&lt;=Нормативы!$H$203, "МСМК", IF(H206&lt;=Нормативы!$H$204, "МС", IF(H206&lt;=Нормативы!$H$205, "КМС", IF(H206&lt;=Нормативы!$H$206, "I", IF(H206&lt;=Нормативы!$H$207, "II", IF(H206&lt;=Нормативы!$H$208, "III", "б/р"))))))))</f>
        <v>I</v>
      </c>
      <c r="K206" s="226"/>
      <c r="L206" s="225">
        <f>H206-0.2</f>
        <v>1556.5</v>
      </c>
      <c r="M206" s="91" t="str">
        <f>IF(ISBLANK(L206), " ", IF(ISTEXT(L206), " ", IF(L206&lt;=Нормативы!$H$203, "КМС", IF(L206&lt;=Нормативы!$H$204, "КМС", IF(L206&lt;=Нормативы!$L$205, "КМС", IF(L206&lt;=Нормативы!$L$206, "I", IF(L206&lt;=Нормативы!$L$207, "II", IF(L206&lt;=Нормативы!$L$208, "III", "б/р"))))))))</f>
        <v>I</v>
      </c>
      <c r="N206" s="91" t="str">
        <f>IF(ISBLANK(L206), " ", IF(ISTEXT(L206), " ", IF(L206&lt;=Нормативы!$H$203, "КМС", IF(L206&lt;=Нормативы!$H$204, "КМС", IF(L206&lt;=Нормативы!$L$205, "КМС", IF(L206&lt;=Нормативы!$L$206, "I", IF(L206&lt;=Нормативы!$L$207, "II", IF(L206&lt;=Нормативы!$L$208, "III", "б/р"))))))))</f>
        <v>I</v>
      </c>
      <c r="Q206" s="91" t="str">
        <f t="shared" si="36"/>
        <v xml:space="preserve"> </v>
      </c>
    </row>
    <row r="207" spans="3:17" x14ac:dyDescent="0.2">
      <c r="C207" s="3"/>
      <c r="D207" s="4"/>
      <c r="E207" s="4"/>
      <c r="F207" s="3"/>
      <c r="G207" s="3"/>
      <c r="H207" s="222">
        <v>1720.2</v>
      </c>
      <c r="I207" s="91" t="str">
        <f>IF(ISBLANK(H207), " ", IF(ISTEXT(H207), " ", IF(H207&lt;=Нормативы!$H$203, "МСМК", IF(H207&lt;=Нормативы!$H$204, "МС", IF(H207&lt;=Нормативы!$H$205, "КМС", IF(H207&lt;=Нормативы!$H$206, "I", IF(H207&lt;=Нормативы!$H$207, "II", IF(H207&lt;=Нормативы!$H$208, "III", "б/р"))))))))</f>
        <v>II</v>
      </c>
      <c r="J207" s="91" t="str">
        <f>IF(ISBLANK(H207), " ", IF(ISTEXT(H207), " ", IF(H207&lt;=Нормативы!$H$203, "МСМК", IF(H207&lt;=Нормативы!$H$204, "МС", IF(H207&lt;=Нормативы!$H$205, "КМС", IF(H207&lt;=Нормативы!$H$206, "I", IF(H207&lt;=Нормативы!$H$207, "II", IF(H207&lt;=Нормативы!$H$208, "III", "б/р"))))))))</f>
        <v>II</v>
      </c>
      <c r="K207" s="226"/>
      <c r="L207" s="225">
        <f>H207-0.2</f>
        <v>1720</v>
      </c>
      <c r="M207" s="91" t="str">
        <f>IF(ISBLANK(L207), " ", IF(ISTEXT(L207), " ", IF(L207&lt;=Нормативы!$H$203, "КМС", IF(L207&lt;=Нормативы!$H$204, "КМС", IF(L207&lt;=Нормативы!$L$205, "КМС", IF(L207&lt;=Нормативы!$L$206, "I", IF(L207&lt;=Нормативы!$L$207, "II", IF(L207&lt;=Нормативы!$L$208, "III", "б/р"))))))))</f>
        <v>II</v>
      </c>
      <c r="N207" s="91" t="str">
        <f>IF(ISBLANK(L207), " ", IF(ISTEXT(L207), " ", IF(L207&lt;=Нормативы!$H$203, "КМС", IF(L207&lt;=Нормативы!$H$204, "КМС", IF(L207&lt;=Нормативы!$L$205, "КМС", IF(L207&lt;=Нормативы!$L$206, "I", IF(L207&lt;=Нормативы!$L$207, "II", IF(L207&lt;=Нормативы!$L$208, "III", "б/р"))))))))</f>
        <v>II</v>
      </c>
      <c r="Q207" s="91" t="str">
        <f t="shared" si="36"/>
        <v xml:space="preserve"> </v>
      </c>
    </row>
    <row r="208" spans="3:17" x14ac:dyDescent="0.2">
      <c r="C208" s="3"/>
      <c r="D208" s="4"/>
      <c r="E208" s="4"/>
      <c r="F208" s="3"/>
      <c r="G208" s="3"/>
      <c r="H208" s="222">
        <v>1845</v>
      </c>
      <c r="I208" s="91" t="str">
        <f>IF(ISBLANK(H208), " ", IF(ISTEXT(H208), " ", IF(H208&lt;=Нормативы!$H$203, "МСМК", IF(H208&lt;=Нормативы!$H$204, "МС", IF(H208&lt;=Нормативы!$H$205, "КМС", IF(H208&lt;=Нормативы!$H$206, "I", IF(H208&lt;=Нормативы!$H$207, "II", IF(H208&lt;=Нормативы!$H$208, "III", "б/р"))))))))</f>
        <v>III</v>
      </c>
      <c r="J208" s="91" t="str">
        <f>IF(ISBLANK(H208), " ", IF(ISTEXT(H208), " ", IF(H208&lt;=Нормативы!$H$203, "МСМК", IF(H208&lt;=Нормативы!$H$204, "МС", IF(H208&lt;=Нормативы!$H$205, "КМС", IF(H208&lt;=Нормативы!$H$206, "I", IF(H208&lt;=Нормативы!$H$207, "II", IF(H208&lt;=Нормативы!$H$208, "III", "б/р"))))))))</f>
        <v>III</v>
      </c>
      <c r="K208" s="226"/>
      <c r="L208" s="225">
        <f>H208-0.2</f>
        <v>1844.8</v>
      </c>
      <c r="M208" s="91" t="str">
        <f>IF(ISBLANK(L208), " ", IF(ISTEXT(L208), " ", IF(L208&lt;=Нормативы!$H$203, "КМС", IF(L208&lt;=Нормативы!$H$204, "КМС", IF(L208&lt;=Нормативы!$L$205, "КМС", IF(L208&lt;=Нормативы!$L$206, "I", IF(L208&lt;=Нормативы!$L$207, "II", IF(L208&lt;=Нормативы!$L$208, "III", "б/р"))))))))</f>
        <v>III</v>
      </c>
      <c r="N208" s="91" t="str">
        <f>IF(ISBLANK(L208), " ", IF(ISTEXT(L208), " ", IF(L208&lt;=Нормативы!$H$203, "КМС", IF(L208&lt;=Нормативы!$H$204, "КМС", IF(L208&lt;=Нормативы!$L$205, "КМС", IF(L208&lt;=Нормативы!$L$206, "I", IF(L208&lt;=Нормативы!$L$207, "II", IF(L208&lt;=Нормативы!$L$208, "III", "б/р"))))))))</f>
        <v>III</v>
      </c>
      <c r="Q208" s="91" t="str">
        <f t="shared" si="36"/>
        <v xml:space="preserve"> </v>
      </c>
    </row>
    <row r="209" spans="3:27" x14ac:dyDescent="0.2">
      <c r="C209" s="217"/>
      <c r="D209" s="217"/>
      <c r="E209" s="217"/>
      <c r="F209" s="217"/>
      <c r="G209" s="217"/>
      <c r="H209" s="234"/>
      <c r="I209" s="217"/>
      <c r="J209" s="217"/>
      <c r="K209" s="226"/>
      <c r="L209" s="217"/>
      <c r="M209" s="217"/>
      <c r="N209" s="217"/>
      <c r="P209" s="233"/>
      <c r="Q209" s="217"/>
      <c r="R209" s="233"/>
      <c r="S209" s="233"/>
      <c r="T209" s="233"/>
      <c r="U209" s="233"/>
      <c r="V209" s="233"/>
      <c r="W209" s="233"/>
      <c r="X209" s="233"/>
      <c r="Y209" s="233"/>
      <c r="Z209" s="233"/>
      <c r="AA209" s="233"/>
    </row>
    <row r="210" spans="3:27" x14ac:dyDescent="0.2">
      <c r="C210" s="58" t="s">
        <v>396</v>
      </c>
      <c r="D210" s="106"/>
      <c r="E210" s="106"/>
      <c r="F210" s="58"/>
      <c r="G210" s="58"/>
      <c r="H210" s="221"/>
      <c r="I210" s="217"/>
      <c r="J210" s="217"/>
      <c r="K210" s="235"/>
      <c r="L210" s="217"/>
      <c r="M210" s="217"/>
      <c r="N210" s="217"/>
      <c r="P210" s="224"/>
      <c r="Q210" s="217"/>
      <c r="R210" s="224"/>
      <c r="S210" s="224"/>
      <c r="T210" s="224"/>
      <c r="U210" s="224"/>
      <c r="V210" s="224"/>
      <c r="W210" s="224"/>
      <c r="X210" s="224"/>
      <c r="Y210" s="224"/>
      <c r="Z210" s="224"/>
      <c r="AA210" s="224"/>
    </row>
    <row r="211" spans="3:27" x14ac:dyDescent="0.2">
      <c r="C211" s="3"/>
      <c r="D211" s="4"/>
      <c r="E211" s="4"/>
      <c r="F211" s="3"/>
      <c r="G211" s="3"/>
      <c r="H211" s="222"/>
      <c r="I211" s="217"/>
      <c r="J211" s="217"/>
      <c r="K211" s="235"/>
      <c r="L211" s="217"/>
      <c r="M211" s="217"/>
      <c r="N211" s="217"/>
      <c r="Q211" s="217"/>
    </row>
    <row r="212" spans="3:27" x14ac:dyDescent="0.2">
      <c r="C212" s="3"/>
      <c r="D212" s="4"/>
      <c r="E212" s="4"/>
      <c r="F212" s="3"/>
      <c r="G212" s="3"/>
      <c r="H212" s="222">
        <v>1240</v>
      </c>
      <c r="I212" s="91" t="str">
        <f>IF(ISBLANK(H212), " ", IF(ISTEXT(H212), " ", IF(H212&lt;=Нормативы!$H$212, "МСМК", IF(H212&lt;=Нормативы!$H$213, "МС", IF(H212&lt;=Нормативы!$H$214, "КМС", IF(H212&lt;=Нормативы!$H$215, "I", IF(H212&lt;=Нормативы!$H$216, "II", IF(H212&lt;=Нормативы!$H$217, "III", "б/р"))))))))</f>
        <v>МСМК</v>
      </c>
      <c r="J212" s="91" t="str">
        <f>IF(ISBLANK(H212), " ", IF(ISTEXT(H212), " ", IF(H212&lt;=Нормативы!$H$212, "МСМК", IF(H212&lt;=Нормативы!$H$213, "МС", IF(H212&lt;=Нормативы!$H$214, "КМС", IF(H212&lt;=Нормативы!$H$215, "I", IF(H212&lt;=Нормативы!$H$216, "II", IF(H212&lt;=Нормативы!$H$217, "III", "б/р"))))))))</f>
        <v>МСМК</v>
      </c>
      <c r="K212" s="226"/>
      <c r="L212" s="222"/>
      <c r="M212" s="91" t="str">
        <f>IF(ISBLANK(L212), " ", IF(ISTEXT(L212), " ", IF(L212&lt;=Нормативы!$H$212, "КМС", IF(L212&lt;=Нормативы!$H$213, "КМС", IF(L212&lt;=Нормативы!$L$214, "КМС", IF(L212&lt;=Нормативы!$L$215, "I", IF(L212&lt;=Нормативы!$L$216, "II", IF(L212&lt;=Нормативы!$L$217, "III", "б/р"))))))))</f>
        <v xml:space="preserve"> </v>
      </c>
      <c r="N212" s="91" t="str">
        <f>IF(ISBLANK(L212), " ", IF(ISTEXT(L212), " ", IF(L212&lt;=1241.2, "МСМК", IF(L212&lt;=1320.7, "МС", IF(L212&lt;=1358, "КМС", IF(L212&lt;=1452.5, "I", IF(L212&lt;=1615, "II", IF(L212&lt;=1733, "III", "б/р"))))))))</f>
        <v xml:space="preserve"> </v>
      </c>
      <c r="Q212" s="91" t="str">
        <f t="shared" ref="Q212:Q217" si="37">IF(ISBLANK(P212), " ", IF(ISTEXT(P212), " ", IF(P212&lt;=$H$212, "МСМК", IF(P212&lt;=$H$213, "МС", IF(P212&lt;=$H$214, "КМС", IF(P212&lt;=$H$215, "I", IF(P212&lt;=$H$216, "II", IF(P212&lt;=$H$217, "III", "б/р"))))))))</f>
        <v xml:space="preserve"> </v>
      </c>
    </row>
    <row r="213" spans="3:27" x14ac:dyDescent="0.2">
      <c r="C213" s="3"/>
      <c r="D213" s="4"/>
      <c r="E213" s="4"/>
      <c r="F213" s="3"/>
      <c r="G213" s="3"/>
      <c r="H213" s="222">
        <v>1320</v>
      </c>
      <c r="I213" s="91" t="str">
        <f>IF(ISBLANK(H213), " ", IF(ISTEXT(H213), " ", IF(H213&lt;=Нормативы!$H$212, "МСМК", IF(H213&lt;=Нормативы!$H$213, "МС", IF(H213&lt;=Нормативы!$H$214, "КМС", IF(H213&lt;=Нормативы!$H$215, "I", IF(H213&lt;=Нормативы!$H$216, "II", IF(H213&lt;=Нормативы!$H$217, "III", "б/р"))))))))</f>
        <v>МС</v>
      </c>
      <c r="J213" s="91" t="str">
        <f>IF(ISBLANK(H213), " ", IF(ISTEXT(H213), " ", IF(H213&lt;=Нормативы!$H$212, "МСМК", IF(H213&lt;=Нормативы!$H$213, "МС", IF(H213&lt;=Нормативы!$H$214, "КМС", IF(H213&lt;=Нормативы!$H$215, "I", IF(H213&lt;=Нормативы!$H$216, "II", IF(H213&lt;=Нормативы!$H$217, "III", "б/р"))))))))</f>
        <v>МС</v>
      </c>
      <c r="K213" s="226"/>
      <c r="L213" s="222"/>
      <c r="M213" s="91" t="str">
        <f>IF(ISBLANK(L213), " ", IF(ISTEXT(L213), " ", IF(L213&lt;=Нормативы!$H$212, "КМС", IF(L213&lt;=Нормативы!$H$213, "КМС", IF(L213&lt;=Нормативы!$L$214, "КМС", IF(L213&lt;=Нормативы!$L$215, "I", IF(L213&lt;=Нормативы!$L$216, "II", IF(L213&lt;=Нормативы!$L$217, "III", "б/р"))))))))</f>
        <v xml:space="preserve"> </v>
      </c>
      <c r="N213" s="91" t="str">
        <f>IF(ISBLANK(L213), " ", IF(ISTEXT(L213), " ", IF(L213&lt;=1241.2, "МСМК", IF(L213&lt;=1320.7, "МС", IF(L213&lt;=1358, "КМС", IF(L213&lt;=1452.5, "I", IF(L213&lt;=1615, "II", IF(L213&lt;=1733, "III", "б/р"))))))))</f>
        <v xml:space="preserve"> </v>
      </c>
      <c r="Q213" s="91" t="str">
        <f t="shared" si="37"/>
        <v xml:space="preserve"> </v>
      </c>
    </row>
    <row r="214" spans="3:27" x14ac:dyDescent="0.2">
      <c r="C214" s="3"/>
      <c r="D214" s="4"/>
      <c r="E214" s="4"/>
      <c r="F214" s="3"/>
      <c r="G214" s="3"/>
      <c r="H214" s="222">
        <v>1356</v>
      </c>
      <c r="I214" s="91" t="str">
        <f>IF(ISBLANK(H214), " ", IF(ISTEXT(H214), " ", IF(H214&lt;=Нормативы!$H$212, "МСМК", IF(H214&lt;=Нормативы!$H$213, "МС", IF(H214&lt;=Нормативы!$H$214, "КМС", IF(H214&lt;=Нормативы!$H$215, "I", IF(H214&lt;=Нормативы!$H$216, "II", IF(H214&lt;=Нормативы!$H$217, "III", "б/р"))))))))</f>
        <v>КМС</v>
      </c>
      <c r="J214" s="91" t="str">
        <f>IF(ISBLANK(H214), " ", IF(ISTEXT(H214), " ", IF(H214&lt;=Нормативы!$H$212, "МСМК", IF(H214&lt;=Нормативы!$H$213, "МС", IF(H214&lt;=Нормативы!$H$214, "КМС", IF(H214&lt;=Нормативы!$H$215, "I", IF(H214&lt;=Нормативы!$H$216, "II", IF(H214&lt;=Нормативы!$H$217, "III", "б/р"))))))))</f>
        <v>КМС</v>
      </c>
      <c r="K214" s="226"/>
      <c r="L214" s="225">
        <f>H214-0.2</f>
        <v>1355.8</v>
      </c>
      <c r="M214" s="91" t="str">
        <f>IF(ISBLANK(L214), " ", IF(ISTEXT(L214), " ", IF(L214&lt;=Нормативы!$H$212, "КМС", IF(L214&lt;=Нормативы!$H$213, "КМС", IF(L214&lt;=Нормативы!$L$214, "КМС", IF(L214&lt;=Нормативы!$L$215, "I", IF(L214&lt;=Нормативы!$L$216, "II", IF(L214&lt;=Нормативы!$L$217, "III", "б/р"))))))))</f>
        <v>КМС</v>
      </c>
      <c r="N214" s="91" t="str">
        <f>IF(ISBLANK(L214), " ", IF(ISTEXT(L214), " ", IF(L214&lt;=Нормативы!$H$212, "КМС", IF(L214&lt;=Нормативы!$H$213, "КМС", IF(L214&lt;=Нормативы!$L$214, "КМС", IF(L214&lt;=Нормативы!$L$215, "I", IF(L214&lt;=Нормативы!$L$216, "II", IF(L214&lt;=Нормативы!$L$217, "III", "б/р"))))))))</f>
        <v>КМС</v>
      </c>
      <c r="Q214" s="91" t="str">
        <f t="shared" si="37"/>
        <v xml:space="preserve"> </v>
      </c>
    </row>
    <row r="215" spans="3:27" x14ac:dyDescent="0.2">
      <c r="C215" s="3"/>
      <c r="D215" s="4"/>
      <c r="E215" s="4"/>
      <c r="F215" s="3"/>
      <c r="G215" s="3"/>
      <c r="H215" s="222">
        <v>1450.5</v>
      </c>
      <c r="I215" s="91" t="str">
        <f>IF(ISBLANK(H215), " ", IF(ISTEXT(H215), " ", IF(H215&lt;=Нормативы!$H$212, "МСМК", IF(H215&lt;=Нормативы!$H$213, "МС", IF(H215&lt;=Нормативы!$H$214, "КМС", IF(H215&lt;=Нормативы!$H$215, "I", IF(H215&lt;=Нормативы!$H$216, "II", IF(H215&lt;=Нормативы!$H$217, "III", "б/р"))))))))</f>
        <v>I</v>
      </c>
      <c r="J215" s="91" t="str">
        <f>IF(ISBLANK(H215), " ", IF(ISTEXT(H215), " ", IF(H215&lt;=Нормативы!$H$212, "МСМК", IF(H215&lt;=Нормативы!$H$213, "МС", IF(H215&lt;=Нормативы!$H$214, "КМС", IF(H215&lt;=Нормативы!$H$215, "I", IF(H215&lt;=Нормативы!$H$216, "II", IF(H215&lt;=Нормативы!$H$217, "III", "б/р"))))))))</f>
        <v>I</v>
      </c>
      <c r="K215" s="226"/>
      <c r="L215" s="225">
        <f>H215-0.2</f>
        <v>1450.3</v>
      </c>
      <c r="M215" s="91" t="str">
        <f>IF(ISBLANK(L215), " ", IF(ISTEXT(L215), " ", IF(L215&lt;=Нормативы!$H$212, "КМС", IF(L215&lt;=Нормативы!$H$213, "КМС", IF(L215&lt;=Нормативы!$L$214, "КМС", IF(L215&lt;=Нормативы!$L$215, "I", IF(L215&lt;=Нормативы!$L$216, "II", IF(L215&lt;=Нормативы!$L$217, "III", "б/р"))))))))</f>
        <v>I</v>
      </c>
      <c r="N215" s="91" t="str">
        <f>IF(ISBLANK(L215), " ", IF(ISTEXT(L215), " ", IF(L215&lt;=Нормативы!$H$212, "КМС", IF(L215&lt;=Нормативы!$H$213, "КМС", IF(L215&lt;=Нормативы!$L$214, "КМС", IF(L215&lt;=Нормативы!$L$215, "I", IF(L215&lt;=Нормативы!$L$216, "II", IF(L215&lt;=Нормативы!$L$217, "III", "б/р"))))))))</f>
        <v>I</v>
      </c>
      <c r="Q215" s="91" t="str">
        <f t="shared" si="37"/>
        <v xml:space="preserve"> </v>
      </c>
    </row>
    <row r="216" spans="3:27" x14ac:dyDescent="0.2">
      <c r="C216" s="3"/>
      <c r="D216" s="4"/>
      <c r="E216" s="4"/>
      <c r="F216" s="3"/>
      <c r="G216" s="3"/>
      <c r="H216" s="222">
        <v>1610.2</v>
      </c>
      <c r="I216" s="91" t="str">
        <f>IF(ISBLANK(H216), " ", IF(ISTEXT(H216), " ", IF(H216&lt;=Нормативы!$H$212, "МСМК", IF(H216&lt;=Нормативы!$H$213, "МС", IF(H216&lt;=Нормативы!$H$214, "КМС", IF(H216&lt;=Нормативы!$H$215, "I", IF(H216&lt;=Нормативы!$H$216, "II", IF(H216&lt;=Нормативы!$H$217, "III", "б/р"))))))))</f>
        <v>II</v>
      </c>
      <c r="J216" s="91" t="str">
        <f>IF(ISBLANK(H216), " ", IF(ISTEXT(H216), " ", IF(H216&lt;=Нормативы!$H$212, "МСМК", IF(H216&lt;=Нормативы!$H$213, "МС", IF(H216&lt;=Нормативы!$H$214, "КМС", IF(H216&lt;=Нормативы!$H$215, "I", IF(H216&lt;=Нормативы!$H$216, "II", IF(H216&lt;=Нормативы!$H$217, "III", "б/р"))))))))</f>
        <v>II</v>
      </c>
      <c r="K216" s="226"/>
      <c r="L216" s="225">
        <f>H216-0.2</f>
        <v>1610</v>
      </c>
      <c r="M216" s="91" t="str">
        <f>IF(ISBLANK(L216), " ", IF(ISTEXT(L216), " ", IF(L216&lt;=Нормативы!$H$212, "КМС", IF(L216&lt;=Нормативы!$H$213, "КМС", IF(L216&lt;=Нормативы!$L$214, "КМС", IF(L216&lt;=Нормативы!$L$215, "I", IF(L216&lt;=Нормативы!$L$216, "II", IF(L216&lt;=Нормативы!$L$217, "III", "б/р"))))))))</f>
        <v>II</v>
      </c>
      <c r="N216" s="91" t="str">
        <f>IF(ISBLANK(L216), " ", IF(ISTEXT(L216), " ", IF(L216&lt;=Нормативы!$H$212, "КМС", IF(L216&lt;=Нормативы!$H$213, "КМС", IF(L216&lt;=Нормативы!$L$214, "КМС", IF(L216&lt;=Нормативы!$L$215, "I", IF(L216&lt;=Нормативы!$L$216, "II", IF(L216&lt;=Нормативы!$L$217, "III", "б/р"))))))))</f>
        <v>II</v>
      </c>
      <c r="Q216" s="91" t="str">
        <f t="shared" si="37"/>
        <v xml:space="preserve"> </v>
      </c>
    </row>
    <row r="217" spans="3:27" x14ac:dyDescent="0.2">
      <c r="C217" s="3"/>
      <c r="D217" s="4"/>
      <c r="E217" s="4"/>
      <c r="F217" s="3"/>
      <c r="G217" s="3"/>
      <c r="H217" s="222">
        <v>1730</v>
      </c>
      <c r="I217" s="91" t="str">
        <f>IF(ISBLANK(H217), " ", IF(ISTEXT(H217), " ", IF(H217&lt;=Нормативы!$H$212, "МСМК", IF(H217&lt;=Нормативы!$H$213, "МС", IF(H217&lt;=Нормативы!$H$214, "КМС", IF(H217&lt;=Нормативы!$H$215, "I", IF(H217&lt;=Нормативы!$H$216, "II", IF(H217&lt;=Нормативы!$H$217, "III", "б/р"))))))))</f>
        <v>III</v>
      </c>
      <c r="J217" s="91" t="str">
        <f>IF(ISBLANK(H217), " ", IF(ISTEXT(H217), " ", IF(H217&lt;=Нормативы!$H$212, "МСМК", IF(H217&lt;=Нормативы!$H$213, "МС", IF(H217&lt;=Нормативы!$H$214, "КМС", IF(H217&lt;=Нормативы!$H$215, "I", IF(H217&lt;=Нормативы!$H$216, "II", IF(H217&lt;=Нормативы!$H$217, "III", "б/р"))))))))</f>
        <v>III</v>
      </c>
      <c r="K217" s="226"/>
      <c r="L217" s="225">
        <f>H217-0.2</f>
        <v>1729.8</v>
      </c>
      <c r="M217" s="91" t="str">
        <f>IF(ISBLANK(L217), " ", IF(ISTEXT(L217), " ", IF(L217&lt;=Нормативы!$H$212, "КМС", IF(L217&lt;=Нормативы!$H$213, "КМС", IF(L217&lt;=Нормативы!$L$214, "КМС", IF(L217&lt;=Нормативы!$L$215, "I", IF(L217&lt;=Нормативы!$L$216, "II", IF(L217&lt;=Нормативы!$L$217, "III", "б/р"))))))))</f>
        <v>III</v>
      </c>
      <c r="N217" s="91" t="str">
        <f>IF(ISBLANK(L217), " ", IF(ISTEXT(L217), " ", IF(L217&lt;=Нормативы!$H$212, "КМС", IF(L217&lt;=Нормативы!$H$213, "КМС", IF(L217&lt;=Нормативы!$L$214, "КМС", IF(L217&lt;=Нормативы!$L$215, "I", IF(L217&lt;=Нормативы!$L$216, "II", IF(L217&lt;=Нормативы!$L$217, "III", "б/р"))))))))</f>
        <v>III</v>
      </c>
      <c r="Q217" s="91" t="str">
        <f t="shared" si="37"/>
        <v xml:space="preserve"> </v>
      </c>
    </row>
    <row r="218" spans="3:27" x14ac:dyDescent="0.2">
      <c r="C218" s="3"/>
      <c r="D218" s="4"/>
      <c r="E218" s="4"/>
      <c r="F218" s="3"/>
      <c r="G218" s="3"/>
      <c r="H218" s="222"/>
      <c r="I218" s="217"/>
      <c r="J218" s="217"/>
      <c r="K218" s="226"/>
      <c r="L218" s="217"/>
      <c r="M218" s="217"/>
      <c r="N218" s="217"/>
      <c r="Q218" s="217"/>
    </row>
    <row r="219" spans="3:27" x14ac:dyDescent="0.2">
      <c r="C219" s="58" t="s">
        <v>397</v>
      </c>
      <c r="D219" s="106"/>
      <c r="E219" s="106"/>
      <c r="F219" s="58"/>
      <c r="G219" s="58"/>
      <c r="H219" s="221"/>
      <c r="I219" s="217"/>
      <c r="J219" s="217"/>
      <c r="K219" s="235"/>
      <c r="L219" s="217"/>
      <c r="M219" s="217"/>
      <c r="N219" s="217"/>
      <c r="Q219" s="217"/>
    </row>
    <row r="220" spans="3:27" x14ac:dyDescent="0.2">
      <c r="C220" s="3"/>
      <c r="D220" s="4"/>
      <c r="E220" s="4"/>
      <c r="F220" s="3"/>
      <c r="G220" s="3"/>
      <c r="H220" s="222">
        <v>36</v>
      </c>
      <c r="I220" s="91" t="str">
        <f>IF(ISBLANK(H220), " ", IF(ISTEXT(H220), " ", IF(H220&lt;=Нормативы!$H$220, "МСМК", IF(H220&lt;=Нормативы!$H$221, "МС", IF(H220&lt;=Нормативы!$H$222, "КМС", IF(H220&lt;=Нормативы!$H$223, "I", IF(H220&lt;=Нормативы!$H$224, "II", IF(H220&lt;=Нормативы!$H$225, "III", IF(H220&lt;=Нормативы!$H$226, "I юн", IF(H220&lt;=Нормативы!$H$227, "II юн", IF(H220&lt;=Нормативы!$H$228, "III юн", "б/р")))))))))))</f>
        <v>МСМК</v>
      </c>
      <c r="J220" s="91" t="str">
        <f>IF(ISBLANK(H220), " ", IF(ISTEXT(H220), " ", IF(H220&lt;=Нормативы!$H$220, "МСМК", IF(H220&lt;=Нормативы!$H$221, "МС", IF(H220&lt;=Нормативы!$H$222, "КМС", IF(H220&lt;=Нормативы!$H$223, "I", IF(H220&lt;=Нормативы!$H$224, "II", IF(H220&lt;=Нормативы!$H$225, "III", IF(H220&lt;=Нормативы!$H$226, "I юн", IF(H220&lt;=Нормативы!$H$227, "II юн", IF(H220&lt;=Нормативы!$H$228, "III юн", "б/р")))))))))))</f>
        <v>МСМК</v>
      </c>
      <c r="K220" s="226"/>
      <c r="L220" s="222"/>
      <c r="M220" s="91" t="str">
        <f>IF(ISBLANK(L220), " ", IF(ISTEXT(L220), " ", IF(L220&lt;=Нормативы!$H$220, "КМС", IF(L220&lt;=Нормативы!$H$221, "КМС", IF(L220&lt;=Нормативы!$L$222, "КМС", IF(L220&lt;=Нормативы!$L$223, "I", IF(L220&lt;=Нормативы!$L$224, "II", IF(L220&lt;=Нормативы!$L$225, "III", IF(L220&lt;=Нормативы!$L$226, "I юн", IF(L220&lt;=Нормативы!$L$227, "II юн", IF(L220&lt;=Нормативы!$L$228, "III юн", "б/р")))))))))))</f>
        <v xml:space="preserve"> </v>
      </c>
      <c r="N220" s="91" t="str">
        <f>IF(ISBLANK(L220), " ", IF(ISTEXT(L220), " ", IF(L220&lt;=36.3, "МСМК", IF(L220&lt;=38.1, "МС", IF(L220&lt;=39.7, "КМС", IF(L220&lt;=42.6, "I", IF(L220&lt;=46.2, "II", IF(L220&lt;=50.2, "III", IF(L220&lt;=55, "I юн", IF(L220&lt;=100, "II юн", IF(L220&lt;=105.2, "III юн", "б/р")))))))))))</f>
        <v xml:space="preserve"> </v>
      </c>
      <c r="Q220" s="91" t="str">
        <f t="shared" ref="Q220:Q228" si="38">IF(ISBLANK(P220), " ", IF(ISTEXT(P220), " ", IF(P220&lt;=$H$220, "МСМК", IF(P220&lt;=$H$221, "МС", IF(P220&lt;=$H$222, "КМС", IF(P220&lt;=$H$223, "I", IF(P220&lt;=$H$224, "II", IF(P220&lt;=$H$225, "III", IF(P220&lt;=$H$226, "I юн", IF(P220&lt;=$H$227, "II юн", IF(P220&lt;=$H$228, "III юн", "б/р")))))))))))</f>
        <v xml:space="preserve"> </v>
      </c>
    </row>
    <row r="221" spans="3:27" x14ac:dyDescent="0.2">
      <c r="C221" s="3"/>
      <c r="D221" s="4"/>
      <c r="E221" s="4"/>
      <c r="F221" s="3"/>
      <c r="G221" s="3"/>
      <c r="H221" s="222">
        <v>37.9</v>
      </c>
      <c r="I221" s="91" t="str">
        <f>IF(ISBLANK(H221), " ", IF(ISTEXT(H221), " ", IF(H221&lt;=Нормативы!$H$220, "МСМК", IF(H221&lt;=Нормативы!$H$221, "МС", IF(H221&lt;=Нормативы!$H$222, "КМС", IF(H221&lt;=Нормативы!$H$223, "I", IF(H221&lt;=Нормативы!$H$224, "II", IF(H221&lt;=Нормативы!$H$225, "III", IF(H221&lt;=Нормативы!$H$226, "I юн", IF(H221&lt;=Нормативы!$H$227, "II юн", IF(H221&lt;=Нормативы!$H$228, "III юн", "б/р")))))))))))</f>
        <v>МС</v>
      </c>
      <c r="J221" s="91" t="str">
        <f>IF(ISBLANK(H221), " ", IF(ISTEXT(H221), " ", IF(H221&lt;=Нормативы!$H$220, "МСМК", IF(H221&lt;=Нормативы!$H$221, "МС", IF(H221&lt;=Нормативы!$H$222, "КМС", IF(H221&lt;=Нормативы!$H$223, "I", IF(H221&lt;=Нормативы!$H$224, "II", IF(H221&lt;=Нормативы!$H$225, "III", IF(H221&lt;=Нормативы!$H$226, "I юн", IF(H221&lt;=Нормативы!$H$227, "II юн", IF(H221&lt;=Нормативы!$H$228, "III юн", "б/р")))))))))))</f>
        <v>МС</v>
      </c>
      <c r="K221" s="226"/>
      <c r="L221" s="222"/>
      <c r="M221" s="91" t="str">
        <f>IF(ISBLANK(L221), " ", IF(ISTEXT(L221), " ", IF(L221&lt;=Нормативы!$H$220, "КМС", IF(L221&lt;=Нормативы!$H$221, "КМС", IF(L221&lt;=Нормативы!$L$222, "КМС", IF(L221&lt;=Нормативы!$L$223, "I", IF(L221&lt;=Нормативы!$L$224, "II", IF(L221&lt;=Нормативы!$L$225, "III", IF(L221&lt;=Нормативы!$L$226, "I юн", IF(L221&lt;=Нормативы!$L$227, "II юн", IF(L221&lt;=Нормативы!$L$228, "III юн", "б/р")))))))))))</f>
        <v xml:space="preserve"> </v>
      </c>
      <c r="N221" s="91" t="str">
        <f>IF(ISBLANK(L221), " ", IF(ISTEXT(L221), " ", IF(L221&lt;=36.3, "МСМК", IF(L221&lt;=38.1, "МС", IF(L221&lt;=39.7, "КМС", IF(L221&lt;=42.6, "I", IF(L221&lt;=46.2, "II", IF(L221&lt;=50.2, "III", IF(L221&lt;=55, "I юн", IF(L221&lt;=100, "II юн", IF(L221&lt;=105.2, "III юн", "б/р")))))))))))</f>
        <v xml:space="preserve"> </v>
      </c>
      <c r="Q221" s="91" t="str">
        <f t="shared" si="38"/>
        <v xml:space="preserve"> </v>
      </c>
    </row>
    <row r="222" spans="3:27" x14ac:dyDescent="0.2">
      <c r="C222" s="3"/>
      <c r="D222" s="4"/>
      <c r="E222" s="4"/>
      <c r="F222" s="3"/>
      <c r="G222" s="3"/>
      <c r="H222" s="222">
        <v>39.700000000000003</v>
      </c>
      <c r="I222" s="91" t="str">
        <f>IF(ISBLANK(H222), " ", IF(ISTEXT(H222), " ", IF(H222&lt;=Нормативы!$H$220, "МСМК", IF(H222&lt;=Нормативы!$H$221, "МС", IF(H222&lt;=Нормативы!$H$222, "КМС", IF(H222&lt;=Нормативы!$H$223, "I", IF(H222&lt;=Нормативы!$H$224, "II", IF(H222&lt;=Нормативы!$H$225, "III", IF(H222&lt;=Нормативы!$H$226, "I юн", IF(H222&lt;=Нормативы!$H$227, "II юн", IF(H222&lt;=Нормативы!$H$228, "III юн", "б/р")))))))))))</f>
        <v>КМС</v>
      </c>
      <c r="J222" s="91" t="str">
        <f>IF(ISBLANK(H222), " ", IF(ISTEXT(H222), " ", IF(H222&lt;=Нормативы!$H$220, "МСМК", IF(H222&lt;=Нормативы!$H$221, "МС", IF(H222&lt;=Нормативы!$H$222, "КМС", IF(H222&lt;=Нормативы!$H$223, "I", IF(H222&lt;=Нормативы!$H$224, "II", IF(H222&lt;=Нормативы!$H$225, "III", IF(H222&lt;=Нормативы!$H$226, "I юн", IF(H222&lt;=Нормативы!$H$227, "II юн", IF(H222&lt;=Нормативы!$H$228, "III юн", "б/р")))))))))))</f>
        <v>КМС</v>
      </c>
      <c r="K222" s="226"/>
      <c r="L222" s="225">
        <f t="shared" ref="L222:L228" si="39">H222-0.2</f>
        <v>39.5</v>
      </c>
      <c r="M222" s="91" t="str">
        <f>IF(ISBLANK(L222), " ", IF(ISTEXT(L222), " ", IF(L222&lt;=Нормативы!$H$220, "КМС", IF(L222&lt;=Нормативы!$H$221, "КМС", IF(L222&lt;=Нормативы!$L$222, "КМС", IF(L222&lt;=Нормативы!$L$223, "I", IF(L222&lt;=Нормативы!$L$224, "II", IF(L222&lt;=Нормативы!$L$225, "III", IF(L222&lt;=Нормативы!$L$226, "I юн", IF(L222&lt;=Нормативы!$L$227, "II юн", IF(L222&lt;=Нормативы!$L$228, "III юн", "б/р")))))))))))</f>
        <v>КМС</v>
      </c>
      <c r="N222" s="91" t="str">
        <f>IF(ISBLANK(L222), " ", IF(ISTEXT(L222), " ", IF(L222&lt;=Нормативы!$H$220, "КМС", IF(L222&lt;=Нормативы!$H$221, "КМС", IF(L222&lt;=Нормативы!$L$222, "КМС", IF(L222&lt;=Нормативы!$L$223, "I", IF(L222&lt;=Нормативы!$L$224, "II", IF(L222&lt;=Нормативы!$L$225, "III", IF(L222&lt;=Нормативы!$L$226, "I юн", IF(L222&lt;=Нормативы!$L$227, "II юн", IF(L222&lt;=Нормативы!$L$228, "III юн", "б/р")))))))))))</f>
        <v>КМС</v>
      </c>
      <c r="Q222" s="91" t="str">
        <f t="shared" si="38"/>
        <v xml:space="preserve"> </v>
      </c>
    </row>
    <row r="223" spans="3:27" x14ac:dyDescent="0.2">
      <c r="C223" s="3"/>
      <c r="D223" s="4"/>
      <c r="E223" s="4"/>
      <c r="F223" s="3"/>
      <c r="G223" s="3"/>
      <c r="H223" s="222">
        <v>42.7</v>
      </c>
      <c r="I223" s="91" t="str">
        <f>IF(ISBLANK(H223), " ", IF(ISTEXT(H223), " ", IF(H223&lt;=Нормативы!$H$220, "МСМК", IF(H223&lt;=Нормативы!$H$221, "МС", IF(H223&lt;=Нормативы!$H$222, "КМС", IF(H223&lt;=Нормативы!$H$223, "I", IF(H223&lt;=Нормативы!$H$224, "II", IF(H223&lt;=Нормативы!$H$225, "III", IF(H223&lt;=Нормативы!$H$226, "I юн", IF(H223&lt;=Нормативы!$H$227, "II юн", IF(H223&lt;=Нормативы!$H$228, "III юн", "б/р")))))))))))</f>
        <v>I</v>
      </c>
      <c r="J223" s="91" t="str">
        <f>IF(ISBLANK(H223), " ", IF(ISTEXT(H223), " ", IF(H223&lt;=Нормативы!$H$220, "МСМК", IF(H223&lt;=Нормативы!$H$221, "МС", IF(H223&lt;=Нормативы!$H$222, "КМС", IF(H223&lt;=Нормативы!$H$223, "I", IF(H223&lt;=Нормативы!$H$224, "II", IF(H223&lt;=Нормативы!$H$225, "III", IF(H223&lt;=Нормативы!$H$226, "I юн", IF(H223&lt;=Нормативы!$H$227, "II юн", IF(H223&lt;=Нормативы!$H$228, "III юн", "б/р")))))))))))</f>
        <v>I</v>
      </c>
      <c r="K223" s="226"/>
      <c r="L223" s="225">
        <f t="shared" si="39"/>
        <v>42.5</v>
      </c>
      <c r="M223" s="91" t="str">
        <f>IF(ISBLANK(L223), " ", IF(ISTEXT(L223), " ", IF(L223&lt;=Нормативы!$H$220, "КМС", IF(L223&lt;=Нормативы!$H$221, "КМС", IF(L223&lt;=Нормативы!$L$222, "КМС", IF(L223&lt;=Нормативы!$L$223, "I", IF(L223&lt;=Нормативы!$L$224, "II", IF(L223&lt;=Нормативы!$L$225, "III", IF(L223&lt;=Нормативы!$L$226, "I юн", IF(L223&lt;=Нормативы!$L$227, "II юн", IF(L223&lt;=Нормативы!$L$228, "III юн", "б/р")))))))))))</f>
        <v>I</v>
      </c>
      <c r="N223" s="91" t="str">
        <f>IF(ISBLANK(L223), " ", IF(ISTEXT(L223), " ", IF(L223&lt;=Нормативы!$H$220, "КМС", IF(L223&lt;=Нормативы!$H$221, "КМС", IF(L223&lt;=Нормативы!$L$222, "КМС", IF(L223&lt;=Нормативы!$L$223, "I", IF(L223&lt;=Нормативы!$L$224, "II", IF(L223&lt;=Нормативы!$L$225, "III", IF(L223&lt;=Нормативы!$L$226, "I юн", IF(L223&lt;=Нормативы!$L$227, "II юн", IF(L223&lt;=Нормативы!$L$228, "III юн", "б/р")))))))))))</f>
        <v>I</v>
      </c>
      <c r="Q223" s="91" t="str">
        <f t="shared" si="38"/>
        <v xml:space="preserve"> </v>
      </c>
    </row>
    <row r="224" spans="3:27" x14ac:dyDescent="0.2">
      <c r="C224" s="3"/>
      <c r="D224" s="4"/>
      <c r="E224" s="4"/>
      <c r="F224" s="3"/>
      <c r="G224" s="3"/>
      <c r="H224" s="222">
        <v>46.2</v>
      </c>
      <c r="I224" s="91" t="str">
        <f>IF(ISBLANK(H224), " ", IF(ISTEXT(H224), " ", IF(H224&lt;=Нормативы!$H$220, "МСМК", IF(H224&lt;=Нормативы!$H$221, "МС", IF(H224&lt;=Нормативы!$H$222, "КМС", IF(H224&lt;=Нормативы!$H$223, "I", IF(H224&lt;=Нормативы!$H$224, "II", IF(H224&lt;=Нормативы!$H$225, "III", IF(H224&lt;=Нормативы!$H$226, "I юн", IF(H224&lt;=Нормативы!$H$227, "II юн", IF(H224&lt;=Нормативы!$H$228, "III юн", "б/р")))))))))))</f>
        <v>II</v>
      </c>
      <c r="J224" s="91" t="str">
        <f>IF(ISBLANK(H224), " ", IF(ISTEXT(H224), " ", IF(H224&lt;=Нормативы!$H$220, "МСМК", IF(H224&lt;=Нормативы!$H$221, "МС", IF(H224&lt;=Нормативы!$H$222, "КМС", IF(H224&lt;=Нормативы!$H$223, "I", IF(H224&lt;=Нормативы!$H$224, "II", IF(H224&lt;=Нормативы!$H$225, "III", IF(H224&lt;=Нормативы!$H$226, "I юн", IF(H224&lt;=Нормативы!$H$227, "II юн", IF(H224&lt;=Нормативы!$H$228, "III юн", "б/р")))))))))))</f>
        <v>II</v>
      </c>
      <c r="K224" s="226"/>
      <c r="L224" s="225">
        <f t="shared" si="39"/>
        <v>46</v>
      </c>
      <c r="M224" s="91" t="str">
        <f>IF(ISBLANK(L224), " ", IF(ISTEXT(L224), " ", IF(L224&lt;=Нормативы!$H$220, "КМС", IF(L224&lt;=Нормативы!$H$221, "КМС", IF(L224&lt;=Нормативы!$L$222, "КМС", IF(L224&lt;=Нормативы!$L$223, "I", IF(L224&lt;=Нормативы!$L$224, "II", IF(L224&lt;=Нормативы!$L$225, "III", IF(L224&lt;=Нормативы!$L$226, "I юн", IF(L224&lt;=Нормативы!$L$227, "II юн", IF(L224&lt;=Нормативы!$L$228, "III юн", "б/р")))))))))))</f>
        <v>II</v>
      </c>
      <c r="N224" s="91" t="str">
        <f>IF(ISBLANK(L224), " ", IF(ISTEXT(L224), " ", IF(L224&lt;=Нормативы!$H$220, "КМС", IF(L224&lt;=Нормативы!$H$221, "КМС", IF(L224&lt;=Нормативы!$L$222, "КМС", IF(L224&lt;=Нормативы!$L$223, "I", IF(L224&lt;=Нормативы!$L$224, "II", IF(L224&lt;=Нормативы!$L$225, "III", IF(L224&lt;=Нормативы!$L$226, "I юн", IF(L224&lt;=Нормативы!$L$227, "II юн", IF(L224&lt;=Нормативы!$L$228, "III юн", "б/р")))))))))))</f>
        <v>II</v>
      </c>
      <c r="Q224" s="91" t="str">
        <f t="shared" si="38"/>
        <v xml:space="preserve"> </v>
      </c>
    </row>
    <row r="225" spans="3:33" x14ac:dyDescent="0.2">
      <c r="C225" s="3"/>
      <c r="D225" s="4"/>
      <c r="E225" s="4"/>
      <c r="F225" s="3"/>
      <c r="G225" s="3"/>
      <c r="H225" s="222">
        <v>50</v>
      </c>
      <c r="I225" s="91" t="str">
        <f>IF(ISBLANK(H225), " ", IF(ISTEXT(H225), " ", IF(H225&lt;=Нормативы!$H$220, "МСМК", IF(H225&lt;=Нормативы!$H$221, "МС", IF(H225&lt;=Нормативы!$H$222, "КМС", IF(H225&lt;=Нормативы!$H$223, "I", IF(H225&lt;=Нормативы!$H$224, "II", IF(H225&lt;=Нормативы!$H$225, "III", IF(H225&lt;=Нормативы!$H$226, "I юн", IF(H225&lt;=Нормативы!$H$227, "II юн", IF(H225&lt;=Нормативы!$H$228, "III юн", "б/р")))))))))))</f>
        <v>III</v>
      </c>
      <c r="J225" s="91" t="str">
        <f>IF(ISBLANK(H225), " ", IF(ISTEXT(H225), " ", IF(H225&lt;=Нормативы!$H$220, "МСМК", IF(H225&lt;=Нормативы!$H$221, "МС", IF(H225&lt;=Нормативы!$H$222, "КМС", IF(H225&lt;=Нормативы!$H$223, "I", IF(H225&lt;=Нормативы!$H$224, "II", IF(H225&lt;=Нормативы!$H$225, "III", IF(H225&lt;=Нормативы!$H$226, "I юн", IF(H225&lt;=Нормативы!$H$227, "II юн", IF(H225&lt;=Нормативы!$H$228, "III юн", "б/р")))))))))))</f>
        <v>III</v>
      </c>
      <c r="K225" s="226"/>
      <c r="L225" s="225">
        <f t="shared" si="39"/>
        <v>49.8</v>
      </c>
      <c r="M225" s="91" t="str">
        <f>IF(ISBLANK(L225), " ", IF(ISTEXT(L225), " ", IF(L225&lt;=Нормативы!$H$220, "КМС", IF(L225&lt;=Нормативы!$H$221, "КМС", IF(L225&lt;=Нормативы!$L$222, "КМС", IF(L225&lt;=Нормативы!$L$223, "I", IF(L225&lt;=Нормативы!$L$224, "II", IF(L225&lt;=Нормативы!$L$225, "III", IF(L225&lt;=Нормативы!$L$226, "I юн", IF(L225&lt;=Нормативы!$L$227, "II юн", IF(L225&lt;=Нормативы!$L$228, "III юн", "б/р")))))))))))</f>
        <v>III</v>
      </c>
      <c r="N225" s="91" t="str">
        <f>IF(ISBLANK(L225), " ", IF(ISTEXT(L225), " ", IF(L225&lt;=Нормативы!$H$220, "КМС", IF(L225&lt;=Нормативы!$H$221, "КМС", IF(L225&lt;=Нормативы!$L$222, "КМС", IF(L225&lt;=Нормативы!$L$223, "I", IF(L225&lt;=Нормативы!$L$224, "II", IF(L225&lt;=Нормативы!$L$225, "III", IF(L225&lt;=Нормативы!$L$226, "I юн", IF(L225&lt;=Нормативы!$L$227, "II юн", IF(L225&lt;=Нормативы!$L$228, "III юн", "б/р")))))))))))</f>
        <v>III</v>
      </c>
      <c r="Q225" s="91" t="str">
        <f t="shared" si="38"/>
        <v xml:space="preserve"> </v>
      </c>
    </row>
    <row r="226" spans="3:33" x14ac:dyDescent="0.2">
      <c r="C226" s="3"/>
      <c r="D226" s="4"/>
      <c r="E226" s="4"/>
      <c r="F226" s="3"/>
      <c r="G226" s="3"/>
      <c r="H226" s="222">
        <v>54.7</v>
      </c>
      <c r="I226" s="91" t="str">
        <f>IF(ISBLANK(H226), " ", IF(ISTEXT(H226), " ", IF(H226&lt;=Нормативы!$H$220, "МСМК", IF(H226&lt;=Нормативы!$H$221, "МС", IF(H226&lt;=Нормативы!$H$222, "КМС", IF(H226&lt;=Нормативы!$H$223, "I", IF(H226&lt;=Нормативы!$H$224, "II", IF(H226&lt;=Нормативы!$H$225, "III", IF(H226&lt;=Нормативы!$H$226, "I юн", IF(H226&lt;=Нормативы!$H$227, "II юн", IF(H226&lt;=Нормативы!$H$228, "III юн", "б/р")))))))))))</f>
        <v>I юн</v>
      </c>
      <c r="J226" s="91" t="str">
        <f>IF(ISBLANK(H226), " ", IF(ISTEXT(H226), " ", IF(H226&lt;=Нормативы!$H$220, "МСМК", IF(H226&lt;=Нормативы!$H$221, "МС", IF(H226&lt;=Нормативы!$H$222, "КМС", IF(H226&lt;=Нормативы!$H$223, "I", IF(H226&lt;=Нормативы!$H$224, "II", IF(H226&lt;=Нормативы!$H$225, "III", IF(H226&lt;=Нормативы!$H$226, "I юн", IF(H226&lt;=Нормативы!$H$227, "II юн", IF(H226&lt;=Нормативы!$H$228, "III юн", "б/р")))))))))))</f>
        <v>I юн</v>
      </c>
      <c r="K226" s="226"/>
      <c r="L226" s="225">
        <f t="shared" si="39"/>
        <v>54.5</v>
      </c>
      <c r="M226" s="91" t="str">
        <f>IF(ISBLANK(L226), " ", IF(ISTEXT(L226), " ", IF(L226&lt;=Нормативы!$H$220, "КМС", IF(L226&lt;=Нормативы!$H$221, "КМС", IF(L226&lt;=Нормативы!$L$222, "КМС", IF(L226&lt;=Нормативы!$L$223, "I", IF(L226&lt;=Нормативы!$L$224, "II", IF(L226&lt;=Нормативы!$L$225, "III", IF(L226&lt;=Нормативы!$L$226, "I юн", IF(L226&lt;=Нормативы!$L$227, "II юн", IF(L226&lt;=Нормативы!$L$228, "III юн", "б/р")))))))))))</f>
        <v>I юн</v>
      </c>
      <c r="N226" s="91" t="str">
        <f>IF(ISBLANK(L226), " ", IF(ISTEXT(L226), " ", IF(L226&lt;=Нормативы!$H$220, "КМС", IF(L226&lt;=Нормативы!$H$221, "КМС", IF(L226&lt;=Нормативы!$L$222, "КМС", IF(L226&lt;=Нормативы!$L$223, "I", IF(L226&lt;=Нормативы!$L$224, "II", IF(L226&lt;=Нормативы!$L$225, "III", IF(L226&lt;=Нормативы!$L$226, "I юн", IF(L226&lt;=Нормативы!$L$227, "II юн", IF(L226&lt;=Нормативы!$L$228, "III юн", "б/р")))))))))))</f>
        <v>I юн</v>
      </c>
      <c r="Q226" s="91" t="str">
        <f t="shared" si="38"/>
        <v xml:space="preserve"> </v>
      </c>
    </row>
    <row r="227" spans="3:33" x14ac:dyDescent="0.2">
      <c r="C227" s="3"/>
      <c r="D227" s="4"/>
      <c r="E227" s="4"/>
      <c r="F227" s="3"/>
      <c r="G227" s="3"/>
      <c r="H227" s="222">
        <v>59.900000000000006</v>
      </c>
      <c r="I227" s="91" t="str">
        <f>IF(ISBLANK(H227), " ", IF(ISTEXT(H227), " ", IF(H227&lt;=Нормативы!$H$220, "МСМК", IF(H227&lt;=Нормативы!$H$221, "МС", IF(H227&lt;=Нормативы!$H$222, "КМС", IF(H227&lt;=Нормативы!$H$223, "I", IF(H227&lt;=Нормативы!$H$224, "II", IF(H227&lt;=Нормативы!$H$225, "III", IF(H227&lt;=Нормативы!$H$226, "I юн", IF(H227&lt;=Нормативы!$H$227, "II юн", IF(H227&lt;=Нормативы!$H$228, "III юн", "б/р")))))))))))</f>
        <v>II юн</v>
      </c>
      <c r="J227" s="91" t="str">
        <f>IF(ISBLANK(H227), " ", IF(ISTEXT(H227), " ", IF(H227&lt;=Нормативы!$H$220, "МСМК", IF(H227&lt;=Нормативы!$H$221, "МС", IF(H227&lt;=Нормативы!$H$222, "КМС", IF(H227&lt;=Нормативы!$H$223, "I", IF(H227&lt;=Нормативы!$H$224, "II", IF(H227&lt;=Нормативы!$H$225, "III", IF(H227&lt;=Нормативы!$H$226, "I юн", IF(H227&lt;=Нормативы!$H$227, "II юн", IF(H227&lt;=Нормативы!$H$228, "III юн", "б/р")))))))))))</f>
        <v>II юн</v>
      </c>
      <c r="K227" s="226"/>
      <c r="L227" s="225">
        <f t="shared" si="39"/>
        <v>59.7</v>
      </c>
      <c r="M227" s="91" t="str">
        <f>IF(ISBLANK(L227), " ", IF(ISTEXT(L227), " ", IF(L227&lt;=Нормативы!$H$220, "КМС", IF(L227&lt;=Нормативы!$H$221, "КМС", IF(L227&lt;=Нормативы!$L$222, "КМС", IF(L227&lt;=Нормативы!$L$223, "I", IF(L227&lt;=Нормативы!$L$224, "II", IF(L227&lt;=Нормативы!$L$225, "III", IF(L227&lt;=Нормативы!$L$226, "I юн", IF(L227&lt;=Нормативы!$L$227, "II юн", IF(L227&lt;=Нормативы!$L$228, "III юн", "б/р")))))))))))</f>
        <v>II юн</v>
      </c>
      <c r="N227" s="91" t="str">
        <f>IF(ISBLANK(L227), " ", IF(ISTEXT(L227), " ", IF(L227&lt;=Нормативы!$H$220, "КМС", IF(L227&lt;=Нормативы!$H$221, "КМС", IF(L227&lt;=Нормативы!$L$222, "КМС", IF(L227&lt;=Нормативы!$L$223, "I", IF(L227&lt;=Нормативы!$L$224, "II", IF(L227&lt;=Нормативы!$L$225, "III", IF(L227&lt;=Нормативы!$L$226, "I юн", IF(L227&lt;=Нормативы!$L$227, "II юн", IF(L227&lt;=Нормативы!$L$228, "III юн", "б/р")))))))))))</f>
        <v>II юн</v>
      </c>
      <c r="Q227" s="91" t="str">
        <f t="shared" si="38"/>
        <v xml:space="preserve"> </v>
      </c>
    </row>
    <row r="228" spans="3:33" x14ac:dyDescent="0.2">
      <c r="C228" s="3"/>
      <c r="D228" s="4"/>
      <c r="E228" s="4"/>
      <c r="F228" s="3"/>
      <c r="G228" s="3"/>
      <c r="H228" s="222">
        <v>104.9</v>
      </c>
      <c r="I228" s="91" t="str">
        <f>IF(ISBLANK(H228), " ", IF(ISTEXT(H228), " ", IF(H228&lt;=Нормативы!$H$220, "МСМК", IF(H228&lt;=Нормативы!$H$221, "МС", IF(H228&lt;=Нормативы!$H$222, "КМС", IF(H228&lt;=Нормативы!$H$223, "I", IF(H228&lt;=Нормативы!$H$224, "II", IF(H228&lt;=Нормативы!$H$225, "III", IF(H228&lt;=Нормативы!$H$226, "I юн", IF(H228&lt;=Нормативы!$H$227, "II юн", IF(H228&lt;=Нормативы!$H$228, "III юн", "б/р")))))))))))</f>
        <v>III юн</v>
      </c>
      <c r="J228" s="91" t="str">
        <f>IF(ISBLANK(H228), " ", IF(ISTEXT(H228), " ", IF(H228&lt;=Нормативы!$H$220, "МСМК", IF(H228&lt;=Нормативы!$H$221, "МС", IF(H228&lt;=Нормативы!$H$222, "КМС", IF(H228&lt;=Нормативы!$H$223, "I", IF(H228&lt;=Нормативы!$H$224, "II", IF(H228&lt;=Нормативы!$H$225, "III", IF(H228&lt;=Нормативы!$H$226, "I юн", IF(H228&lt;=Нормативы!$H$227, "II юн", IF(H228&lt;=Нормативы!$H$228, "III юн", "б/р")))))))))))</f>
        <v>III юн</v>
      </c>
      <c r="K228" s="226"/>
      <c r="L228" s="225">
        <f t="shared" si="39"/>
        <v>104.7</v>
      </c>
      <c r="M228" s="91" t="str">
        <f>IF(ISBLANK(L228), " ", IF(ISTEXT(L228), " ", IF(L228&lt;=Нормативы!$H$220, "КМС", IF(L228&lt;=Нормативы!$H$221, "КМС", IF(L228&lt;=Нормативы!$L$222, "КМС", IF(L228&lt;=Нормативы!$L$223, "I", IF(L228&lt;=Нормативы!$L$224, "II", IF(L228&lt;=Нормативы!$L$225, "III", IF(L228&lt;=Нормативы!$L$226, "I юн", IF(L228&lt;=Нормативы!$L$227, "II юн", IF(L228&lt;=Нормативы!$L$228, "III юн", "б/р")))))))))))</f>
        <v>III юн</v>
      </c>
      <c r="N228" s="91" t="str">
        <f>IF(ISBLANK(L228), " ", IF(ISTEXT(L228), " ", IF(L228&lt;=Нормативы!$H$220, "КМС", IF(L228&lt;=Нормативы!$H$221, "КМС", IF(L228&lt;=Нормативы!$L$222, "КМС", IF(L228&lt;=Нормативы!$L$223, "I", IF(L228&lt;=Нормативы!$L$224, "II", IF(L228&lt;=Нормативы!$L$225, "III", IF(L228&lt;=Нормативы!$L$226, "I юн", IF(L228&lt;=Нормативы!$L$227, "II юн", IF(L228&lt;=Нормативы!$L$228, "III юн", "б/р")))))))))))</f>
        <v>III юн</v>
      </c>
      <c r="P228" s="233"/>
      <c r="Q228" s="91" t="str">
        <f t="shared" si="38"/>
        <v xml:space="preserve"> </v>
      </c>
      <c r="R228" s="233"/>
      <c r="S228" s="233"/>
      <c r="T228" s="233"/>
      <c r="U228" s="233"/>
      <c r="V228" s="233"/>
      <c r="W228" s="233"/>
      <c r="X228" s="233"/>
      <c r="Y228" s="233"/>
      <c r="Z228" s="233"/>
      <c r="AA228" s="233"/>
      <c r="AB228" s="224"/>
      <c r="AC228" s="224"/>
      <c r="AD228" s="224"/>
      <c r="AE228" s="224"/>
      <c r="AF228" s="224"/>
      <c r="AG228" s="224"/>
    </row>
    <row r="229" spans="3:33" x14ac:dyDescent="0.2">
      <c r="C229" s="3"/>
      <c r="D229" s="4"/>
      <c r="E229" s="4"/>
      <c r="F229" s="3"/>
      <c r="G229" s="3"/>
      <c r="H229" s="225"/>
      <c r="I229" s="217"/>
      <c r="J229" s="217"/>
      <c r="K229" s="226"/>
      <c r="L229" s="217"/>
      <c r="M229" s="217"/>
      <c r="N229" s="217"/>
      <c r="P229" s="224"/>
      <c r="Q229" s="217"/>
      <c r="R229" s="224"/>
      <c r="S229" s="224"/>
      <c r="T229" s="224"/>
      <c r="U229" s="224"/>
      <c r="V229" s="224"/>
      <c r="W229" s="224"/>
      <c r="X229" s="224"/>
      <c r="Y229" s="224"/>
      <c r="Z229" s="224"/>
      <c r="AA229" s="224"/>
      <c r="AB229" s="224"/>
      <c r="AC229" s="224"/>
      <c r="AD229" s="224"/>
      <c r="AE229" s="224"/>
      <c r="AF229" s="224"/>
      <c r="AG229" s="224"/>
    </row>
    <row r="230" spans="3:33" x14ac:dyDescent="0.2">
      <c r="C230" s="58" t="s">
        <v>398</v>
      </c>
      <c r="D230" s="217"/>
      <c r="E230" s="217"/>
      <c r="F230" s="241"/>
      <c r="G230" s="241"/>
      <c r="H230" s="234"/>
      <c r="I230" s="217"/>
      <c r="J230" s="217"/>
      <c r="K230" s="235"/>
      <c r="L230" s="217"/>
      <c r="M230" s="217"/>
      <c r="N230" s="217"/>
      <c r="Q230" s="217"/>
    </row>
    <row r="231" spans="3:33" x14ac:dyDescent="0.2">
      <c r="C231" s="3"/>
      <c r="D231" s="217"/>
      <c r="E231" s="217"/>
      <c r="F231" s="217"/>
      <c r="G231" s="217"/>
      <c r="H231" s="222">
        <v>33</v>
      </c>
      <c r="I231" s="91" t="str">
        <f>IF(ISBLANK(H231), " ", IF(ISTEXT(H231), " ", IF(H231&lt;=Нормативы!$H$231, "МСМК", IF(H231&lt;=Нормативы!$H$232, "МС", IF(H231&lt;=Нормативы!$H$233, "КМС", IF(H231&lt;=Нормативы!$H$234, "I", IF(H231&lt;=Нормативы!$H$235, "II", IF(H231&lt;=Нормативы!$H$236, "III", IF(H231&lt;=Нормативы!$H$237, "I юн", IF(H231&lt;=Нормативы!$H$238, "II юн", IF(H231&lt;=Нормативы!$H$239, "III юн", "б/р")))))))))))</f>
        <v>МСМК</v>
      </c>
      <c r="J231" s="91" t="str">
        <f>IF(ISBLANK(H231), " ", IF(ISTEXT(H231), " ", IF(H231&lt;=Нормативы!$H$231, "МСМК", IF(H231&lt;=Нормативы!$H$232, "МС", IF(H231&lt;=Нормативы!$H$233, "КМС", IF(H231&lt;=Нормативы!$H$234, "I", IF(H231&lt;=Нормативы!$H$235, "II", IF(H231&lt;=Нормативы!$H$236, "III", IF(H231&lt;=Нормативы!$H$237, "I юн", IF(H231&lt;=Нормативы!$H$238, "II юн", IF(H231&lt;=Нормативы!$H$239, "III юн", "б/р")))))))))))</f>
        <v>МСМК</v>
      </c>
      <c r="K231" s="226"/>
      <c r="L231" s="222"/>
      <c r="M231" s="91" t="str">
        <f>IF(ISBLANK(L231), " ", IF(ISTEXT(L231), " ", IF(L231&lt;=Нормативы!$H$231, "КМС", IF(L231&lt;=Нормативы!$H$232, "КМС", IF(L231&lt;=Нормативы!$L$233, "КМС", IF(L231&lt;=Нормативы!$L$234, "I", IF(L231&lt;=Нормативы!$L$235, "II", IF(L231&lt;=Нормативы!$L$236, "III", IF(L231&lt;=Нормативы!$L$237, "I юн", IF(L231&lt;=Нормативы!$L$238, "II юн", IF(L231&lt;=Нормативы!$L$239, "III юн", "б/р")))))))))))</f>
        <v xml:space="preserve"> </v>
      </c>
      <c r="N231" s="91" t="str">
        <f>IF(ISBLANK(L231), " ", IF(ISTEXT(L231), " ", IF(L231&lt;=Нормативы!$H$231, "КМС", IF(L231&lt;=Нормативы!$H$232, "КМС", IF(L231&lt;=Нормативы!$L$233, "КМС", IF(L231&lt;=Нормативы!$L$234, "I", IF(L231&lt;=Нормативы!$L$235, "II", IF(L231&lt;=Нормативы!$L$236, "III", IF(L231&lt;=Нормативы!$L$237, "I юн", IF(L231&lt;=Нормативы!$L$238, "II юн", IF(L231&lt;=Нормативы!$L$239, "III юн", "б/р")))))))))))</f>
        <v xml:space="preserve"> </v>
      </c>
      <c r="Q231" s="91" t="str">
        <f t="shared" ref="Q231:Q239" si="40">IF(ISBLANK(P231), " ", IF(ISTEXT(P231), " ", IF(P231&lt;=$H$231, "МСМК", IF(P231&lt;=$H$232, "МС", IF(P231&lt;=$H$233, "КМС", IF(P231&lt;=$H$234, "I", IF(P231&lt;=$H$235, "II", IF(P231&lt;=$H$236, "III", IF(P231&lt;=$H$237, "I юн", IF(P231&lt;=$H$238, "II юн", IF(P231&lt;=$H$239, "III юн", "б/р")))))))))))</f>
        <v xml:space="preserve"> </v>
      </c>
    </row>
    <row r="232" spans="3:33" x14ac:dyDescent="0.2">
      <c r="C232" s="3"/>
      <c r="D232" s="217"/>
      <c r="E232" s="217"/>
      <c r="F232" s="217"/>
      <c r="G232" s="217"/>
      <c r="H232" s="222">
        <v>34.5</v>
      </c>
      <c r="I232" s="91" t="str">
        <f>IF(ISBLANK(H232), " ", IF(ISTEXT(H232), " ", IF(H232&lt;=Нормативы!$H$231, "МСМК", IF(H232&lt;=Нормативы!$H$232, "МС", IF(H232&lt;=Нормативы!$H$233, "КМС", IF(H232&lt;=Нормативы!$H$234, "I", IF(H232&lt;=Нормативы!$H$235, "II", IF(H232&lt;=Нормативы!$H$236, "III", IF(H232&lt;=Нормативы!$H$237, "I юн", IF(H232&lt;=Нормативы!$H$238, "II юн", IF(H232&lt;=Нормативы!$H$239, "III юн", "б/р")))))))))))</f>
        <v>МС</v>
      </c>
      <c r="J232" s="91" t="str">
        <f>IF(ISBLANK(H232), " ", IF(ISTEXT(H232), " ", IF(H232&lt;=Нормативы!$H$231, "МСМК", IF(H232&lt;=Нормативы!$H$232, "МС", IF(H232&lt;=Нормативы!$H$233, "КМС", IF(H232&lt;=Нормативы!$H$234, "I", IF(H232&lt;=Нормативы!$H$235, "II", IF(H232&lt;=Нормативы!$H$236, "III", IF(H232&lt;=Нормативы!$H$237, "I юн", IF(H232&lt;=Нормативы!$H$238, "II юн", IF(H232&lt;=Нормативы!$H$239, "III юн", "б/р")))))))))))</f>
        <v>МС</v>
      </c>
      <c r="K232" s="226"/>
      <c r="L232" s="222"/>
      <c r="M232" s="91" t="str">
        <f>IF(ISBLANK(L232), " ", IF(ISTEXT(L232), " ", IF(L232&lt;=Нормативы!$H$231, "КМС", IF(L232&lt;=Нормативы!$H$232, "КМС", IF(L232&lt;=Нормативы!$L$233, "КМС", IF(L232&lt;=Нормативы!$L$234, "I", IF(L232&lt;=Нормативы!$L$235, "II", IF(L232&lt;=Нормативы!$L$236, "III", IF(L232&lt;=Нормативы!$L$237, "I юн", IF(L232&lt;=Нормативы!$L$238, "II юн", IF(L232&lt;=Нормативы!$L$239, "III юн", "б/р")))))))))))</f>
        <v xml:space="preserve"> </v>
      </c>
      <c r="N232" s="91" t="str">
        <f>IF(ISBLANK(L232), " ", IF(ISTEXT(L232), " ", IF(L232&lt;=Нормативы!$H$231, "КМС", IF(L232&lt;=Нормативы!$H$232, "КМС", IF(L232&lt;=Нормативы!$L$233, "КМС", IF(L232&lt;=Нормативы!$L$234, "I", IF(L232&lt;=Нормативы!$L$235, "II", IF(L232&lt;=Нормативы!$L$236, "III", IF(L232&lt;=Нормативы!$L$237, "I юн", IF(L232&lt;=Нормативы!$L$238, "II юн", IF(L232&lt;=Нормативы!$L$239, "III юн", "б/р")))))))))))</f>
        <v xml:space="preserve"> </v>
      </c>
      <c r="Q232" s="91" t="str">
        <f t="shared" si="40"/>
        <v xml:space="preserve"> </v>
      </c>
    </row>
    <row r="233" spans="3:33" x14ac:dyDescent="0.2">
      <c r="C233" s="3"/>
      <c r="D233" s="217"/>
      <c r="E233" s="217"/>
      <c r="F233" s="217"/>
      <c r="G233" s="217"/>
      <c r="H233" s="222">
        <v>36.200000000000003</v>
      </c>
      <c r="I233" s="91" t="str">
        <f>IF(ISBLANK(H233), " ", IF(ISTEXT(H233), " ", IF(H233&lt;=Нормативы!$H$231, "МСМК", IF(H233&lt;=Нормативы!$H$232, "МС", IF(H233&lt;=Нормативы!$H$233, "КМС", IF(H233&lt;=Нормативы!$H$234, "I", IF(H233&lt;=Нормативы!$H$235, "II", IF(H233&lt;=Нормативы!$H$236, "III", IF(H233&lt;=Нормативы!$H$237, "I юн", IF(H233&lt;=Нормативы!$H$238, "II юн", IF(H233&lt;=Нормативы!$H$239, "III юн", "б/р")))))))))))</f>
        <v>КМС</v>
      </c>
      <c r="J233" s="91" t="str">
        <f>IF(ISBLANK(H233), " ", IF(ISTEXT(H233), " ", IF(H233&lt;=Нормативы!$H$231, "МСМК", IF(H233&lt;=Нормативы!$H$232, "МС", IF(H233&lt;=Нормативы!$H$233, "КМС", IF(H233&lt;=Нормативы!$H$234, "I", IF(H233&lt;=Нормативы!$H$235, "II", IF(H233&lt;=Нормативы!$H$236, "III", IF(H233&lt;=Нормативы!$H$237, "I юн", IF(H233&lt;=Нормативы!$H$238, "II юн", IF(H233&lt;=Нормативы!$H$239, "III юн", "б/р")))))))))))</f>
        <v>КМС</v>
      </c>
      <c r="K233" s="226"/>
      <c r="L233" s="225">
        <f t="shared" ref="L233:L239" si="41">H233-0.2</f>
        <v>36</v>
      </c>
      <c r="M233" s="91" t="str">
        <f>IF(ISBLANK(L233), " ", IF(ISTEXT(L233), " ", IF(L233&lt;=Нормативы!$H$231, "КМС", IF(L233&lt;=Нормативы!$H$232, "КМС", IF(L233&lt;=Нормативы!$L$233, "КМС", IF(L233&lt;=Нормативы!$L$234, "I", IF(L233&lt;=Нормативы!$L$235, "II", IF(L233&lt;=Нормативы!$L$236, "III", IF(L233&lt;=Нормативы!$L$237, "I юн", IF(L233&lt;=Нормативы!$L$238, "II юн", IF(L233&lt;=Нормативы!$L$239, "III юн", "б/р")))))))))))</f>
        <v>КМС</v>
      </c>
      <c r="N233" s="91" t="str">
        <f>IF(ISBLANK(L233), " ", IF(ISTEXT(L233), " ", IF(L233&lt;=Нормативы!$H$231, "КМС", IF(L233&lt;=Нормативы!$H$232, "КМС", IF(L233&lt;=Нормативы!$L$233, "КМС", IF(L233&lt;=Нормативы!$L$234, "I", IF(L233&lt;=Нормативы!$L$235, "II", IF(L233&lt;=Нормативы!$L$236, "III", IF(L233&lt;=Нормативы!$L$237, "I юн", IF(L233&lt;=Нормативы!$L$238, "II юн", IF(L233&lt;=Нормативы!$L$239, "III юн", "б/р")))))))))))</f>
        <v>КМС</v>
      </c>
      <c r="Q233" s="91" t="str">
        <f t="shared" si="40"/>
        <v xml:space="preserve"> </v>
      </c>
    </row>
    <row r="234" spans="3:33" x14ac:dyDescent="0.2">
      <c r="C234" s="3"/>
      <c r="D234" s="217"/>
      <c r="E234" s="217"/>
      <c r="F234" s="217"/>
      <c r="G234" s="217"/>
      <c r="H234" s="222">
        <v>39.900000000000006</v>
      </c>
      <c r="I234" s="91" t="str">
        <f>IF(ISBLANK(H234), " ", IF(ISTEXT(H234), " ", IF(H234&lt;=Нормативы!$H$231, "МСМК", IF(H234&lt;=Нормативы!$H$232, "МС", IF(H234&lt;=Нормативы!$H$233, "КМС", IF(H234&lt;=Нормативы!$H$234, "I", IF(H234&lt;=Нормативы!$H$235, "II", IF(H234&lt;=Нормативы!$H$236, "III", IF(H234&lt;=Нормативы!$H$237, "I юн", IF(H234&lt;=Нормативы!$H$238, "II юн", IF(H234&lt;=Нормативы!$H$239, "III юн", "б/р")))))))))))</f>
        <v>I</v>
      </c>
      <c r="J234" s="91" t="str">
        <f>IF(ISBLANK(H234), " ", IF(ISTEXT(H234), " ", IF(H234&lt;=Нормативы!$H$231, "МСМК", IF(H234&lt;=Нормативы!$H$232, "МС", IF(H234&lt;=Нормативы!$H$233, "КМС", IF(H234&lt;=Нормативы!$H$234, "I", IF(H234&lt;=Нормативы!$H$235, "II", IF(H234&lt;=Нормативы!$H$236, "III", IF(H234&lt;=Нормативы!$H$237, "I юн", IF(H234&lt;=Нормативы!$H$238, "II юн", IF(H234&lt;=Нормативы!$H$239, "III юн", "б/р")))))))))))</f>
        <v>I</v>
      </c>
      <c r="K234" s="226"/>
      <c r="L234" s="225">
        <f t="shared" si="41"/>
        <v>39.700000000000003</v>
      </c>
      <c r="M234" s="91" t="str">
        <f>IF(ISBLANK(L234), " ", IF(ISTEXT(L234), " ", IF(L234&lt;=Нормативы!$H$231, "КМС", IF(L234&lt;=Нормативы!$H$232, "КМС", IF(L234&lt;=Нормативы!$L$233, "КМС", IF(L234&lt;=Нормативы!$L$234, "I", IF(L234&lt;=Нормативы!$L$235, "II", IF(L234&lt;=Нормативы!$L$236, "III", IF(L234&lt;=Нормативы!$L$237, "I юн", IF(L234&lt;=Нормативы!$L$238, "II юн", IF(L234&lt;=Нормативы!$L$239, "III юн", "б/р")))))))))))</f>
        <v>I</v>
      </c>
      <c r="N234" s="91" t="str">
        <f>IF(ISBLANK(L234), " ", IF(ISTEXT(L234), " ", IF(L234&lt;=Нормативы!$H$231, "КМС", IF(L234&lt;=Нормативы!$H$232, "КМС", IF(L234&lt;=Нормативы!$L$233, "КМС", IF(L234&lt;=Нормативы!$L$234, "I", IF(L234&lt;=Нормативы!$L$235, "II", IF(L234&lt;=Нормативы!$L$236, "III", IF(L234&lt;=Нормативы!$L$237, "I юн", IF(L234&lt;=Нормативы!$L$238, "II юн", IF(L234&lt;=Нормативы!$L$239, "III юн", "б/р")))))))))))</f>
        <v>I</v>
      </c>
      <c r="Q234" s="91" t="str">
        <f t="shared" si="40"/>
        <v xml:space="preserve"> </v>
      </c>
    </row>
    <row r="235" spans="3:33" x14ac:dyDescent="0.2">
      <c r="C235" s="3"/>
      <c r="D235" s="217"/>
      <c r="E235" s="217"/>
      <c r="F235" s="217"/>
      <c r="G235" s="217"/>
      <c r="H235" s="222">
        <v>42.2</v>
      </c>
      <c r="I235" s="91" t="str">
        <f>IF(ISBLANK(H235), " ", IF(ISTEXT(H235), " ", IF(H235&lt;=Нормативы!$H$231, "МСМК", IF(H235&lt;=Нормативы!$H$232, "МС", IF(H235&lt;=Нормативы!$H$233, "КМС", IF(H235&lt;=Нормативы!$H$234, "I", IF(H235&lt;=Нормативы!$H$235, "II", IF(H235&lt;=Нормативы!$H$236, "III", IF(H235&lt;=Нормативы!$H$237, "I юн", IF(H235&lt;=Нормативы!$H$238, "II юн", IF(H235&lt;=Нормативы!$H$239, "III юн", "б/р")))))))))))</f>
        <v>II</v>
      </c>
      <c r="J235" s="91" t="str">
        <f>IF(ISBLANK(H235), " ", IF(ISTEXT(H235), " ", IF(H235&lt;=Нормативы!$H$231, "МСМК", IF(H235&lt;=Нормативы!$H$232, "МС", IF(H235&lt;=Нормативы!$H$233, "КМС", IF(H235&lt;=Нормативы!$H$234, "I", IF(H235&lt;=Нормативы!$H$235, "II", IF(H235&lt;=Нормативы!$H$236, "III", IF(H235&lt;=Нормативы!$H$237, "I юн", IF(H235&lt;=Нормативы!$H$238, "II юн", IF(H235&lt;=Нормативы!$H$239, "III юн", "б/р")))))))))))</f>
        <v>II</v>
      </c>
      <c r="K235" s="226"/>
      <c r="L235" s="225">
        <f t="shared" si="41"/>
        <v>42</v>
      </c>
      <c r="M235" s="91" t="str">
        <f>IF(ISBLANK(L235), " ", IF(ISTEXT(L235), " ", IF(L235&lt;=Нормативы!$H$231, "КМС", IF(L235&lt;=Нормативы!$H$232, "КМС", IF(L235&lt;=Нормативы!$L$233, "КМС", IF(L235&lt;=Нормативы!$L$234, "I", IF(L235&lt;=Нормативы!$L$235, "II", IF(L235&lt;=Нормативы!$L$236, "III", IF(L235&lt;=Нормативы!$L$237, "I юн", IF(L235&lt;=Нормативы!$L$238, "II юн", IF(L235&lt;=Нормативы!$L$239, "III юн", "б/р")))))))))))</f>
        <v>II</v>
      </c>
      <c r="N235" s="91" t="str">
        <f>IF(ISBLANK(L235), " ", IF(ISTEXT(L235), " ", IF(L235&lt;=Нормативы!$H$231, "КМС", IF(L235&lt;=Нормативы!$H$232, "КМС", IF(L235&lt;=Нормативы!$L$233, "КМС", IF(L235&lt;=Нормативы!$L$234, "I", IF(L235&lt;=Нормативы!$L$235, "II", IF(L235&lt;=Нормативы!$L$236, "III", IF(L235&lt;=Нормативы!$L$237, "I юн", IF(L235&lt;=Нормативы!$L$238, "II юн", IF(L235&lt;=Нормативы!$L$239, "III юн", "б/р")))))))))))</f>
        <v>II</v>
      </c>
      <c r="Q235" s="91" t="str">
        <f t="shared" si="40"/>
        <v xml:space="preserve"> </v>
      </c>
    </row>
    <row r="236" spans="3:33" x14ac:dyDescent="0.2">
      <c r="C236" s="3"/>
      <c r="D236" s="217"/>
      <c r="E236" s="217"/>
      <c r="F236" s="217"/>
      <c r="G236" s="217"/>
      <c r="H236" s="222">
        <v>45.900000000000006</v>
      </c>
      <c r="I236" s="91" t="str">
        <f>IF(ISBLANK(H236), " ", IF(ISTEXT(H236), " ", IF(H236&lt;=Нормативы!$H$231, "МСМК", IF(H236&lt;=Нормативы!$H$232, "МС", IF(H236&lt;=Нормативы!$H$233, "КМС", IF(H236&lt;=Нормативы!$H$234, "I", IF(H236&lt;=Нормативы!$H$235, "II", IF(H236&lt;=Нормативы!$H$236, "III", IF(H236&lt;=Нормативы!$H$237, "I юн", IF(H236&lt;=Нормативы!$H$238, "II юн", IF(H236&lt;=Нормативы!$H$239, "III юн", "б/р")))))))))))</f>
        <v>III</v>
      </c>
      <c r="J236" s="91" t="str">
        <f>IF(ISBLANK(H236), " ", IF(ISTEXT(H236), " ", IF(H236&lt;=Нормативы!$H$231, "МСМК", IF(H236&lt;=Нормативы!$H$232, "МС", IF(H236&lt;=Нормативы!$H$233, "КМС", IF(H236&lt;=Нормативы!$H$234, "I", IF(H236&lt;=Нормативы!$H$235, "II", IF(H236&lt;=Нормативы!$H$236, "III", IF(H236&lt;=Нормативы!$H$237, "I юн", IF(H236&lt;=Нормативы!$H$238, "II юн", IF(H236&lt;=Нормативы!$H$239, "III юн", "б/р")))))))))))</f>
        <v>III</v>
      </c>
      <c r="K236" s="226"/>
      <c r="L236" s="225">
        <f t="shared" si="41"/>
        <v>45.7</v>
      </c>
      <c r="M236" s="91" t="str">
        <f>IF(ISBLANK(L236), " ", IF(ISTEXT(L236), " ", IF(L236&lt;=Нормативы!$H$231, "КМС", IF(L236&lt;=Нормативы!$H$232, "КМС", IF(L236&lt;=Нормативы!$L$233, "КМС", IF(L236&lt;=Нормативы!$L$234, "I", IF(L236&lt;=Нормативы!$L$235, "II", IF(L236&lt;=Нормативы!$L$236, "III", IF(L236&lt;=Нормативы!$L$237, "I юн", IF(L236&lt;=Нормативы!$L$238, "II юн", IF(L236&lt;=Нормативы!$L$239, "III юн", "б/р")))))))))))</f>
        <v>III</v>
      </c>
      <c r="N236" s="91" t="str">
        <f>IF(ISBLANK(L236), " ", IF(ISTEXT(L236), " ", IF(L236&lt;=Нормативы!$H$231, "КМС", IF(L236&lt;=Нормативы!$H$232, "КМС", IF(L236&lt;=Нормативы!$L$233, "КМС", IF(L236&lt;=Нормативы!$L$234, "I", IF(L236&lt;=Нормативы!$L$235, "II", IF(L236&lt;=Нормативы!$L$236, "III", IF(L236&lt;=Нормативы!$L$237, "I юн", IF(L236&lt;=Нормативы!$L$238, "II юн", IF(L236&lt;=Нормативы!$L$239, "III юн", "б/р")))))))))))</f>
        <v>III</v>
      </c>
      <c r="Q236" s="91" t="str">
        <f t="shared" si="40"/>
        <v xml:space="preserve"> </v>
      </c>
    </row>
    <row r="237" spans="3:33" x14ac:dyDescent="0.2">
      <c r="C237" s="3"/>
      <c r="D237" s="217"/>
      <c r="E237" s="217"/>
      <c r="F237" s="217"/>
      <c r="G237" s="217"/>
      <c r="H237" s="222">
        <v>50.2</v>
      </c>
      <c r="I237" s="91" t="str">
        <f>IF(ISBLANK(H237), " ", IF(ISTEXT(H237), " ", IF(H237&lt;=Нормативы!$H$231, "МСМК", IF(H237&lt;=Нормативы!$H$232, "МС", IF(H237&lt;=Нормативы!$H$233, "КМС", IF(H237&lt;=Нормативы!$H$234, "I", IF(H237&lt;=Нормативы!$H$235, "II", IF(H237&lt;=Нормативы!$H$236, "III", IF(H237&lt;=Нормативы!$H$237, "I юн", IF(H237&lt;=Нормативы!$H$238, "II юн", IF(H237&lt;=Нормативы!$H$239, "III юн", "б/р")))))))))))</f>
        <v>I юн</v>
      </c>
      <c r="J237" s="91" t="str">
        <f>IF(ISBLANK(H237), " ", IF(ISTEXT(H237), " ", IF(H237&lt;=Нормативы!$H$231, "МСМК", IF(H237&lt;=Нормативы!$H$232, "МС", IF(H237&lt;=Нормативы!$H$233, "КМС", IF(H237&lt;=Нормативы!$H$234, "I", IF(H237&lt;=Нормативы!$H$235, "II", IF(H237&lt;=Нормативы!$H$236, "III", IF(H237&lt;=Нормативы!$H$237, "I юн", IF(H237&lt;=Нормативы!$H$238, "II юн", IF(H237&lt;=Нормативы!$H$239, "III юн", "б/р")))))))))))</f>
        <v>I юн</v>
      </c>
      <c r="K237" s="226"/>
      <c r="L237" s="225">
        <f t="shared" si="41"/>
        <v>50</v>
      </c>
      <c r="M237" s="91" t="str">
        <f>IF(ISBLANK(L237), " ", IF(ISTEXT(L237), " ", IF(L237&lt;=Нормативы!$H$231, "КМС", IF(L237&lt;=Нормативы!$H$232, "КМС", IF(L237&lt;=Нормативы!$L$233, "КМС", IF(L237&lt;=Нормативы!$L$234, "I", IF(L237&lt;=Нормативы!$L$235, "II", IF(L237&lt;=Нормативы!$L$236, "III", IF(L237&lt;=Нормативы!$L$237, "I юн", IF(L237&lt;=Нормативы!$L$238, "II юн", IF(L237&lt;=Нормативы!$L$239, "III юн", "б/р")))))))))))</f>
        <v>I юн</v>
      </c>
      <c r="N237" s="91" t="str">
        <f>IF(ISBLANK(L237), " ", IF(ISTEXT(L237), " ", IF(L237&lt;=Нормативы!$H$231, "КМС", IF(L237&lt;=Нормативы!$H$232, "КМС", IF(L237&lt;=Нормативы!$L$233, "КМС", IF(L237&lt;=Нормативы!$L$234, "I", IF(L237&lt;=Нормативы!$L$235, "II", IF(L237&lt;=Нормативы!$L$236, "III", IF(L237&lt;=Нормативы!$L$237, "I юн", IF(L237&lt;=Нормативы!$L$238, "II юн", IF(L237&lt;=Нормативы!$L$239, "III юн", "б/р")))))))))))</f>
        <v>I юн</v>
      </c>
      <c r="Q237" s="91" t="str">
        <f t="shared" si="40"/>
        <v xml:space="preserve"> </v>
      </c>
    </row>
    <row r="238" spans="3:33" x14ac:dyDescent="0.2">
      <c r="C238" s="3"/>
      <c r="D238" s="217"/>
      <c r="E238" s="217"/>
      <c r="F238" s="217"/>
      <c r="G238" s="217"/>
      <c r="H238" s="222">
        <v>54.900000000000006</v>
      </c>
      <c r="I238" s="91" t="str">
        <f>IF(ISBLANK(H238), " ", IF(ISTEXT(H238), " ", IF(H238&lt;=Нормативы!$H$231, "МСМК", IF(H238&lt;=Нормативы!$H$232, "МС", IF(H238&lt;=Нормативы!$H$233, "КМС", IF(H238&lt;=Нормативы!$H$234, "I", IF(H238&lt;=Нормативы!$H$235, "II", IF(H238&lt;=Нормативы!$H$236, "III", IF(H238&lt;=Нормативы!$H$237, "I юн", IF(H238&lt;=Нормативы!$H$238, "II юн", IF(H238&lt;=Нормативы!$H$239, "III юн", "б/р")))))))))))</f>
        <v>II юн</v>
      </c>
      <c r="J238" s="91" t="str">
        <f>IF(ISBLANK(H238), " ", IF(ISTEXT(H238), " ", IF(H238&lt;=Нормативы!$H$231, "МСМК", IF(H238&lt;=Нормативы!$H$232, "МС", IF(H238&lt;=Нормативы!$H$233, "КМС", IF(H238&lt;=Нормативы!$H$234, "I", IF(H238&lt;=Нормативы!$H$235, "II", IF(H238&lt;=Нормативы!$H$236, "III", IF(H238&lt;=Нормативы!$H$237, "I юн", IF(H238&lt;=Нормативы!$H$238, "II юн", IF(H238&lt;=Нормативы!$H$239, "III юн", "б/р")))))))))))</f>
        <v>II юн</v>
      </c>
      <c r="K238" s="226"/>
      <c r="L238" s="225">
        <f t="shared" si="41"/>
        <v>54.7</v>
      </c>
      <c r="M238" s="91" t="str">
        <f>IF(ISBLANK(L238), " ", IF(ISTEXT(L238), " ", IF(L238&lt;=Нормативы!$H$231, "КМС", IF(L238&lt;=Нормативы!$H$232, "КМС", IF(L238&lt;=Нормативы!$L$233, "КМС", IF(L238&lt;=Нормативы!$L$234, "I", IF(L238&lt;=Нормативы!$L$235, "II", IF(L238&lt;=Нормативы!$L$236, "III", IF(L238&lt;=Нормативы!$L$237, "I юн", IF(L238&lt;=Нормативы!$L$238, "II юн", IF(L238&lt;=Нормативы!$L$239, "III юн", "б/р")))))))))))</f>
        <v>II юн</v>
      </c>
      <c r="N238" s="91" t="str">
        <f>IF(ISBLANK(L238), " ", IF(ISTEXT(L238), " ", IF(L238&lt;=Нормативы!$H$231, "КМС", IF(L238&lt;=Нормативы!$H$232, "КМС", IF(L238&lt;=Нормативы!$L$233, "КМС", IF(L238&lt;=Нормативы!$L$234, "I", IF(L238&lt;=Нормативы!$L$235, "II", IF(L238&lt;=Нормативы!$L$236, "III", IF(L238&lt;=Нормативы!$L$237, "I юн", IF(L238&lt;=Нормативы!$L$238, "II юн", IF(L238&lt;=Нормативы!$L$239, "III юн", "б/р")))))))))))</f>
        <v>II юн</v>
      </c>
      <c r="Q238" s="91" t="str">
        <f t="shared" si="40"/>
        <v xml:space="preserve"> </v>
      </c>
    </row>
    <row r="239" spans="3:33" x14ac:dyDescent="0.2">
      <c r="C239" s="3"/>
      <c r="D239" s="217"/>
      <c r="E239" s="217"/>
      <c r="F239" s="217"/>
      <c r="G239" s="217"/>
      <c r="H239" s="222">
        <v>59.2</v>
      </c>
      <c r="I239" s="91" t="str">
        <f>IF(ISBLANK(H239), " ", IF(ISTEXT(H239), " ", IF(H239&lt;=Нормативы!$H$231, "МСМК", IF(H239&lt;=Нормативы!$H$232, "МС", IF(H239&lt;=Нормативы!$H$233, "КМС", IF(H239&lt;=Нормативы!$H$234, "I", IF(H239&lt;=Нормативы!$H$235, "II", IF(H239&lt;=Нормативы!$H$236, "III", IF(H239&lt;=Нормативы!$H$237, "I юн", IF(H239&lt;=Нормативы!$H$238, "II юн", IF(H239&lt;=Нормативы!$H$239, "III юн", "б/р")))))))))))</f>
        <v>III юн</v>
      </c>
      <c r="J239" s="91" t="str">
        <f>IF(ISBLANK(H239), " ", IF(ISTEXT(H239), " ", IF(H239&lt;=Нормативы!$H$231, "МСМК", IF(H239&lt;=Нормативы!$H$232, "МС", IF(H239&lt;=Нормативы!$H$233, "КМС", IF(H239&lt;=Нормативы!$H$234, "I", IF(H239&lt;=Нормативы!$H$235, "II", IF(H239&lt;=Нормативы!$H$236, "III", IF(H239&lt;=Нормативы!$H$237, "I юн", IF(H239&lt;=Нормативы!$H$238, "II юн", IF(H239&lt;=Нормативы!$H$239, "III юн", "б/р")))))))))))</f>
        <v>III юн</v>
      </c>
      <c r="K239" s="226"/>
      <c r="L239" s="225">
        <f t="shared" si="41"/>
        <v>59</v>
      </c>
      <c r="M239" s="91" t="str">
        <f>IF(ISBLANK(L239), " ", IF(ISTEXT(L239), " ", IF(L239&lt;=Нормативы!$H$231, "КМС", IF(L239&lt;=Нормативы!$H$232, "КМС", IF(L239&lt;=Нормативы!$L$233, "КМС", IF(L239&lt;=Нормативы!$L$234, "I", IF(L239&lt;=Нормативы!$L$235, "II", IF(L239&lt;=Нормативы!$L$236, "III", IF(L239&lt;=Нормативы!$L$237, "I юн", IF(L239&lt;=Нормативы!$L$238, "II юн", IF(L239&lt;=Нормативы!$L$239, "III юн", "б/р")))))))))))</f>
        <v>III юн</v>
      </c>
      <c r="N239" s="91" t="str">
        <f>IF(ISBLANK(L239), " ", IF(ISTEXT(L239), " ", IF(L239&lt;=Нормативы!$H$231, "КМС", IF(L239&lt;=Нормативы!$H$232, "КМС", IF(L239&lt;=Нормативы!$L$233, "КМС", IF(L239&lt;=Нормативы!$L$234, "I", IF(L239&lt;=Нормативы!$L$235, "II", IF(L239&lt;=Нормативы!$L$236, "III", IF(L239&lt;=Нормативы!$L$237, "I юн", IF(L239&lt;=Нормативы!$L$238, "II юн", IF(L239&lt;=Нормативы!$L$239, "III юн", "б/р")))))))))))</f>
        <v>III юн</v>
      </c>
      <c r="Q239" s="91" t="str">
        <f t="shared" si="40"/>
        <v xml:space="preserve"> </v>
      </c>
    </row>
    <row r="240" spans="3:33" x14ac:dyDescent="0.2">
      <c r="C240" s="3"/>
      <c r="D240" s="217"/>
      <c r="E240" s="217"/>
      <c r="F240" s="217"/>
      <c r="G240" s="217"/>
      <c r="H240" s="222"/>
      <c r="I240" s="217"/>
      <c r="J240" s="217"/>
      <c r="K240" s="226"/>
      <c r="L240" s="217"/>
      <c r="M240" s="217"/>
      <c r="N240" s="217"/>
      <c r="Q240" s="217"/>
    </row>
    <row r="241" spans="3:27" hidden="1" x14ac:dyDescent="0.2">
      <c r="C241" s="58" t="s">
        <v>399</v>
      </c>
      <c r="D241" s="106"/>
      <c r="E241" s="106"/>
      <c r="F241" s="58"/>
      <c r="G241" s="58"/>
      <c r="H241" s="221"/>
      <c r="I241" s="217"/>
      <c r="J241" s="217"/>
      <c r="K241" s="235"/>
      <c r="L241" s="217"/>
      <c r="M241" s="217"/>
      <c r="N241" s="217"/>
      <c r="Q241" s="217"/>
    </row>
    <row r="242" spans="3:27" hidden="1" x14ac:dyDescent="0.2">
      <c r="C242" s="3"/>
      <c r="D242" s="4"/>
      <c r="E242" s="4"/>
      <c r="F242" s="3"/>
      <c r="G242" s="3"/>
      <c r="H242" s="222">
        <v>0</v>
      </c>
      <c r="I242" s="91" t="str">
        <f t="shared" ref="I242:I247" si="42">IF(ISBLANK(H242), " ", IF(ISTEXT(H242), " ", IF(H242&lt;=304.6, "МСМК", IF(H242&lt;=314.4, "МС", IF(H242&lt;=323, "КМС", IF(H242&lt;=338, "I", IF(H242&lt;=356, "II", IF(H242&lt;=415, "III", "б/р"))))))))</f>
        <v>МСМК</v>
      </c>
      <c r="J242" s="91" t="str">
        <f t="shared" ref="J242:J247" si="43">IF(ISBLANK(H242), " ", IF(ISTEXT(H242), " ", IF(H242&lt;=304.6, "МСМК", IF(H242&lt;=314.4, "МС", IF(H242&lt;=323, "КМС", IF(H242&lt;=338, "I", IF(H242&lt;=356, "II", IF(H242&lt;=415, "III", "б/р"))))))))</f>
        <v>МСМК</v>
      </c>
      <c r="K242" s="226"/>
      <c r="L242" s="222">
        <v>0</v>
      </c>
      <c r="M242" s="91" t="str">
        <f t="shared" ref="M242:M247" si="44">IF(ISBLANK(L242), " ", IF(ISTEXT(L242), " ", IF(L242&lt;=304.6, "МСМК", IF(L242&lt;=314.4, "МС", IF(L242&lt;=323, "КМС", IF(L242&lt;=338, "I", IF(L242&lt;=356, "II", IF(L242&lt;=415, "III", "б/р"))))))))</f>
        <v>МСМК</v>
      </c>
      <c r="N242" s="91" t="str">
        <f t="shared" ref="N242:N247" si="45">IF(ISBLANK(L242), " ", IF(ISTEXT(L242), " ", IF(L242&lt;=304.6, "МСМК", IF(L242&lt;=314.4, "МС", IF(L242&lt;=323, "КМС", IF(L242&lt;=338, "I", IF(L242&lt;=356, "II", IF(L242&lt;=415, "III", "б/р"))))))))</f>
        <v>МСМК</v>
      </c>
      <c r="Q242" s="91" t="str">
        <f t="shared" ref="Q242:Q247" si="46">IF(ISBLANK(P242), " ", IF(ISTEXT(P242), " ", IF(P242&lt;=304.6, "МСМК", IF(P242&lt;=314.4, "МС", IF(P242&lt;=323, "КМС", IF(P242&lt;=338, "I", IF(P242&lt;=356, "II", IF(P242&lt;=415, "III", "б/р"))))))))</f>
        <v xml:space="preserve"> </v>
      </c>
    </row>
    <row r="243" spans="3:27" hidden="1" x14ac:dyDescent="0.2">
      <c r="C243" s="3"/>
      <c r="D243" s="4"/>
      <c r="E243" s="4"/>
      <c r="F243" s="3"/>
      <c r="G243" s="3"/>
      <c r="H243" s="222">
        <v>0</v>
      </c>
      <c r="I243" s="91" t="str">
        <f t="shared" si="42"/>
        <v>МСМК</v>
      </c>
      <c r="J243" s="91" t="str">
        <f t="shared" si="43"/>
        <v>МСМК</v>
      </c>
      <c r="K243" s="226"/>
      <c r="L243" s="222">
        <v>0</v>
      </c>
      <c r="M243" s="91" t="str">
        <f t="shared" si="44"/>
        <v>МСМК</v>
      </c>
      <c r="N243" s="91" t="str">
        <f t="shared" si="45"/>
        <v>МСМК</v>
      </c>
      <c r="Q243" s="91" t="str">
        <f t="shared" si="46"/>
        <v xml:space="preserve"> </v>
      </c>
    </row>
    <row r="244" spans="3:27" hidden="1" x14ac:dyDescent="0.2">
      <c r="C244" s="3"/>
      <c r="D244" s="4"/>
      <c r="E244" s="4"/>
      <c r="F244" s="3"/>
      <c r="G244" s="3"/>
      <c r="H244" s="222">
        <v>0</v>
      </c>
      <c r="I244" s="91" t="str">
        <f t="shared" si="42"/>
        <v>МСМК</v>
      </c>
      <c r="J244" s="91" t="str">
        <f t="shared" si="43"/>
        <v>МСМК</v>
      </c>
      <c r="K244" s="226"/>
      <c r="L244" s="222">
        <v>0</v>
      </c>
      <c r="M244" s="91" t="str">
        <f t="shared" si="44"/>
        <v>МСМК</v>
      </c>
      <c r="N244" s="91" t="str">
        <f t="shared" si="45"/>
        <v>МСМК</v>
      </c>
      <c r="Q244" s="91" t="str">
        <f t="shared" si="46"/>
        <v xml:space="preserve"> </v>
      </c>
    </row>
    <row r="245" spans="3:27" hidden="1" x14ac:dyDescent="0.2">
      <c r="C245" s="3"/>
      <c r="D245" s="4"/>
      <c r="E245" s="4"/>
      <c r="F245" s="3"/>
      <c r="G245" s="3"/>
      <c r="H245" s="222">
        <v>0</v>
      </c>
      <c r="I245" s="91" t="str">
        <f t="shared" si="42"/>
        <v>МСМК</v>
      </c>
      <c r="J245" s="91" t="str">
        <f t="shared" si="43"/>
        <v>МСМК</v>
      </c>
      <c r="K245" s="226"/>
      <c r="L245" s="222">
        <v>0</v>
      </c>
      <c r="M245" s="91" t="str">
        <f t="shared" si="44"/>
        <v>МСМК</v>
      </c>
      <c r="N245" s="91" t="str">
        <f t="shared" si="45"/>
        <v>МСМК</v>
      </c>
      <c r="Q245" s="91" t="str">
        <f t="shared" si="46"/>
        <v xml:space="preserve"> </v>
      </c>
    </row>
    <row r="246" spans="3:27" hidden="1" x14ac:dyDescent="0.2">
      <c r="C246" s="3"/>
      <c r="D246" s="4"/>
      <c r="E246" s="4"/>
      <c r="F246" s="3"/>
      <c r="G246" s="3"/>
      <c r="H246" s="222">
        <v>0</v>
      </c>
      <c r="I246" s="91" t="str">
        <f t="shared" si="42"/>
        <v>МСМК</v>
      </c>
      <c r="J246" s="91" t="str">
        <f t="shared" si="43"/>
        <v>МСМК</v>
      </c>
      <c r="K246" s="226"/>
      <c r="L246" s="222">
        <v>0</v>
      </c>
      <c r="M246" s="91" t="str">
        <f t="shared" si="44"/>
        <v>МСМК</v>
      </c>
      <c r="N246" s="91" t="str">
        <f t="shared" si="45"/>
        <v>МСМК</v>
      </c>
      <c r="Q246" s="91" t="str">
        <f t="shared" si="46"/>
        <v xml:space="preserve"> </v>
      </c>
    </row>
    <row r="247" spans="3:27" hidden="1" x14ac:dyDescent="0.2">
      <c r="C247" s="3"/>
      <c r="D247" s="4"/>
      <c r="E247" s="4"/>
      <c r="F247" s="3"/>
      <c r="G247" s="3"/>
      <c r="H247" s="222">
        <v>0</v>
      </c>
      <c r="I247" s="91" t="str">
        <f t="shared" si="42"/>
        <v>МСМК</v>
      </c>
      <c r="J247" s="91" t="str">
        <f t="shared" si="43"/>
        <v>МСМК</v>
      </c>
      <c r="K247" s="226"/>
      <c r="L247" s="222">
        <v>0</v>
      </c>
      <c r="M247" s="91" t="str">
        <f t="shared" si="44"/>
        <v>МСМК</v>
      </c>
      <c r="N247" s="91" t="str">
        <f t="shared" si="45"/>
        <v>МСМК</v>
      </c>
      <c r="Q247" s="91" t="str">
        <f t="shared" si="46"/>
        <v xml:space="preserve"> </v>
      </c>
    </row>
    <row r="248" spans="3:27" hidden="1" x14ac:dyDescent="0.2">
      <c r="C248" s="3"/>
      <c r="D248" s="4"/>
      <c r="E248" s="4"/>
      <c r="F248" s="3"/>
      <c r="G248" s="3"/>
      <c r="H248" s="222"/>
      <c r="I248" s="217"/>
      <c r="J248" s="217"/>
      <c r="K248" s="235"/>
      <c r="L248" s="217"/>
      <c r="M248" s="217"/>
      <c r="N248" s="217"/>
      <c r="P248" s="233"/>
      <c r="Q248" s="217"/>
      <c r="R248" s="233"/>
      <c r="S248" s="233"/>
      <c r="T248" s="242"/>
      <c r="U248" s="242"/>
      <c r="V248" s="242"/>
      <c r="W248" s="242"/>
      <c r="X248" s="242"/>
      <c r="Y248" s="242"/>
      <c r="Z248" s="242"/>
      <c r="AA248" s="242"/>
    </row>
    <row r="249" spans="3:27" hidden="1" x14ac:dyDescent="0.2">
      <c r="C249" s="58" t="s">
        <v>400</v>
      </c>
      <c r="D249" s="217"/>
      <c r="E249" s="217"/>
      <c r="F249" s="217"/>
      <c r="G249" s="217"/>
      <c r="H249" s="222"/>
      <c r="I249" s="217"/>
      <c r="J249" s="217"/>
      <c r="K249" s="235"/>
      <c r="L249" s="217"/>
      <c r="M249" s="217"/>
      <c r="N249" s="217"/>
      <c r="P249" s="224"/>
      <c r="Q249" s="217"/>
      <c r="R249" s="224"/>
      <c r="S249" s="224"/>
      <c r="T249" s="224"/>
      <c r="U249" s="224"/>
      <c r="V249" s="224"/>
      <c r="W249" s="224"/>
      <c r="X249" s="224"/>
      <c r="Y249" s="224"/>
      <c r="Z249" s="224"/>
      <c r="AA249" s="224"/>
    </row>
    <row r="250" spans="3:27" hidden="1" x14ac:dyDescent="0.2">
      <c r="C250" s="217"/>
      <c r="D250" s="217"/>
      <c r="E250" s="217"/>
      <c r="F250" s="217"/>
      <c r="G250" s="217"/>
      <c r="H250" s="222">
        <v>0</v>
      </c>
      <c r="I250" s="91" t="str">
        <f t="shared" ref="I250:I255" si="47">IF(ISBLANK(H250), " ", IF(ISTEXT(H250), " ", IF(H250&lt;=250.2, "МСМК", IF(H250&lt;=259.2, "МС", IF(H250&lt;=307.7, "КМС", IF(H250&lt;=321, "I", IF(H250&lt;=338, "II", IF(H250&lt;=356.5, "III", "б/р"))))))))</f>
        <v>МСМК</v>
      </c>
      <c r="J250" s="91" t="str">
        <f t="shared" ref="J250:J255" si="48">IF(ISBLANK(H250), " ", IF(ISTEXT(H250), " ", IF(H250&lt;=250.2, "МСМК", IF(H250&lt;=259.2, "МС", IF(H250&lt;=307.7, "КМС", IF(H250&lt;=321, "I", IF(H250&lt;=338, "II", IF(H250&lt;=356.5, "III", "б/р"))))))))</f>
        <v>МСМК</v>
      </c>
      <c r="K250" s="226"/>
      <c r="L250" s="222">
        <v>0</v>
      </c>
      <c r="M250" s="91" t="str">
        <f t="shared" ref="M250:M255" si="49">IF(ISBLANK(L250), " ", IF(ISTEXT(L250), " ", IF(L250&lt;=250.2, "МСМК", IF(L250&lt;=259.2, "МС", IF(L250&lt;=307.7, "КМС", IF(L250&lt;=321, "I", IF(L250&lt;=338, "II", IF(L250&lt;=356.5, "III", "б/р"))))))))</f>
        <v>МСМК</v>
      </c>
      <c r="N250" s="91" t="str">
        <f t="shared" ref="N250:N255" si="50">IF(ISBLANK(L250), " ", IF(ISTEXT(L250), " ", IF(L250&lt;=250.2, "МСМК", IF(L250&lt;=259.2, "МС", IF(L250&lt;=307.7, "КМС", IF(L250&lt;=321, "I", IF(L250&lt;=338, "II", IF(L250&lt;=356.5, "III", "б/р"))))))))</f>
        <v>МСМК</v>
      </c>
      <c r="Q250" s="91" t="str">
        <f t="shared" ref="Q250:Q255" si="51">IF(ISBLANK(P250), " ", IF(ISTEXT(P250), " ", IF(P250&lt;=250.2, "МСМК", IF(P250&lt;=259.2, "МС", IF(P250&lt;=307.7, "КМС", IF(P250&lt;=321, "I", IF(P250&lt;=338, "II", IF(P250&lt;=356.5, "III", "б/р"))))))))</f>
        <v xml:space="preserve"> </v>
      </c>
    </row>
    <row r="251" spans="3:27" hidden="1" x14ac:dyDescent="0.2">
      <c r="C251" s="217"/>
      <c r="D251" s="217"/>
      <c r="E251" s="217"/>
      <c r="F251" s="217"/>
      <c r="G251" s="217"/>
      <c r="H251" s="222">
        <v>0</v>
      </c>
      <c r="I251" s="91" t="str">
        <f t="shared" si="47"/>
        <v>МСМК</v>
      </c>
      <c r="J251" s="91" t="str">
        <f t="shared" si="48"/>
        <v>МСМК</v>
      </c>
      <c r="K251" s="226"/>
      <c r="L251" s="222">
        <v>0</v>
      </c>
      <c r="M251" s="91" t="str">
        <f t="shared" si="49"/>
        <v>МСМК</v>
      </c>
      <c r="N251" s="91" t="str">
        <f t="shared" si="50"/>
        <v>МСМК</v>
      </c>
      <c r="Q251" s="91" t="str">
        <f t="shared" si="51"/>
        <v xml:space="preserve"> </v>
      </c>
    </row>
    <row r="252" spans="3:27" hidden="1" x14ac:dyDescent="0.2">
      <c r="C252" s="217"/>
      <c r="D252" s="217"/>
      <c r="E252" s="217"/>
      <c r="F252" s="217"/>
      <c r="G252" s="217"/>
      <c r="H252" s="222">
        <v>0</v>
      </c>
      <c r="I252" s="91" t="str">
        <f t="shared" si="47"/>
        <v>МСМК</v>
      </c>
      <c r="J252" s="91" t="str">
        <f t="shared" si="48"/>
        <v>МСМК</v>
      </c>
      <c r="K252" s="226"/>
      <c r="L252" s="222">
        <v>0</v>
      </c>
      <c r="M252" s="91" t="str">
        <f t="shared" si="49"/>
        <v>МСМК</v>
      </c>
      <c r="N252" s="91" t="str">
        <f t="shared" si="50"/>
        <v>МСМК</v>
      </c>
      <c r="Q252" s="91" t="str">
        <f t="shared" si="51"/>
        <v xml:space="preserve"> </v>
      </c>
    </row>
    <row r="253" spans="3:27" hidden="1" x14ac:dyDescent="0.2">
      <c r="C253" s="217"/>
      <c r="D253" s="217"/>
      <c r="E253" s="217"/>
      <c r="F253" s="217"/>
      <c r="G253" s="217"/>
      <c r="H253" s="222">
        <v>0</v>
      </c>
      <c r="I253" s="91" t="str">
        <f t="shared" si="47"/>
        <v>МСМК</v>
      </c>
      <c r="J253" s="91" t="str">
        <f t="shared" si="48"/>
        <v>МСМК</v>
      </c>
      <c r="K253" s="226"/>
      <c r="L253" s="222">
        <v>0</v>
      </c>
      <c r="M253" s="91" t="str">
        <f t="shared" si="49"/>
        <v>МСМК</v>
      </c>
      <c r="N253" s="91" t="str">
        <f t="shared" si="50"/>
        <v>МСМК</v>
      </c>
      <c r="Q253" s="91" t="str">
        <f t="shared" si="51"/>
        <v xml:space="preserve"> </v>
      </c>
    </row>
    <row r="254" spans="3:27" hidden="1" x14ac:dyDescent="0.2">
      <c r="C254" s="217"/>
      <c r="D254" s="217"/>
      <c r="E254" s="217"/>
      <c r="F254" s="217"/>
      <c r="G254" s="217"/>
      <c r="H254" s="222">
        <v>0</v>
      </c>
      <c r="I254" s="91" t="str">
        <f t="shared" si="47"/>
        <v>МСМК</v>
      </c>
      <c r="J254" s="91" t="str">
        <f t="shared" si="48"/>
        <v>МСМК</v>
      </c>
      <c r="K254" s="226"/>
      <c r="L254" s="222">
        <v>0</v>
      </c>
      <c r="M254" s="91" t="str">
        <f t="shared" si="49"/>
        <v>МСМК</v>
      </c>
      <c r="N254" s="91" t="str">
        <f t="shared" si="50"/>
        <v>МСМК</v>
      </c>
      <c r="Q254" s="91" t="str">
        <f t="shared" si="51"/>
        <v xml:space="preserve"> </v>
      </c>
    </row>
    <row r="255" spans="3:27" hidden="1" x14ac:dyDescent="0.2">
      <c r="C255" s="217"/>
      <c r="D255" s="217"/>
      <c r="E255" s="217"/>
      <c r="F255" s="217"/>
      <c r="G255" s="217"/>
      <c r="H255" s="222">
        <v>0</v>
      </c>
      <c r="I255" s="91" t="str">
        <f t="shared" si="47"/>
        <v>МСМК</v>
      </c>
      <c r="J255" s="91" t="str">
        <f t="shared" si="48"/>
        <v>МСМК</v>
      </c>
      <c r="K255" s="226"/>
      <c r="L255" s="222">
        <v>0</v>
      </c>
      <c r="M255" s="91" t="str">
        <f t="shared" si="49"/>
        <v>МСМК</v>
      </c>
      <c r="N255" s="91" t="str">
        <f t="shared" si="50"/>
        <v>МСМК</v>
      </c>
      <c r="Q255" s="91" t="str">
        <f t="shared" si="51"/>
        <v xml:space="preserve"> </v>
      </c>
    </row>
    <row r="256" spans="3:27" hidden="1" x14ac:dyDescent="0.2">
      <c r="C256" s="217"/>
      <c r="D256" s="217"/>
      <c r="E256" s="217"/>
      <c r="F256" s="217"/>
      <c r="G256" s="217"/>
      <c r="H256" s="222"/>
      <c r="I256" s="217"/>
      <c r="J256" s="217"/>
      <c r="K256" s="226"/>
      <c r="L256" s="217"/>
      <c r="M256" s="217"/>
      <c r="N256" s="217"/>
      <c r="Q256" s="217"/>
    </row>
    <row r="257" spans="3:27" x14ac:dyDescent="0.2">
      <c r="C257" s="58" t="s">
        <v>401</v>
      </c>
      <c r="D257" s="106"/>
      <c r="E257" s="106"/>
      <c r="F257" s="58"/>
      <c r="G257" s="58"/>
      <c r="H257" s="221"/>
      <c r="I257" s="217"/>
      <c r="J257" s="217"/>
      <c r="K257" s="235"/>
      <c r="L257" s="217"/>
      <c r="M257" s="217"/>
      <c r="N257" s="217"/>
      <c r="Q257" s="217"/>
    </row>
    <row r="258" spans="3:27" x14ac:dyDescent="0.2">
      <c r="C258" s="3"/>
      <c r="D258" s="4"/>
      <c r="E258" s="4"/>
      <c r="F258" s="3"/>
      <c r="G258" s="3"/>
      <c r="H258" s="222">
        <v>305</v>
      </c>
      <c r="I258" s="91" t="str">
        <f>IF(ISBLANK(H258), " ", IF(ISTEXT(H258), " ", IF(H258&lt;=Нормативы!$H$258, "МСМК", IF(H258&lt;=Нормативы!$H$259, "МС", IF(H258&lt;=Нормативы!$H$260, "КМС", IF(H258&lt;=Нормативы!$H$261, "I", IF(H258&lt;=Нормативы!$H$262, "II", IF(H258&lt;=Нормативы!$H$263, "III", "б/р"))))))))</f>
        <v>МСМК</v>
      </c>
      <c r="J258" s="91" t="str">
        <f>IF(ISBLANK(H258), " ", IF(ISTEXT(H258), " ", IF(H258&lt;=Нормативы!$H$258, "МСМК", IF(H258&lt;=Нормативы!$H$259, "МС", IF(H258&lt;=Нормативы!$H$260, "КМС", IF(H258&lt;=Нормативы!$H$261, "I", IF(H258&lt;=Нормативы!$H$262, "II", IF(H258&lt;=Нормативы!$H$263, "III", "б/р"))))))))</f>
        <v>МСМК</v>
      </c>
      <c r="K258" s="226"/>
      <c r="L258" s="222"/>
      <c r="M258" s="91" t="str">
        <f>IF(ISBLANK(L258), " ", IF(ISTEXT(L258), " ", IF(L258&lt;=Нормативы!$H$258, "КМС", IF(L258&lt;=Нормативы!$H$259, "КМС", IF(L258&lt;=Нормативы!$L$260, "КМС", IF(L258&lt;=Нормативы!$L$261, "I", IF(L258&lt;=Нормативы!$L$262, "II", IF(L258&lt;=Нормативы!$L$263, "III", "б/р"))))))))</f>
        <v xml:space="preserve"> </v>
      </c>
      <c r="N258" s="91" t="str">
        <f>IF(ISBLANK(L258), " ", IF(ISTEXT(L258), " ", IF(L258&lt;=304.6, "МСМК", IF(L258&lt;=314.4, "МС", IF(L258&lt;=323, "КМС", IF(L258&lt;=338, "I", IF(L258&lt;=356, "II", IF(L258&lt;=415, "III", "б/р"))))))))</f>
        <v xml:space="preserve"> </v>
      </c>
      <c r="Q258" s="91" t="str">
        <f t="shared" ref="Q258:Q263" si="52">IF(ISBLANK(P258), " ", IF(ISTEXT(P258), " ", IF(P258&lt;=$H$258, "МСМК", IF(P258&lt;=$H$259, "МС", IF(P258&lt;=$H$260, "КМС", IF(P258&lt;=$H$261, "I", IF(P258&lt;=$H$262, "II", IF(P258&lt;=$H$263, "III", "б/р"))))))))</f>
        <v xml:space="preserve"> </v>
      </c>
    </row>
    <row r="259" spans="3:27" x14ac:dyDescent="0.2">
      <c r="C259" s="3"/>
      <c r="D259" s="4"/>
      <c r="E259" s="4"/>
      <c r="F259" s="3"/>
      <c r="G259" s="3"/>
      <c r="H259" s="222">
        <v>314.60000000000002</v>
      </c>
      <c r="I259" s="91" t="str">
        <f>IF(ISBLANK(H259), " ", IF(ISTEXT(H259), " ", IF(H259&lt;=Нормативы!$H$258, "МСМК", IF(H259&lt;=Нормативы!$H$259, "МС", IF(H259&lt;=Нормативы!$H$260, "КМС", IF(H259&lt;=Нормативы!$H$261, "I", IF(H259&lt;=Нормативы!$H$262, "II", IF(H259&lt;=Нормативы!$H$263, "III", "б/р"))))))))</f>
        <v>МС</v>
      </c>
      <c r="J259" s="91" t="str">
        <f>IF(ISBLANK(H259), " ", IF(ISTEXT(H259), " ", IF(H259&lt;=Нормативы!$H$258, "МСМК", IF(H259&lt;=Нормативы!$H$259, "МС", IF(H259&lt;=Нормативы!$H$260, "КМС", IF(H259&lt;=Нормативы!$H$261, "I", IF(H259&lt;=Нормативы!$H$262, "II", IF(H259&lt;=Нормативы!$H$263, "III", "б/р"))))))))</f>
        <v>МС</v>
      </c>
      <c r="K259" s="226"/>
      <c r="L259" s="222"/>
      <c r="M259" s="91" t="str">
        <f>IF(ISBLANK(L259), " ", IF(ISTEXT(L259), " ", IF(L259&lt;=Нормативы!$H$258, "КМС", IF(L259&lt;=Нормативы!$H$259, "КМС", IF(L259&lt;=Нормативы!$L$260, "КМС", IF(L259&lt;=Нормативы!$L$261, "I", IF(L259&lt;=Нормативы!$L$262, "II", IF(L259&lt;=Нормативы!$L$263, "III", "б/р"))))))))</f>
        <v xml:space="preserve"> </v>
      </c>
      <c r="N259" s="91" t="str">
        <f>IF(ISBLANK(L259), " ", IF(ISTEXT(L259), " ", IF(L259&lt;=304.6, "МСМК", IF(L259&lt;=314.4, "МС", IF(L259&lt;=323, "КМС", IF(L259&lt;=338, "I", IF(L259&lt;=356, "II", IF(L259&lt;=415, "III", "б/р"))))))))</f>
        <v xml:space="preserve"> </v>
      </c>
      <c r="Q259" s="91" t="str">
        <f t="shared" si="52"/>
        <v xml:space="preserve"> </v>
      </c>
    </row>
    <row r="260" spans="3:27" x14ac:dyDescent="0.2">
      <c r="C260" s="3"/>
      <c r="D260" s="4"/>
      <c r="E260" s="4"/>
      <c r="F260" s="3"/>
      <c r="G260" s="3"/>
      <c r="H260" s="222">
        <v>323</v>
      </c>
      <c r="I260" s="91" t="str">
        <f>IF(ISBLANK(H260), " ", IF(ISTEXT(H260), " ", IF(H260&lt;=Нормативы!$H$258, "МСМК", IF(H260&lt;=Нормативы!$H$259, "МС", IF(H260&lt;=Нормативы!$H$260, "КМС", IF(H260&lt;=Нормативы!$H$261, "I", IF(H260&lt;=Нормативы!$H$262, "II", IF(H260&lt;=Нормативы!$H$263, "III", "б/р"))))))))</f>
        <v>КМС</v>
      </c>
      <c r="J260" s="91" t="str">
        <f>IF(ISBLANK(H260), " ", IF(ISTEXT(H260), " ", IF(H260&lt;=Нормативы!$H$258, "МСМК", IF(H260&lt;=Нормативы!$H$259, "МС", IF(H260&lt;=Нормативы!$H$260, "КМС", IF(H260&lt;=Нормативы!$H$261, "I", IF(H260&lt;=Нормативы!$H$262, "II", IF(H260&lt;=Нормативы!$H$263, "III", "б/р"))))))))</f>
        <v>КМС</v>
      </c>
      <c r="K260" s="226"/>
      <c r="L260" s="225">
        <f>H260-0.2</f>
        <v>322.8</v>
      </c>
      <c r="M260" s="91" t="str">
        <f>IF(ISBLANK(L260), " ", IF(ISTEXT(L260), " ", IF(L260&lt;=Нормативы!$H$258, "КМС", IF(L260&lt;=Нормативы!$H$259, "КМС", IF(L260&lt;=Нормативы!$L$260, "КМС", IF(L260&lt;=Нормативы!$L$261, "I", IF(L260&lt;=Нормативы!$L$262, "II", IF(L260&lt;=Нормативы!$L$263, "III", "б/р"))))))))</f>
        <v>КМС</v>
      </c>
      <c r="N260" s="91" t="str">
        <f>IF(ISBLANK(L260), " ", IF(ISTEXT(L260), " ", IF(L260&lt;=Нормативы!$H$258, "КМС", IF(L260&lt;=Нормативы!$H$259, "КМС", IF(L260&lt;=Нормативы!$L$260, "КМС", IF(L260&lt;=Нормативы!$L$261, "I", IF(L260&lt;=Нормативы!$L$262, "II", IF(L260&lt;=Нормативы!$L$263, "III", "б/р"))))))))</f>
        <v>КМС</v>
      </c>
      <c r="Q260" s="91" t="str">
        <f t="shared" si="52"/>
        <v xml:space="preserve"> </v>
      </c>
    </row>
    <row r="261" spans="3:27" x14ac:dyDescent="0.2">
      <c r="C261" s="3"/>
      <c r="D261" s="4"/>
      <c r="E261" s="4"/>
      <c r="F261" s="3"/>
      <c r="G261" s="3"/>
      <c r="H261" s="222">
        <v>338</v>
      </c>
      <c r="I261" s="91" t="str">
        <f>IF(ISBLANK(H261), " ", IF(ISTEXT(H261), " ", IF(H261&lt;=Нормативы!$H$258, "МСМК", IF(H261&lt;=Нормативы!$H$259, "МС", IF(H261&lt;=Нормативы!$H$260, "КМС", IF(H261&lt;=Нормативы!$H$261, "I", IF(H261&lt;=Нормативы!$H$262, "II", IF(H261&lt;=Нормативы!$H$263, "III", "б/р"))))))))</f>
        <v>I</v>
      </c>
      <c r="J261" s="91" t="str">
        <f>IF(ISBLANK(H261), " ", IF(ISTEXT(H261), " ", IF(H261&lt;=Нормативы!$H$258, "МСМК", IF(H261&lt;=Нормативы!$H$259, "МС", IF(H261&lt;=Нормативы!$H$260, "КМС", IF(H261&lt;=Нормативы!$H$261, "I", IF(H261&lt;=Нормативы!$H$262, "II", IF(H261&lt;=Нормативы!$H$263, "III", "б/р"))))))))</f>
        <v>I</v>
      </c>
      <c r="K261" s="226"/>
      <c r="L261" s="225">
        <f>H261-0.2</f>
        <v>337.8</v>
      </c>
      <c r="M261" s="91" t="str">
        <f>IF(ISBLANK(L261), " ", IF(ISTEXT(L261), " ", IF(L261&lt;=Нормативы!$H$258, "КМС", IF(L261&lt;=Нормативы!$H$259, "КМС", IF(L261&lt;=Нормативы!$L$260, "КМС", IF(L261&lt;=Нормативы!$L$261, "I", IF(L261&lt;=Нормативы!$L$262, "II", IF(L261&lt;=Нормативы!$L$263, "III", "б/р"))))))))</f>
        <v>I</v>
      </c>
      <c r="N261" s="91" t="str">
        <f>IF(ISBLANK(L261), " ", IF(ISTEXT(L261), " ", IF(L261&lt;=Нормативы!$H$258, "КМС", IF(L261&lt;=Нормативы!$H$259, "КМС", IF(L261&lt;=Нормативы!$L$260, "КМС", IF(L261&lt;=Нормативы!$L$261, "I", IF(L261&lt;=Нормативы!$L$262, "II", IF(L261&lt;=Нормативы!$L$263, "III", "б/р"))))))))</f>
        <v>I</v>
      </c>
      <c r="Q261" s="91" t="str">
        <f t="shared" si="52"/>
        <v xml:space="preserve"> </v>
      </c>
    </row>
    <row r="262" spans="3:27" x14ac:dyDescent="0.2">
      <c r="C262" s="3"/>
      <c r="D262" s="4"/>
      <c r="E262" s="4"/>
      <c r="F262" s="3"/>
      <c r="G262" s="3"/>
      <c r="H262" s="222">
        <v>355.7</v>
      </c>
      <c r="I262" s="91" t="str">
        <f>IF(ISBLANK(H262), " ", IF(ISTEXT(H262), " ", IF(H262&lt;=Нормативы!$H$258, "МСМК", IF(H262&lt;=Нормативы!$H$259, "МС", IF(H262&lt;=Нормативы!$H$260, "КМС", IF(H262&lt;=Нормативы!$H$261, "I", IF(H262&lt;=Нормативы!$H$262, "II", IF(H262&lt;=Нормативы!$H$263, "III", "б/р"))))))))</f>
        <v>II</v>
      </c>
      <c r="J262" s="91" t="str">
        <f>IF(ISBLANK(H262), " ", IF(ISTEXT(H262), " ", IF(H262&lt;=Нормативы!$H$258, "МСМК", IF(H262&lt;=Нормативы!$H$259, "МС", IF(H262&lt;=Нормативы!$H$260, "КМС", IF(H262&lt;=Нормативы!$H$261, "I", IF(H262&lt;=Нормативы!$H$262, "II", IF(H262&lt;=Нормативы!$H$263, "III", "б/р"))))))))</f>
        <v>II</v>
      </c>
      <c r="K262" s="226"/>
      <c r="L262" s="225">
        <f>H262-0.2</f>
        <v>355.5</v>
      </c>
      <c r="M262" s="91" t="str">
        <f>IF(ISBLANK(L262), " ", IF(ISTEXT(L262), " ", IF(L262&lt;=Нормативы!$H$258, "КМС", IF(L262&lt;=Нормативы!$H$259, "КМС", IF(L262&lt;=Нормативы!$L$260, "КМС", IF(L262&lt;=Нормативы!$L$261, "I", IF(L262&lt;=Нормативы!$L$262, "II", IF(L262&lt;=Нормативы!$L$263, "III", "б/р"))))))))</f>
        <v>II</v>
      </c>
      <c r="N262" s="91" t="str">
        <f>IF(ISBLANK(L262), " ", IF(ISTEXT(L262), " ", IF(L262&lt;=Нормативы!$H$258, "КМС", IF(L262&lt;=Нормативы!$H$259, "КМС", IF(L262&lt;=Нормативы!$L$260, "КМС", IF(L262&lt;=Нормативы!$L$261, "I", IF(L262&lt;=Нормативы!$L$262, "II", IF(L262&lt;=Нормативы!$L$263, "III", "б/р"))))))))</f>
        <v>II</v>
      </c>
      <c r="Q262" s="91" t="str">
        <f t="shared" si="52"/>
        <v xml:space="preserve"> </v>
      </c>
    </row>
    <row r="263" spans="3:27" x14ac:dyDescent="0.2">
      <c r="C263" s="3"/>
      <c r="D263" s="4"/>
      <c r="E263" s="4"/>
      <c r="F263" s="3"/>
      <c r="G263" s="3"/>
      <c r="H263" s="222">
        <v>413.8</v>
      </c>
      <c r="I263" s="91" t="str">
        <f>IF(ISBLANK(H263), " ", IF(ISTEXT(H263), " ", IF(H263&lt;=Нормативы!$H$258, "МСМК", IF(H263&lt;=Нормативы!$H$259, "МС", IF(H263&lt;=Нормативы!$H$260, "КМС", IF(H263&lt;=Нормативы!$H$261, "I", IF(H263&lt;=Нормативы!$H$262, "II", IF(H263&lt;=Нормативы!$H$263, "III", "б/р"))))))))</f>
        <v>III</v>
      </c>
      <c r="J263" s="91" t="str">
        <f>IF(ISBLANK(H263), " ", IF(ISTEXT(H263), " ", IF(H263&lt;=Нормативы!$H$258, "МСМК", IF(H263&lt;=Нормативы!$H$259, "МС", IF(H263&lt;=Нормативы!$H$260, "КМС", IF(H263&lt;=Нормативы!$H$261, "I", IF(H263&lt;=Нормативы!$H$262, "II", IF(H263&lt;=Нормативы!$H$263, "III", "б/р"))))))))</f>
        <v>III</v>
      </c>
      <c r="K263" s="226"/>
      <c r="L263" s="225">
        <f>H263-0.2</f>
        <v>413.6</v>
      </c>
      <c r="M263" s="91" t="str">
        <f>IF(ISBLANK(L263), " ", IF(ISTEXT(L263), " ", IF(L263&lt;=Нормативы!$H$258, "КМС", IF(L263&lt;=Нормативы!$H$259, "КМС", IF(L263&lt;=Нормативы!$L$260, "КМС", IF(L263&lt;=Нормативы!$L$261, "I", IF(L263&lt;=Нормативы!$L$262, "II", IF(L263&lt;=Нормативы!$L$263, "III", "б/р"))))))))</f>
        <v>III</v>
      </c>
      <c r="N263" s="91" t="str">
        <f>IF(ISBLANK(L263), " ", IF(ISTEXT(L263), " ", IF(L263&lt;=Нормативы!$H$258, "КМС", IF(L263&lt;=Нормативы!$H$259, "КМС", IF(L263&lt;=Нормативы!$L$260, "КМС", IF(L263&lt;=Нормативы!$L$261, "I", IF(L263&lt;=Нормативы!$L$262, "II", IF(L263&lt;=Нормативы!$L$263, "III", "б/р"))))))))</f>
        <v>III</v>
      </c>
      <c r="Q263" s="91" t="str">
        <f t="shared" si="52"/>
        <v xml:space="preserve"> </v>
      </c>
    </row>
    <row r="264" spans="3:27" x14ac:dyDescent="0.2">
      <c r="C264" s="3"/>
      <c r="D264" s="4"/>
      <c r="E264" s="4"/>
      <c r="F264" s="3"/>
      <c r="G264" s="3"/>
      <c r="H264" s="222"/>
      <c r="I264" s="217"/>
      <c r="J264" s="217"/>
      <c r="K264" s="235"/>
      <c r="L264" s="217"/>
      <c r="M264" s="217"/>
      <c r="N264" s="217"/>
      <c r="P264" s="233"/>
      <c r="Q264" s="217"/>
      <c r="R264" s="233"/>
      <c r="S264" s="233"/>
      <c r="T264" s="242"/>
      <c r="U264" s="242"/>
      <c r="V264" s="242"/>
      <c r="W264" s="242"/>
      <c r="X264" s="242"/>
      <c r="Y264" s="242"/>
      <c r="Z264" s="242"/>
      <c r="AA264" s="242"/>
    </row>
    <row r="265" spans="3:27" x14ac:dyDescent="0.2">
      <c r="C265" s="58" t="s">
        <v>402</v>
      </c>
      <c r="D265" s="217"/>
      <c r="E265" s="217"/>
      <c r="F265" s="217"/>
      <c r="G265" s="217"/>
      <c r="H265" s="222"/>
      <c r="I265" s="217"/>
      <c r="J265" s="217"/>
      <c r="K265" s="235"/>
      <c r="L265" s="217"/>
      <c r="M265" s="217"/>
      <c r="N265" s="217"/>
      <c r="P265" s="224"/>
      <c r="Q265" s="217"/>
      <c r="R265" s="224"/>
      <c r="S265" s="224"/>
      <c r="T265" s="224"/>
      <c r="U265" s="224"/>
      <c r="V265" s="224"/>
      <c r="W265" s="224"/>
      <c r="X265" s="224"/>
      <c r="Y265" s="224"/>
      <c r="Z265" s="224"/>
      <c r="AA265" s="224"/>
    </row>
    <row r="266" spans="3:27" x14ac:dyDescent="0.2">
      <c r="C266" s="217"/>
      <c r="D266" s="217"/>
      <c r="E266" s="217"/>
      <c r="F266" s="217"/>
      <c r="G266" s="217"/>
      <c r="H266" s="222">
        <v>250</v>
      </c>
      <c r="I266" s="91" t="str">
        <f>IF(ISBLANK(H266), " ", IF(ISTEXT(H266), " ", IF(H266&lt;=Нормативы!$H$266, "МСМК", IF(H266&lt;=Нормативы!$H$267, "МС", IF(H266&lt;=Нормативы!$H$268, "КМС", IF(H266&lt;=Нормативы!$H$269, "I", IF(H266&lt;=Нормативы!$H$270, "II", IF(H266&lt;=Нормативы!$H$271, "III", "б/р"))))))))</f>
        <v>МСМК</v>
      </c>
      <c r="J266" s="91" t="str">
        <f>IF(ISBLANK(H266), " ", IF(ISTEXT(H266), " ", IF(H266&lt;=Нормативы!$H$266, "МСМК", IF(H266&lt;=Нормативы!$H$267, "МС", IF(H266&lt;=Нормативы!$H$268, "КМС", IF(H266&lt;=Нормативы!$H$269, "I", IF(H266&lt;=Нормативы!$H$270, "II", IF(H266&lt;=Нормативы!$H$271, "III", "б/р"))))))))</f>
        <v>МСМК</v>
      </c>
      <c r="K266" s="226"/>
      <c r="L266" s="222"/>
      <c r="M266" s="91" t="str">
        <f>IF(ISBLANK(L266), " ", IF(ISTEXT(L266), " ", IF(L266&lt;=Нормативы!$H$266, "КМС", IF(L266&lt;=Нормативы!$H$267, "КМС", IF(L266&lt;=Нормативы!$L$268, "КМС", IF(L266&lt;=Нормативы!$L$269, "I", IF(L266&lt;=Нормативы!$L$270, "II", IF(L266&lt;=Нормативы!$L$271, "III", "б/р"))))))))</f>
        <v xml:space="preserve"> </v>
      </c>
      <c r="N266" s="91" t="str">
        <f>IF(ISBLANK(L266), " ", IF(ISTEXT(L266), " ", IF(L266&lt;=250.2, "МСМК", IF(L266&lt;=259.2, "МС", IF(L266&lt;=307.7, "КМС", IF(L266&lt;=321, "I", IF(L266&lt;=338, "II", IF(L266&lt;=356.5, "III", "б/р"))))))))</f>
        <v xml:space="preserve"> </v>
      </c>
      <c r="Q266" s="91" t="str">
        <f t="shared" ref="Q266:Q271" si="53">IF(ISBLANK(P266), " ", IF(ISTEXT(P266), " ", IF(P266&lt;=$H$266, "МСМК", IF(P266&lt;=$H$267, "МС", IF(P266&lt;=$H$268, "КМС", IF(P266&lt;=$H$269, "I", IF(P266&lt;=$H$270, "II", IF(P266&lt;=$H$271, "III", "б/р"))))))))</f>
        <v xml:space="preserve"> </v>
      </c>
    </row>
    <row r="267" spans="3:27" x14ac:dyDescent="0.2">
      <c r="C267" s="217"/>
      <c r="D267" s="217"/>
      <c r="E267" s="217"/>
      <c r="F267" s="217"/>
      <c r="G267" s="217"/>
      <c r="H267" s="222">
        <v>259</v>
      </c>
      <c r="I267" s="91" t="str">
        <f>IF(ISBLANK(H267), " ", IF(ISTEXT(H267), " ", IF(H267&lt;=Нормативы!$H$266, "МСМК", IF(H267&lt;=Нормативы!$H$267, "МС", IF(H267&lt;=Нормативы!$H$268, "КМС", IF(H267&lt;=Нормативы!$H$269, "I", IF(H267&lt;=Нормативы!$H$270, "II", IF(H267&lt;=Нормативы!$H$271, "III", "б/р"))))))))</f>
        <v>МС</v>
      </c>
      <c r="J267" s="91" t="str">
        <f>IF(ISBLANK(H267), " ", IF(ISTEXT(H267), " ", IF(H267&lt;=Нормативы!$H$266, "МСМК", IF(H267&lt;=Нормативы!$H$267, "МС", IF(H267&lt;=Нормативы!$H$268, "КМС", IF(H267&lt;=Нормативы!$H$269, "I", IF(H267&lt;=Нормативы!$H$270, "II", IF(H267&lt;=Нормативы!$H$271, "III", "б/р"))))))))</f>
        <v>МС</v>
      </c>
      <c r="K267" s="226"/>
      <c r="L267" s="222"/>
      <c r="M267" s="91" t="str">
        <f>IF(ISBLANK(L267), " ", IF(ISTEXT(L267), " ", IF(L267&lt;=Нормативы!$H$266, "КМС", IF(L267&lt;=Нормативы!$H$267, "КМС", IF(L267&lt;=Нормативы!$L$268, "КМС", IF(L267&lt;=Нормативы!$L$269, "I", IF(L267&lt;=Нормативы!$L$270, "II", IF(L267&lt;=Нормативы!$L$271, "III", "б/р"))))))))</f>
        <v xml:space="preserve"> </v>
      </c>
      <c r="N267" s="91" t="str">
        <f>IF(ISBLANK(L267), " ", IF(ISTEXT(L267), " ", IF(L267&lt;=250.2, "МСМК", IF(L267&lt;=259.2, "МС", IF(L267&lt;=307.7, "КМС", IF(L267&lt;=321, "I", IF(L267&lt;=338, "II", IF(L267&lt;=356.5, "III", "б/р"))))))))</f>
        <v xml:space="preserve"> </v>
      </c>
      <c r="Q267" s="91" t="str">
        <f t="shared" si="53"/>
        <v xml:space="preserve"> </v>
      </c>
    </row>
    <row r="268" spans="3:27" x14ac:dyDescent="0.2">
      <c r="C268" s="217"/>
      <c r="D268" s="217"/>
      <c r="E268" s="217"/>
      <c r="F268" s="217"/>
      <c r="G268" s="217"/>
      <c r="H268" s="222">
        <v>307.5</v>
      </c>
      <c r="I268" s="91" t="str">
        <f>IF(ISBLANK(H268), " ", IF(ISTEXT(H268), " ", IF(H268&lt;=Нормативы!$H$266, "МСМК", IF(H268&lt;=Нормативы!$H$267, "МС", IF(H268&lt;=Нормативы!$H$268, "КМС", IF(H268&lt;=Нормативы!$H$269, "I", IF(H268&lt;=Нормативы!$H$270, "II", IF(H268&lt;=Нормативы!$H$271, "III", "б/р"))))))))</f>
        <v>КМС</v>
      </c>
      <c r="J268" s="91" t="str">
        <f>IF(ISBLANK(H268), " ", IF(ISTEXT(H268), " ", IF(H268&lt;=Нормативы!$H$266, "МСМК", IF(H268&lt;=Нормативы!$H$267, "МС", IF(H268&lt;=Нормативы!$H$268, "КМС", IF(H268&lt;=Нормативы!$H$269, "I", IF(H268&lt;=Нормативы!$H$270, "II", IF(H268&lt;=Нормативы!$H$271, "III", "б/р"))))))))</f>
        <v>КМС</v>
      </c>
      <c r="K268" s="226"/>
      <c r="L268" s="225">
        <f>H268-0.2</f>
        <v>307.3</v>
      </c>
      <c r="M268" s="91" t="str">
        <f>IF(ISBLANK(L268), " ", IF(ISTEXT(L268), " ", IF(L268&lt;=Нормативы!$H$266, "КМС", IF(L268&lt;=Нормативы!$H$267, "КМС", IF(L268&lt;=Нормативы!$L$268, "КМС", IF(L268&lt;=Нормативы!$L$269, "I", IF(L268&lt;=Нормативы!$L$270, "II", IF(L268&lt;=Нормативы!$L$271, "III", "б/р"))))))))</f>
        <v>КМС</v>
      </c>
      <c r="N268" s="91" t="str">
        <f>IF(ISBLANK(L268), " ", IF(ISTEXT(L268), " ", IF(L268&lt;=Нормативы!$H$266, "КМС", IF(L268&lt;=Нормативы!$H$267, "КМС", IF(L268&lt;=Нормативы!$L$268, "КМС", IF(L268&lt;=Нормативы!$L$269, "I", IF(L268&lt;=Нормативы!$L$270, "II", IF(L268&lt;=Нормативы!$L$271, "III", "б/р"))))))))</f>
        <v>КМС</v>
      </c>
      <c r="Q268" s="91" t="str">
        <f t="shared" si="53"/>
        <v xml:space="preserve"> </v>
      </c>
    </row>
    <row r="269" spans="3:27" x14ac:dyDescent="0.2">
      <c r="C269" s="217"/>
      <c r="D269" s="217"/>
      <c r="E269" s="217"/>
      <c r="F269" s="217"/>
      <c r="G269" s="217"/>
      <c r="H269" s="222">
        <v>321</v>
      </c>
      <c r="I269" s="91" t="str">
        <f>IF(ISBLANK(H269), " ", IF(ISTEXT(H269), " ", IF(H269&lt;=Нормативы!$H$266, "МСМК", IF(H269&lt;=Нормативы!$H$267, "МС", IF(H269&lt;=Нормативы!$H$268, "КМС", IF(H269&lt;=Нормативы!$H$269, "I", IF(H269&lt;=Нормативы!$H$270, "II", IF(H269&lt;=Нормативы!$H$271, "III", "б/р"))))))))</f>
        <v>I</v>
      </c>
      <c r="J269" s="91" t="str">
        <f>IF(ISBLANK(H269), " ", IF(ISTEXT(H269), " ", IF(H269&lt;=Нормативы!$H$266, "МСМК", IF(H269&lt;=Нормативы!$H$267, "МС", IF(H269&lt;=Нормативы!$H$268, "КМС", IF(H269&lt;=Нормативы!$H$269, "I", IF(H269&lt;=Нормативы!$H$270, "II", IF(H269&lt;=Нормативы!$H$271, "III", "б/р"))))))))</f>
        <v>I</v>
      </c>
      <c r="K269" s="226"/>
      <c r="L269" s="225">
        <f>H269-0.2</f>
        <v>320.8</v>
      </c>
      <c r="M269" s="91" t="str">
        <f>IF(ISBLANK(L269), " ", IF(ISTEXT(L269), " ", IF(L269&lt;=Нормативы!$H$266, "КМС", IF(L269&lt;=Нормативы!$H$267, "КМС", IF(L269&lt;=Нормативы!$L$268, "КМС", IF(L269&lt;=Нормативы!$L$269, "I", IF(L269&lt;=Нормативы!$L$270, "II", IF(L269&lt;=Нормативы!$L$271, "III", "б/р"))))))))</f>
        <v>I</v>
      </c>
      <c r="N269" s="91" t="str">
        <f>IF(ISBLANK(L269), " ", IF(ISTEXT(L269), " ", IF(L269&lt;=Нормативы!$H$266, "КМС", IF(L269&lt;=Нормативы!$H$267, "КМС", IF(L269&lt;=Нормативы!$L$268, "КМС", IF(L269&lt;=Нормативы!$L$269, "I", IF(L269&lt;=Нормативы!$L$270, "II", IF(L269&lt;=Нормативы!$L$271, "III", "б/р"))))))))</f>
        <v>I</v>
      </c>
      <c r="Q269" s="91" t="str">
        <f t="shared" si="53"/>
        <v xml:space="preserve"> </v>
      </c>
    </row>
    <row r="270" spans="3:27" x14ac:dyDescent="0.2">
      <c r="C270" s="217"/>
      <c r="D270" s="217"/>
      <c r="E270" s="217"/>
      <c r="F270" s="217"/>
      <c r="G270" s="217"/>
      <c r="H270" s="222">
        <v>338</v>
      </c>
      <c r="I270" s="91" t="str">
        <f>IF(ISBLANK(H270), " ", IF(ISTEXT(H270), " ", IF(H270&lt;=Нормативы!$H$266, "МСМК", IF(H270&lt;=Нормативы!$H$267, "МС", IF(H270&lt;=Нормативы!$H$268, "КМС", IF(H270&lt;=Нормативы!$H$269, "I", IF(H270&lt;=Нормативы!$H$270, "II", IF(H270&lt;=Нормативы!$H$271, "III", "б/р"))))))))</f>
        <v>II</v>
      </c>
      <c r="J270" s="91" t="str">
        <f>IF(ISBLANK(H270), " ", IF(ISTEXT(H270), " ", IF(H270&lt;=Нормативы!$H$266, "МСМК", IF(H270&lt;=Нормативы!$H$267, "МС", IF(H270&lt;=Нормативы!$H$268, "КМС", IF(H270&lt;=Нормативы!$H$269, "I", IF(H270&lt;=Нормативы!$H$270, "II", IF(H270&lt;=Нормативы!$H$271, "III", "б/р"))))))))</f>
        <v>II</v>
      </c>
      <c r="K270" s="226"/>
      <c r="L270" s="225">
        <f>H270-0.2</f>
        <v>337.8</v>
      </c>
      <c r="M270" s="91" t="str">
        <f>IF(ISBLANK(L270), " ", IF(ISTEXT(L270), " ", IF(L270&lt;=Нормативы!$H$266, "КМС", IF(L270&lt;=Нормативы!$H$267, "КМС", IF(L270&lt;=Нормативы!$L$268, "КМС", IF(L270&lt;=Нормативы!$L$269, "I", IF(L270&lt;=Нормативы!$L$270, "II", IF(L270&lt;=Нормативы!$L$271, "III", "б/р"))))))))</f>
        <v>II</v>
      </c>
      <c r="N270" s="91" t="str">
        <f>IF(ISBLANK(L270), " ", IF(ISTEXT(L270), " ", IF(L270&lt;=Нормативы!$H$266, "КМС", IF(L270&lt;=Нормативы!$H$267, "КМС", IF(L270&lt;=Нормативы!$L$268, "КМС", IF(L270&lt;=Нормативы!$L$269, "I", IF(L270&lt;=Нормативы!$L$270, "II", IF(L270&lt;=Нормативы!$L$271, "III", "б/р"))))))))</f>
        <v>II</v>
      </c>
      <c r="Q270" s="91" t="str">
        <f t="shared" si="53"/>
        <v xml:space="preserve"> </v>
      </c>
    </row>
    <row r="271" spans="3:27" x14ac:dyDescent="0.2">
      <c r="C271" s="217"/>
      <c r="D271" s="217"/>
      <c r="E271" s="217"/>
      <c r="F271" s="217"/>
      <c r="G271" s="217"/>
      <c r="H271" s="222">
        <v>356.5</v>
      </c>
      <c r="I271" s="91" t="str">
        <f>IF(ISBLANK(H271), " ", IF(ISTEXT(H271), " ", IF(H271&lt;=Нормативы!$H$266, "МСМК", IF(H271&lt;=Нормативы!$H$267, "МС", IF(H271&lt;=Нормативы!$H$268, "КМС", IF(H271&lt;=Нормативы!$H$269, "I", IF(H271&lt;=Нормативы!$H$270, "II", IF(H271&lt;=Нормативы!$H$271, "III", "б/р"))))))))</f>
        <v>III</v>
      </c>
      <c r="J271" s="91" t="str">
        <f>IF(ISBLANK(H271), " ", IF(ISTEXT(H271), " ", IF(H271&lt;=Нормативы!$H$266, "МСМК", IF(H271&lt;=Нормативы!$H$267, "МС", IF(H271&lt;=Нормативы!$H$268, "КМС", IF(H271&lt;=Нормативы!$H$269, "I", IF(H271&lt;=Нормативы!$H$270, "II", IF(H271&lt;=Нормативы!$H$271, "III", "б/р"))))))))</f>
        <v>III</v>
      </c>
      <c r="K271" s="226"/>
      <c r="L271" s="225">
        <f>H271-0.2</f>
        <v>356.3</v>
      </c>
      <c r="M271" s="91" t="str">
        <f>IF(ISBLANK(L271), " ", IF(ISTEXT(L271), " ", IF(L271&lt;=Нормативы!$H$266, "КМС", IF(L271&lt;=Нормативы!$H$267, "КМС", IF(L271&lt;=Нормативы!$L$268, "КМС", IF(L271&lt;=Нормативы!$L$269, "I", IF(L271&lt;=Нормативы!$L$270, "II", IF(L271&lt;=Нормативы!$L$271, "III", "б/р"))))))))</f>
        <v>III</v>
      </c>
      <c r="N271" s="91" t="str">
        <f>IF(ISBLANK(L271), " ", IF(ISTEXT(L271), " ", IF(L271&lt;=Нормативы!$H$266, "КМС", IF(L271&lt;=Нормативы!$H$267, "КМС", IF(L271&lt;=Нормативы!$L$268, "КМС", IF(L271&lt;=Нормативы!$L$269, "I", IF(L271&lt;=Нормативы!$L$270, "II", IF(L271&lt;=Нормативы!$L$271, "III", "б/р"))))))))</f>
        <v>III</v>
      </c>
      <c r="Q271" s="91" t="str">
        <f t="shared" si="53"/>
        <v xml:space="preserve"> </v>
      </c>
    </row>
    <row r="272" spans="3:27" x14ac:dyDescent="0.2">
      <c r="C272" s="217"/>
      <c r="D272" s="217"/>
      <c r="E272" s="217"/>
      <c r="F272" s="217"/>
      <c r="G272" s="217"/>
      <c r="H272" s="222"/>
      <c r="I272" s="217"/>
      <c r="J272" s="217"/>
      <c r="K272" s="226"/>
      <c r="L272" s="217"/>
      <c r="M272" s="217"/>
      <c r="N272" s="217"/>
      <c r="Q272" s="217"/>
    </row>
    <row r="273" spans="3:17" hidden="1" x14ac:dyDescent="0.2">
      <c r="C273" s="58" t="s">
        <v>403</v>
      </c>
      <c r="D273" s="106"/>
      <c r="E273" s="106"/>
      <c r="F273" s="58"/>
      <c r="G273" s="58"/>
      <c r="H273" s="221"/>
      <c r="I273" s="217"/>
      <c r="J273" s="217"/>
      <c r="K273" s="235"/>
      <c r="L273" s="217"/>
      <c r="M273" s="217"/>
      <c r="N273" s="217"/>
      <c r="Q273" s="217"/>
    </row>
    <row r="274" spans="3:17" hidden="1" x14ac:dyDescent="0.2">
      <c r="C274" s="3"/>
      <c r="D274" s="4"/>
      <c r="E274" s="4"/>
      <c r="F274" s="3"/>
      <c r="G274" s="3"/>
      <c r="H274" s="222">
        <v>637.29999999999995</v>
      </c>
      <c r="I274" s="217"/>
      <c r="J274" s="217"/>
      <c r="K274" s="226"/>
      <c r="L274" s="217"/>
      <c r="M274" s="217"/>
      <c r="N274" s="217"/>
      <c r="Q274" s="217"/>
    </row>
    <row r="275" spans="3:17" hidden="1" x14ac:dyDescent="0.2">
      <c r="C275" s="3"/>
      <c r="D275" s="4"/>
      <c r="E275" s="4"/>
      <c r="F275" s="3"/>
      <c r="G275" s="3"/>
      <c r="H275" s="222">
        <v>657.2</v>
      </c>
      <c r="I275" s="217"/>
      <c r="J275" s="217"/>
      <c r="K275" s="226"/>
      <c r="L275" s="217"/>
      <c r="M275" s="217"/>
      <c r="N275" s="217"/>
      <c r="Q275" s="217"/>
    </row>
    <row r="276" spans="3:17" hidden="1" x14ac:dyDescent="0.2">
      <c r="C276" s="3"/>
      <c r="D276" s="4"/>
      <c r="E276" s="4"/>
      <c r="F276" s="3"/>
      <c r="G276" s="3"/>
      <c r="H276" s="222">
        <v>717</v>
      </c>
      <c r="I276" s="217"/>
      <c r="J276" s="217"/>
      <c r="K276" s="226"/>
      <c r="L276" s="217"/>
      <c r="M276" s="217"/>
      <c r="N276" s="217"/>
      <c r="Q276" s="217"/>
    </row>
    <row r="277" spans="3:17" hidden="1" x14ac:dyDescent="0.2">
      <c r="C277" s="3"/>
      <c r="D277" s="4"/>
      <c r="E277" s="4"/>
      <c r="F277" s="3"/>
      <c r="G277" s="3"/>
      <c r="H277" s="222">
        <v>748.8</v>
      </c>
      <c r="I277" s="217"/>
      <c r="J277" s="217"/>
      <c r="K277" s="226"/>
      <c r="L277" s="217"/>
      <c r="M277" s="217"/>
      <c r="N277" s="217"/>
      <c r="Q277" s="217"/>
    </row>
    <row r="278" spans="3:17" hidden="1" x14ac:dyDescent="0.2">
      <c r="C278" s="3"/>
      <c r="D278" s="4"/>
      <c r="E278" s="4"/>
      <c r="F278" s="3"/>
      <c r="G278" s="3"/>
      <c r="H278" s="222">
        <v>828.5</v>
      </c>
      <c r="I278" s="217"/>
      <c r="J278" s="217"/>
      <c r="K278" s="226"/>
      <c r="L278" s="217"/>
      <c r="M278" s="217"/>
      <c r="N278" s="217"/>
      <c r="Q278" s="217"/>
    </row>
    <row r="279" spans="3:17" hidden="1" x14ac:dyDescent="0.2">
      <c r="C279" s="3"/>
      <c r="D279" s="4"/>
      <c r="E279" s="4"/>
      <c r="F279" s="3"/>
      <c r="G279" s="3"/>
      <c r="H279" s="222">
        <v>912.2</v>
      </c>
      <c r="I279" s="217"/>
      <c r="J279" s="217"/>
      <c r="K279" s="226"/>
      <c r="L279" s="217"/>
      <c r="M279" s="217"/>
      <c r="N279" s="217"/>
      <c r="Q279" s="217"/>
    </row>
    <row r="280" spans="3:17" hidden="1" x14ac:dyDescent="0.2">
      <c r="C280" s="3"/>
      <c r="D280" s="4"/>
      <c r="E280" s="4"/>
      <c r="F280" s="3"/>
      <c r="G280" s="3"/>
      <c r="H280" s="222"/>
      <c r="I280" s="217"/>
      <c r="J280" s="217"/>
      <c r="K280" s="226"/>
      <c r="L280" s="217"/>
      <c r="M280" s="217"/>
      <c r="N280" s="217"/>
      <c r="Q280" s="217"/>
    </row>
    <row r="281" spans="3:17" hidden="1" x14ac:dyDescent="0.2">
      <c r="C281" s="58" t="s">
        <v>404</v>
      </c>
      <c r="D281" s="217"/>
      <c r="E281" s="217"/>
      <c r="F281" s="217"/>
      <c r="G281" s="217"/>
      <c r="H281" s="221"/>
      <c r="I281" s="217"/>
      <c r="J281" s="217"/>
      <c r="K281" s="235"/>
      <c r="L281" s="217"/>
      <c r="M281" s="217"/>
      <c r="N281" s="217"/>
      <c r="Q281" s="217"/>
    </row>
    <row r="282" spans="3:17" hidden="1" x14ac:dyDescent="0.2">
      <c r="C282" s="3"/>
      <c r="D282" s="217"/>
      <c r="E282" s="217"/>
      <c r="F282" s="217"/>
      <c r="G282" s="217"/>
      <c r="H282" s="222">
        <v>604.4</v>
      </c>
      <c r="I282" s="217"/>
      <c r="J282" s="217"/>
      <c r="K282" s="226"/>
      <c r="L282" s="217"/>
      <c r="M282" s="217"/>
      <c r="N282" s="217"/>
      <c r="Q282" s="217"/>
    </row>
    <row r="283" spans="3:17" hidden="1" x14ac:dyDescent="0.2">
      <c r="C283" s="3"/>
      <c r="D283" s="217"/>
      <c r="E283" s="217"/>
      <c r="F283" s="217"/>
      <c r="G283" s="217"/>
      <c r="H283" s="222">
        <v>622.6</v>
      </c>
      <c r="I283" s="217"/>
      <c r="J283" s="217"/>
      <c r="K283" s="226"/>
      <c r="L283" s="217"/>
      <c r="M283" s="217"/>
      <c r="N283" s="217"/>
      <c r="Q283" s="217"/>
    </row>
    <row r="284" spans="3:17" hidden="1" x14ac:dyDescent="0.2">
      <c r="C284" s="3"/>
      <c r="D284" s="217"/>
      <c r="E284" s="217"/>
      <c r="F284" s="217"/>
      <c r="G284" s="217"/>
      <c r="H284" s="222">
        <v>640.79999999999995</v>
      </c>
      <c r="I284" s="217"/>
      <c r="J284" s="217"/>
      <c r="K284" s="226"/>
      <c r="L284" s="217"/>
      <c r="M284" s="217"/>
      <c r="N284" s="217"/>
      <c r="Q284" s="217"/>
    </row>
    <row r="285" spans="3:17" hidden="1" x14ac:dyDescent="0.2">
      <c r="C285" s="3"/>
      <c r="D285" s="217"/>
      <c r="E285" s="217"/>
      <c r="F285" s="217"/>
      <c r="G285" s="217"/>
      <c r="H285" s="222">
        <v>710</v>
      </c>
      <c r="I285" s="217"/>
      <c r="J285" s="217"/>
      <c r="K285" s="226"/>
      <c r="L285" s="217"/>
      <c r="M285" s="217"/>
      <c r="N285" s="217"/>
      <c r="Q285" s="217"/>
    </row>
    <row r="286" spans="3:17" hidden="1" x14ac:dyDescent="0.2">
      <c r="C286" s="3"/>
      <c r="D286" s="217"/>
      <c r="E286" s="217"/>
      <c r="F286" s="217"/>
      <c r="G286" s="217"/>
      <c r="H286" s="222">
        <v>746.4</v>
      </c>
      <c r="I286" s="217"/>
      <c r="J286" s="217"/>
      <c r="K286" s="226"/>
      <c r="L286" s="217"/>
      <c r="M286" s="217"/>
      <c r="N286" s="217"/>
      <c r="Q286" s="217"/>
    </row>
    <row r="287" spans="3:17" hidden="1" x14ac:dyDescent="0.2">
      <c r="C287" s="3"/>
      <c r="D287" s="217"/>
      <c r="E287" s="217"/>
      <c r="F287" s="217"/>
      <c r="G287" s="217"/>
      <c r="H287" s="222">
        <v>826.5</v>
      </c>
      <c r="I287" s="217"/>
      <c r="J287" s="217"/>
      <c r="K287" s="226"/>
      <c r="L287" s="217"/>
      <c r="M287" s="217"/>
      <c r="N287" s="217"/>
      <c r="Q287" s="217"/>
    </row>
    <row r="288" spans="3:17" hidden="1" x14ac:dyDescent="0.2">
      <c r="C288" s="217"/>
      <c r="D288" s="217"/>
      <c r="E288" s="217"/>
      <c r="F288" s="217"/>
      <c r="G288" s="217"/>
      <c r="H288" s="222"/>
      <c r="I288" s="217"/>
      <c r="J288" s="217"/>
      <c r="K288" s="226"/>
      <c r="L288" s="217"/>
      <c r="M288" s="217"/>
      <c r="N288" s="217"/>
      <c r="Q288" s="217"/>
    </row>
    <row r="289" spans="3:29" ht="18.75" x14ac:dyDescent="0.2">
      <c r="C289" s="58" t="s">
        <v>405</v>
      </c>
      <c r="D289" s="106"/>
      <c r="E289" s="106"/>
      <c r="F289" s="58"/>
      <c r="G289" s="58"/>
      <c r="H289" s="221"/>
      <c r="I289" s="217"/>
      <c r="J289" s="217"/>
      <c r="K289" s="235"/>
      <c r="L289" s="217"/>
      <c r="M289" s="217"/>
      <c r="N289" s="217"/>
      <c r="O289" s="243"/>
      <c r="P289" s="220"/>
      <c r="Q289" s="217"/>
      <c r="R289" s="233"/>
      <c r="S289" s="233"/>
      <c r="T289" s="233"/>
      <c r="U289" s="233"/>
      <c r="V289" s="233"/>
      <c r="W289" s="233"/>
      <c r="X289" s="233"/>
      <c r="Y289" s="233"/>
      <c r="Z289" s="233"/>
      <c r="AA289" s="233"/>
      <c r="AB289" s="233"/>
      <c r="AC289" s="233"/>
    </row>
    <row r="290" spans="3:29" x14ac:dyDescent="0.2">
      <c r="C290" s="3"/>
      <c r="D290" s="4"/>
      <c r="E290" s="4"/>
      <c r="F290" s="3"/>
      <c r="G290" s="3"/>
      <c r="H290" s="222">
        <v>16.7</v>
      </c>
      <c r="I290" s="91" t="str">
        <f>IF(ISBLANK(H290), " ", IF(ISTEXT(H290), " ", IF(H290&lt;=Нормативы!$H$290, "МСМК", IF(H290&lt;=Нормативы!$H$291, "МС", IF(H290&lt;=Нормативы!$H$292, "КМС", IF(H290&lt;=Нормативы!$H$293, "I", IF(H290&lt;=Нормативы!$H$294, "II", IF(H290&lt;=Нормативы!$H$295, "III", "б/р"))))))))</f>
        <v>МСМК</v>
      </c>
      <c r="J290" s="91" t="str">
        <f>IF(ISBLANK(H290), " ", IF(ISTEXT(H290), " ", IF(H290&lt;=Нормативы!$H$290, "МСМК", IF(H290&lt;=Нормативы!$H$291, "МС", IF(H290&lt;=Нормативы!$H$292, "КМС", IF(H290&lt;=Нормативы!$H$293, "I", IF(H290&lt;=Нормативы!$H$294, "II", IF(H290&lt;=Нормативы!$H$295, "III", "б/р"))))))))</f>
        <v>МСМК</v>
      </c>
      <c r="K290" s="226"/>
      <c r="L290" s="222"/>
      <c r="M290" s="91" t="str">
        <f>IF(ISBLANK(L290), " ", IF(ISTEXT(L290), " ", IF(L290&lt;=Нормативы!$H$290, "КМС", IF(L290&lt;=Нормативы!$H$291, "КМС", IF(L290&lt;=Нормативы!$L$292, "КМС", IF(L290&lt;=Нормативы!$L$293, "I", IF(L290&lt;=Нормативы!$L$294, "II", IF(L290&lt;=Нормативы!$L$295, "III", "б/р"))))))))</f>
        <v xml:space="preserve"> </v>
      </c>
      <c r="N290" s="91" t="str">
        <f>IF(ISBLANK(L290), " ", IF(ISTEXT(L290), " ", IF(L290&lt;=16.7, "МСМК", IF(L290&lt;=17.5, "МС", IF(L290&lt;=18.2, "КМС", IF(L290&lt;=19.4, "I", IF(L290&lt;=21.1, "II", IF(L290&lt;=22.9, "III", "б/р"))))))))</f>
        <v xml:space="preserve"> </v>
      </c>
      <c r="O290" s="4"/>
      <c r="P290" s="220"/>
      <c r="Q290" s="91" t="str">
        <f t="shared" ref="Q290:Q295" si="54">IF(ISBLANK(P290), " ", IF(ISTEXT(P290), " ", IF(P290&lt;=$H$290, "МСМК", IF(P290&lt;=$H$291, "МС", IF(P290&lt;=$H$292, "КМС", IF(P290&lt;=$H$293, "I", IF(P290&lt;=$H$294, "II", IF(P290&lt;=$H$295, "III", "б/р"))))))))</f>
        <v xml:space="preserve"> </v>
      </c>
      <c r="R290" s="224"/>
      <c r="S290" s="224"/>
      <c r="T290" s="224"/>
      <c r="U290" s="224"/>
      <c r="V290" s="224"/>
      <c r="W290" s="224"/>
      <c r="X290" s="224"/>
      <c r="Y290" s="224"/>
      <c r="Z290" s="224"/>
      <c r="AA290" s="224"/>
      <c r="AB290" s="224"/>
      <c r="AC290" s="224"/>
    </row>
    <row r="291" spans="3:29" x14ac:dyDescent="0.2">
      <c r="C291" s="3"/>
      <c r="D291" s="4"/>
      <c r="E291" s="4"/>
      <c r="F291" s="3"/>
      <c r="G291" s="3"/>
      <c r="H291" s="222">
        <v>17.3</v>
      </c>
      <c r="I291" s="91" t="str">
        <f>IF(ISBLANK(H291), " ", IF(ISTEXT(H291), " ", IF(H291&lt;=Нормативы!$H$290, "МСМК", IF(H291&lt;=Нормативы!$H$291, "МС", IF(H291&lt;=Нормативы!$H$292, "КМС", IF(H291&lt;=Нормативы!$H$293, "I", IF(H291&lt;=Нормативы!$H$294, "II", IF(H291&lt;=Нормативы!$H$295, "III", "б/р"))))))))</f>
        <v>МС</v>
      </c>
      <c r="J291" s="91" t="str">
        <f>IF(ISBLANK(H291), " ", IF(ISTEXT(H291), " ", IF(H291&lt;=Нормативы!$H$290, "МСМК", IF(H291&lt;=Нормативы!$H$291, "МС", IF(H291&lt;=Нормативы!$H$292, "КМС", IF(H291&lt;=Нормативы!$H$293, "I", IF(H291&lt;=Нормативы!$H$294, "II", IF(H291&lt;=Нормативы!$H$295, "III", "б/р"))))))))</f>
        <v>МС</v>
      </c>
      <c r="K291" s="226"/>
      <c r="L291" s="222"/>
      <c r="M291" s="91" t="str">
        <f>IF(ISBLANK(L291), " ", IF(ISTEXT(L291), " ", IF(L291&lt;=Нормативы!$H$290, "КМС", IF(L291&lt;=Нормативы!$H$291, "КМС", IF(L291&lt;=Нормативы!$L$292, "КМС", IF(L291&lt;=Нормативы!$L$293, "I", IF(L291&lt;=Нормативы!$L$294, "II", IF(L291&lt;=Нормативы!$L$295, "III", "б/р"))))))))</f>
        <v xml:space="preserve"> </v>
      </c>
      <c r="N291" s="91" t="str">
        <f>IF(ISBLANK(L291), " ", IF(ISTEXT(L291), " ", IF(L291&lt;=16.7, "МСМК", IF(L291&lt;=17.5, "МС", IF(L291&lt;=18.2, "КМС", IF(L291&lt;=19.4, "I", IF(L291&lt;=21.1, "II", IF(L291&lt;=22.9, "III", "б/р"))))))))</f>
        <v xml:space="preserve"> </v>
      </c>
      <c r="O291" s="4"/>
      <c r="Q291" s="91" t="str">
        <f t="shared" si="54"/>
        <v xml:space="preserve"> </v>
      </c>
    </row>
    <row r="292" spans="3:29" x14ac:dyDescent="0.2">
      <c r="C292" s="3"/>
      <c r="D292" s="4"/>
      <c r="E292" s="4"/>
      <c r="F292" s="3"/>
      <c r="G292" s="3"/>
      <c r="H292" s="222">
        <v>18.2</v>
      </c>
      <c r="I292" s="91" t="str">
        <f>IF(ISBLANK(H292), " ", IF(ISTEXT(H292), " ", IF(H292&lt;=Нормативы!$H$290, "МСМК", IF(H292&lt;=Нормативы!$H$291, "МС", IF(H292&lt;=Нормативы!$H$292, "КМС", IF(H292&lt;=Нормативы!$H$293, "I", IF(H292&lt;=Нормативы!$H$294, "II", IF(H292&lt;=Нормативы!$H$295, "III", "б/р"))))))))</f>
        <v>КМС</v>
      </c>
      <c r="J292" s="91" t="str">
        <f>IF(ISBLANK(H292), " ", IF(ISTEXT(H292), " ", IF(H292&lt;=Нормативы!$H$290, "МСМК", IF(H292&lt;=Нормативы!$H$291, "МС", IF(H292&lt;=Нормативы!$H$292, "КМС", IF(H292&lt;=Нормативы!$H$293, "I", IF(H292&lt;=Нормативы!$H$294, "II", IF(H292&lt;=Нормативы!$H$295, "III", "б/р"))))))))</f>
        <v>КМС</v>
      </c>
      <c r="K292" s="226"/>
      <c r="L292" s="225">
        <f>H292-0.2</f>
        <v>18</v>
      </c>
      <c r="M292" s="91" t="str">
        <f>IF(ISBLANK(L292), " ", IF(ISTEXT(L292), " ", IF(L292&lt;=Нормативы!$H$290, "КМС", IF(L292&lt;=Нормативы!$H$291, "КМС", IF(L292&lt;=Нормативы!$L$292, "КМС", IF(L292&lt;=Нормативы!$L$293, "I", IF(L292&lt;=Нормативы!$L$294, "II", IF(L292&lt;=Нормативы!$L$295, "III", "б/р"))))))))</f>
        <v>КМС</v>
      </c>
      <c r="N292" s="91" t="str">
        <f>IF(ISBLANK(L292), " ", IF(ISTEXT(L292), " ", IF(L292&lt;=Нормативы!$H$290, "КМС", IF(L292&lt;=Нормативы!$H$291, "КМС", IF(L292&lt;=Нормативы!$L$292, "КМС", IF(L292&lt;=Нормативы!$L$293, "I", IF(L292&lt;=Нормативы!$L$294, "II", IF(L292&lt;=Нормативы!$L$295, "III", "б/р"))))))))</f>
        <v>КМС</v>
      </c>
      <c r="O292" s="4"/>
      <c r="Q292" s="91" t="str">
        <f t="shared" si="54"/>
        <v xml:space="preserve"> </v>
      </c>
    </row>
    <row r="293" spans="3:29" x14ac:dyDescent="0.2">
      <c r="C293" s="3"/>
      <c r="D293" s="4"/>
      <c r="E293" s="4"/>
      <c r="F293" s="3"/>
      <c r="G293" s="3"/>
      <c r="H293" s="222">
        <v>19.3</v>
      </c>
      <c r="I293" s="91" t="str">
        <f>IF(ISBLANK(H293), " ", IF(ISTEXT(H293), " ", IF(H293&lt;=Нормативы!$H$290, "МСМК", IF(H293&lt;=Нормативы!$H$291, "МС", IF(H293&lt;=Нормативы!$H$292, "КМС", IF(H293&lt;=Нормативы!$H$293, "I", IF(H293&lt;=Нормативы!$H$294, "II", IF(H293&lt;=Нормативы!$H$295, "III", "б/р"))))))))</f>
        <v>I</v>
      </c>
      <c r="J293" s="91" t="str">
        <f>IF(ISBLANK(H293), " ", IF(ISTEXT(H293), " ", IF(H293&lt;=Нормативы!$H$290, "МСМК", IF(H293&lt;=Нормативы!$H$291, "МС", IF(H293&lt;=Нормативы!$H$292, "КМС", IF(H293&lt;=Нормативы!$H$293, "I", IF(H293&lt;=Нормативы!$H$294, "II", IF(H293&lt;=Нормативы!$H$295, "III", "б/р"))))))))</f>
        <v>I</v>
      </c>
      <c r="K293" s="226"/>
      <c r="L293" s="225">
        <f>H293-0.2</f>
        <v>19.100000000000001</v>
      </c>
      <c r="M293" s="91" t="str">
        <f>IF(ISBLANK(L293), " ", IF(ISTEXT(L293), " ", IF(L293&lt;=Нормативы!$H$290, "КМС", IF(L293&lt;=Нормативы!$H$291, "КМС", IF(L293&lt;=Нормативы!$L$292, "КМС", IF(L293&lt;=Нормативы!$L$293, "I", IF(L293&lt;=Нормативы!$L$294, "II", IF(L293&lt;=Нормативы!$L$295, "III", "б/р"))))))))</f>
        <v>I</v>
      </c>
      <c r="N293" s="91" t="str">
        <f>IF(ISBLANK(L293), " ", IF(ISTEXT(L293), " ", IF(L293&lt;=Нормативы!$H$290, "КМС", IF(L293&lt;=Нормативы!$H$291, "КМС", IF(L293&lt;=Нормативы!$L$292, "КМС", IF(L293&lt;=Нормативы!$L$293, "I", IF(L293&lt;=Нормативы!$L$294, "II", IF(L293&lt;=Нормативы!$L$295, "III", "б/р"))))))))</f>
        <v>I</v>
      </c>
      <c r="O293" s="4"/>
      <c r="Q293" s="91" t="str">
        <f t="shared" si="54"/>
        <v xml:space="preserve"> </v>
      </c>
    </row>
    <row r="294" spans="3:29" x14ac:dyDescent="0.2">
      <c r="C294" s="3"/>
      <c r="D294" s="4"/>
      <c r="E294" s="4"/>
      <c r="F294" s="3"/>
      <c r="G294" s="3"/>
      <c r="H294" s="222">
        <v>21.099999999999998</v>
      </c>
      <c r="I294" s="91" t="str">
        <f>IF(ISBLANK(H294), " ", IF(ISTEXT(H294), " ", IF(H294&lt;=Нормативы!$H$290, "МСМК", IF(H294&lt;=Нормативы!$H$291, "МС", IF(H294&lt;=Нормативы!$H$292, "КМС", IF(H294&lt;=Нормативы!$H$293, "I", IF(H294&lt;=Нормативы!$H$294, "II", IF(H294&lt;=Нормативы!$H$295, "III", "б/р"))))))))</f>
        <v>II</v>
      </c>
      <c r="J294" s="91" t="str">
        <f>IF(ISBLANK(H294), " ", IF(ISTEXT(H294), " ", IF(H294&lt;=Нормативы!$H$290, "МСМК", IF(H294&lt;=Нормативы!$H$291, "МС", IF(H294&lt;=Нормативы!$H$292, "КМС", IF(H294&lt;=Нормативы!$H$293, "I", IF(H294&lt;=Нормативы!$H$294, "II", IF(H294&lt;=Нормативы!$H$295, "III", "б/р"))))))))</f>
        <v>II</v>
      </c>
      <c r="K294" s="226"/>
      <c r="L294" s="225">
        <f>H294-0.2</f>
        <v>20.9</v>
      </c>
      <c r="M294" s="91" t="str">
        <f>IF(ISBLANK(L294), " ", IF(ISTEXT(L294), " ", IF(L294&lt;=Нормативы!$H$290, "КМС", IF(L294&lt;=Нормативы!$H$291, "КМС", IF(L294&lt;=Нормативы!$L$292, "КМС", IF(L294&lt;=Нормативы!$L$293, "I", IF(L294&lt;=Нормативы!$L$294, "II", IF(L294&lt;=Нормативы!$L$295, "III", "б/р"))))))))</f>
        <v>II</v>
      </c>
      <c r="N294" s="91" t="str">
        <f>IF(ISBLANK(L294), " ", IF(ISTEXT(L294), " ", IF(L294&lt;=Нормативы!$H$290, "КМС", IF(L294&lt;=Нормативы!$H$291, "КМС", IF(L294&lt;=Нормативы!$L$292, "КМС", IF(L294&lt;=Нормативы!$L$293, "I", IF(L294&lt;=Нормативы!$L$294, "II", IF(L294&lt;=Нормативы!$L$295, "III", "б/р"))))))))</f>
        <v>II</v>
      </c>
      <c r="O294" s="4"/>
      <c r="Q294" s="91" t="str">
        <f t="shared" si="54"/>
        <v xml:space="preserve"> </v>
      </c>
    </row>
    <row r="295" spans="3:29" x14ac:dyDescent="0.2">
      <c r="C295" s="3"/>
      <c r="D295" s="4"/>
      <c r="E295" s="4"/>
      <c r="F295" s="3"/>
      <c r="G295" s="3"/>
      <c r="H295" s="222">
        <v>22.9</v>
      </c>
      <c r="I295" s="91" t="str">
        <f>IF(ISBLANK(H295), " ", IF(ISTEXT(H295), " ", IF(H295&lt;=Нормативы!$H$290, "МСМК", IF(H295&lt;=Нормативы!$H$291, "МС", IF(H295&lt;=Нормативы!$H$292, "КМС", IF(H295&lt;=Нормативы!$H$293, "I", IF(H295&lt;=Нормативы!$H$294, "II", IF(H295&lt;=Нормативы!$H$295, "III", "б/р"))))))))</f>
        <v>III</v>
      </c>
      <c r="J295" s="91" t="str">
        <f>IF(ISBLANK(H295), " ", IF(ISTEXT(H295), " ", IF(H295&lt;=Нормативы!$H$290, "МСМК", IF(H295&lt;=Нормативы!$H$291, "МС", IF(H295&lt;=Нормативы!$H$292, "КМС", IF(H295&lt;=Нормативы!$H$293, "I", IF(H295&lt;=Нормативы!$H$294, "II", IF(H295&lt;=Нормативы!$H$295, "III", "б/р"))))))))</f>
        <v>III</v>
      </c>
      <c r="K295" s="226"/>
      <c r="L295" s="225">
        <f>H295-0.2</f>
        <v>22.7</v>
      </c>
      <c r="M295" s="91" t="str">
        <f>IF(ISBLANK(L295), " ", IF(ISTEXT(L295), " ", IF(L295&lt;=Нормативы!$H$290, "КМС", IF(L295&lt;=Нормативы!$H$291, "КМС", IF(L295&lt;=Нормативы!$L$292, "КМС", IF(L295&lt;=Нормативы!$L$293, "I", IF(L295&lt;=Нормативы!$L$294, "II", IF(L295&lt;=Нормативы!$L$295, "III", "б/р"))))))))</f>
        <v>III</v>
      </c>
      <c r="N295" s="91" t="str">
        <f>IF(ISBLANK(L295), " ", IF(ISTEXT(L295), " ", IF(L295&lt;=Нормативы!$H$290, "КМС", IF(L295&lt;=Нормативы!$H$291, "КМС", IF(L295&lt;=Нормативы!$L$292, "КМС", IF(L295&lt;=Нормативы!$L$293, "I", IF(L295&lt;=Нормативы!$L$294, "II", IF(L295&lt;=Нормативы!$L$295, "III", "б/р"))))))))</f>
        <v>III</v>
      </c>
      <c r="O295" s="4"/>
      <c r="Q295" s="91" t="str">
        <f t="shared" si="54"/>
        <v xml:space="preserve"> </v>
      </c>
    </row>
    <row r="296" spans="3:29" x14ac:dyDescent="0.2">
      <c r="C296" s="3"/>
      <c r="D296" s="4"/>
      <c r="E296" s="4"/>
      <c r="F296" s="3"/>
      <c r="G296" s="3"/>
      <c r="H296" s="222"/>
      <c r="I296" s="217"/>
      <c r="J296" s="217"/>
      <c r="K296" s="226"/>
      <c r="L296" s="217"/>
      <c r="M296" s="217"/>
      <c r="N296" s="217"/>
      <c r="P296" s="233"/>
      <c r="Q296" s="217"/>
      <c r="R296" s="233"/>
      <c r="S296" s="233"/>
      <c r="T296" s="233"/>
      <c r="U296" s="233"/>
      <c r="V296" s="233"/>
      <c r="W296" s="233"/>
      <c r="X296" s="233"/>
      <c r="Y296" s="233"/>
      <c r="Z296" s="233"/>
      <c r="AA296" s="233"/>
    </row>
    <row r="297" spans="3:29" x14ac:dyDescent="0.2">
      <c r="C297" s="58" t="s">
        <v>406</v>
      </c>
      <c r="D297" s="4"/>
      <c r="E297" s="4"/>
      <c r="F297" s="3"/>
      <c r="G297" s="3"/>
      <c r="H297" s="222"/>
      <c r="I297" s="217"/>
      <c r="J297" s="217"/>
      <c r="K297" s="235"/>
      <c r="L297" s="217"/>
      <c r="M297" s="217"/>
      <c r="N297" s="217"/>
      <c r="P297" s="224"/>
      <c r="Q297" s="217"/>
      <c r="R297" s="224"/>
      <c r="S297" s="224"/>
      <c r="T297" s="224"/>
      <c r="U297" s="224"/>
      <c r="V297" s="224"/>
      <c r="W297" s="224"/>
      <c r="X297" s="224"/>
      <c r="Y297" s="224"/>
      <c r="Z297" s="224"/>
      <c r="AA297" s="224"/>
    </row>
    <row r="298" spans="3:29" x14ac:dyDescent="0.2">
      <c r="C298" s="217"/>
      <c r="D298" s="217"/>
      <c r="E298" s="217"/>
      <c r="F298" s="217"/>
      <c r="G298" s="217"/>
      <c r="H298" s="222">
        <v>14.7</v>
      </c>
      <c r="I298" s="91" t="str">
        <f>IF(ISBLANK(H298), " ", IF(ISTEXT(H298), " ", IF(H298&lt;=Нормативы!$H$298, "МСМК", IF(H298&lt;=Нормативы!$H$299, "МС", IF(H298&lt;=Нормативы!$H$300, "КМС", IF(H298&lt;=Нормативы!$H$301, "I", IF(H298&lt;=Нормативы!$H$302, "II", IF(H298&lt;=Нормативы!$H$303, "III", "б/р"))))))))</f>
        <v>МСМК</v>
      </c>
      <c r="J298" s="91" t="str">
        <f>IF(ISBLANK(H298), " ", IF(ISTEXT(H298), " ", IF(H298&lt;=Нормативы!$H$298, "МСМК", IF(H298&lt;=Нормативы!$H$299, "МС", IF(H298&lt;=Нормативы!$H$300, "КМС", IF(H298&lt;=Нормативы!$H$301, "I", IF(H298&lt;=Нормативы!$H$302, "II", IF(H298&lt;=Нормативы!$H$303, "III", "б/р"))))))))</f>
        <v>МСМК</v>
      </c>
      <c r="K298" s="226"/>
      <c r="L298" s="222"/>
      <c r="M298" s="91" t="str">
        <f>IF(ISBLANK(L298), " ", IF(ISTEXT(L298), " ", IF(L298&lt;=Нормативы!$H$298, "КМС", IF(L298&lt;=Нормативы!$H$299, "КМС", IF(L298&lt;=Нормативы!$L$300, "КМС", IF(L298&lt;=Нормативы!$L$301, "I", IF(L298&lt;=Нормативы!$L$302, "II", IF(L298&lt;=Нормативы!$L$303, "III", "б/р"))))))))</f>
        <v xml:space="preserve"> </v>
      </c>
      <c r="N298" s="91" t="str">
        <f>IF(ISBLANK(L298), " ", IF(ISTEXT(L298), " ", IF(L298&lt;=14.9, "МСМК", IF(L298&lt;=15.6, "МС", IF(L298&lt;=16.2, "КМС", IF(L298&lt;=17.3, "I", IF(L298&lt;=18.8, "II", IF(L298&lt;=20.4, "III", "б/р"))))))))</f>
        <v xml:space="preserve"> </v>
      </c>
      <c r="O298" s="4"/>
      <c r="P298" s="224"/>
      <c r="Q298" s="91" t="str">
        <f t="shared" ref="Q298:Q303" si="55">IF(ISBLANK(P298), " ", IF(ISTEXT(P298), " ", IF(P298&lt;=$H$298, "МСМК", IF(P298&lt;=$H$299, "МС", IF(P298&lt;=$H$300, "КМС", IF(P298&lt;=$H$301, "I", IF(P298&lt;=$H$302, "II", IF(P298&lt;=$H$303, "III", "б/р"))))))))</f>
        <v xml:space="preserve"> </v>
      </c>
      <c r="R298" s="224"/>
      <c r="S298" s="224"/>
      <c r="T298" s="224"/>
      <c r="U298" s="224"/>
      <c r="V298" s="224"/>
      <c r="W298" s="224"/>
      <c r="X298" s="224"/>
      <c r="Y298" s="224"/>
      <c r="Z298" s="224"/>
      <c r="AA298" s="224"/>
    </row>
    <row r="299" spans="3:29" x14ac:dyDescent="0.2">
      <c r="C299" s="217"/>
      <c r="D299" s="217"/>
      <c r="E299" s="217"/>
      <c r="F299" s="217"/>
      <c r="G299" s="217"/>
      <c r="H299" s="222">
        <v>15.4</v>
      </c>
      <c r="I299" s="91" t="str">
        <f>IF(ISBLANK(H299), " ", IF(ISTEXT(H299), " ", IF(H299&lt;=Нормативы!$H$298, "МСМК", IF(H299&lt;=Нормативы!$H$299, "МС", IF(H299&lt;=Нормативы!$H$300, "КМС", IF(H299&lt;=Нормативы!$H$301, "I", IF(H299&lt;=Нормативы!$H$302, "II", IF(H299&lt;=Нормативы!$H$303, "III", "б/р"))))))))</f>
        <v>МС</v>
      </c>
      <c r="J299" s="91" t="str">
        <f>IF(ISBLANK(H299), " ", IF(ISTEXT(H299), " ", IF(H299&lt;=Нормативы!$H$298, "МСМК", IF(H299&lt;=Нормативы!$H$299, "МС", IF(H299&lt;=Нормативы!$H$300, "КМС", IF(H299&lt;=Нормативы!$H$301, "I", IF(H299&lt;=Нормативы!$H$302, "II", IF(H299&lt;=Нормативы!$H$303, "III", "б/р"))))))))</f>
        <v>МС</v>
      </c>
      <c r="K299" s="226"/>
      <c r="L299" s="222"/>
      <c r="M299" s="91" t="str">
        <f>IF(ISBLANK(L299), " ", IF(ISTEXT(L299), " ", IF(L299&lt;=Нормативы!$H$298, "КМС", IF(L299&lt;=Нормативы!$H$299, "КМС", IF(L299&lt;=Нормативы!$L$300, "КМС", IF(L299&lt;=Нормативы!$L$301, "I", IF(L299&lt;=Нормативы!$L$302, "II", IF(L299&lt;=Нормативы!$L$303, "III", "б/р"))))))))</f>
        <v xml:space="preserve"> </v>
      </c>
      <c r="N299" s="91" t="str">
        <f>IF(ISBLANK(L299), " ", IF(ISTEXT(L299), " ", IF(L299&lt;=14.9, "МСМК", IF(L299&lt;=15.6, "МС", IF(L299&lt;=16.2, "КМС", IF(L299&lt;=17.3, "I", IF(L299&lt;=18.8, "II", IF(L299&lt;=20.4, "III", "б/р"))))))))</f>
        <v xml:space="preserve"> </v>
      </c>
      <c r="O299" s="4"/>
      <c r="Q299" s="91" t="str">
        <f t="shared" si="55"/>
        <v xml:space="preserve"> </v>
      </c>
    </row>
    <row r="300" spans="3:29" x14ac:dyDescent="0.2">
      <c r="C300" s="217"/>
      <c r="D300" s="217"/>
      <c r="E300" s="217"/>
      <c r="F300" s="217"/>
      <c r="G300" s="217"/>
      <c r="H300" s="222">
        <v>16.2</v>
      </c>
      <c r="I300" s="91" t="str">
        <f>IF(ISBLANK(H300), " ", IF(ISTEXT(H300), " ", IF(H300&lt;=Нормативы!$H$298, "МСМК", IF(H300&lt;=Нормативы!$H$299, "МС", IF(H300&lt;=Нормативы!$H$300, "КМС", IF(H300&lt;=Нормативы!$H$301, "I", IF(H300&lt;=Нормативы!$H$302, "II", IF(H300&lt;=Нормативы!$H$303, "III", "б/р"))))))))</f>
        <v>КМС</v>
      </c>
      <c r="J300" s="91" t="str">
        <f>IF(ISBLANK(H300), " ", IF(ISTEXT(H300), " ", IF(H300&lt;=Нормативы!$H$298, "МСМК", IF(H300&lt;=Нормативы!$H$299, "МС", IF(H300&lt;=Нормативы!$H$300, "КМС", IF(H300&lt;=Нормативы!$H$301, "I", IF(H300&lt;=Нормативы!$H$302, "II", IF(H300&lt;=Нормативы!$H$303, "III", "б/р"))))))))</f>
        <v>КМС</v>
      </c>
      <c r="K300" s="226"/>
      <c r="L300" s="225">
        <f>H300-0.2</f>
        <v>16</v>
      </c>
      <c r="M300" s="91" t="str">
        <f>IF(ISBLANK(L300), " ", IF(ISTEXT(L300), " ", IF(L300&lt;=Нормативы!$H$298, "КМС", IF(L300&lt;=Нормативы!$H$299, "КМС", IF(L300&lt;=Нормативы!$L$300, "КМС", IF(L300&lt;=Нормативы!$L$301, "I", IF(L300&lt;=Нормативы!$L$302, "II", IF(L300&lt;=Нормативы!$L$303, "III", "б/р"))))))))</f>
        <v>КМС</v>
      </c>
      <c r="N300" s="91" t="str">
        <f>IF(ISBLANK(L300), " ", IF(ISTEXT(L300), " ", IF(L300&lt;=Нормативы!$H$298, "КМС", IF(L300&lt;=Нормативы!$H$299, "КМС", IF(L300&lt;=Нормативы!$L$300, "КМС", IF(L300&lt;=Нормативы!$L$301, "I", IF(L300&lt;=Нормативы!$L$302, "II", IF(L300&lt;=Нормативы!$L$303, "III", "б/р"))))))))</f>
        <v>КМС</v>
      </c>
      <c r="O300" s="4"/>
      <c r="Q300" s="91" t="str">
        <f t="shared" si="55"/>
        <v xml:space="preserve"> </v>
      </c>
    </row>
    <row r="301" spans="3:29" x14ac:dyDescent="0.2">
      <c r="C301" s="217"/>
      <c r="D301" s="217"/>
      <c r="E301" s="217"/>
      <c r="F301" s="217"/>
      <c r="G301" s="217"/>
      <c r="H301" s="222">
        <v>17.2</v>
      </c>
      <c r="I301" s="91" t="str">
        <f>IF(ISBLANK(H301), " ", IF(ISTEXT(H301), " ", IF(H301&lt;=Нормативы!$H$298, "МСМК", IF(H301&lt;=Нормативы!$H$299, "МС", IF(H301&lt;=Нормативы!$H$300, "КМС", IF(H301&lt;=Нормативы!$H$301, "I", IF(H301&lt;=Нормативы!$H$302, "II", IF(H301&lt;=Нормативы!$H$303, "III", "б/р"))))))))</f>
        <v>I</v>
      </c>
      <c r="J301" s="91" t="str">
        <f>IF(ISBLANK(H301), " ", IF(ISTEXT(H301), " ", IF(H301&lt;=Нормативы!$H$298, "МСМК", IF(H301&lt;=Нормативы!$H$299, "МС", IF(H301&lt;=Нормативы!$H$300, "КМС", IF(H301&lt;=Нормативы!$H$301, "I", IF(H301&lt;=Нормативы!$H$302, "II", IF(H301&lt;=Нормативы!$H$303, "III", "б/р"))))))))</f>
        <v>I</v>
      </c>
      <c r="K301" s="226"/>
      <c r="L301" s="225">
        <f>H301-0.2</f>
        <v>17</v>
      </c>
      <c r="M301" s="91" t="str">
        <f>IF(ISBLANK(L301), " ", IF(ISTEXT(L301), " ", IF(L301&lt;=Нормативы!$H$298, "КМС", IF(L301&lt;=Нормативы!$H$299, "КМС", IF(L301&lt;=Нормативы!$L$300, "КМС", IF(L301&lt;=Нормативы!$L$301, "I", IF(L301&lt;=Нормативы!$L$302, "II", IF(L301&lt;=Нормативы!$L$303, "III", "б/р"))))))))</f>
        <v>I</v>
      </c>
      <c r="N301" s="91" t="str">
        <f>IF(ISBLANK(L301), " ", IF(ISTEXT(L301), " ", IF(L301&lt;=Нормативы!$H$298, "КМС", IF(L301&lt;=Нормативы!$H$299, "КМС", IF(L301&lt;=Нормативы!$L$300, "КМС", IF(L301&lt;=Нормативы!$L$301, "I", IF(L301&lt;=Нормативы!$L$302, "II", IF(L301&lt;=Нормативы!$L$303, "III", "б/р"))))))))</f>
        <v>I</v>
      </c>
      <c r="O301" s="4"/>
      <c r="Q301" s="91" t="str">
        <f t="shared" si="55"/>
        <v xml:space="preserve"> </v>
      </c>
    </row>
    <row r="302" spans="3:29" x14ac:dyDescent="0.2">
      <c r="C302" s="217"/>
      <c r="D302" s="217"/>
      <c r="E302" s="217"/>
      <c r="F302" s="217"/>
      <c r="G302" s="217"/>
      <c r="H302" s="222">
        <v>18.7</v>
      </c>
      <c r="I302" s="91" t="str">
        <f>IF(ISBLANK(H302), " ", IF(ISTEXT(H302), " ", IF(H302&lt;=Нормативы!$H$298, "МСМК", IF(H302&lt;=Нормативы!$H$299, "МС", IF(H302&lt;=Нормативы!$H$300, "КМС", IF(H302&lt;=Нормативы!$H$301, "I", IF(H302&lt;=Нормативы!$H$302, "II", IF(H302&lt;=Нормативы!$H$303, "III", "б/р"))))))))</f>
        <v>II</v>
      </c>
      <c r="J302" s="91" t="str">
        <f>IF(ISBLANK(H302), " ", IF(ISTEXT(H302), " ", IF(H302&lt;=Нормативы!$H$298, "МСМК", IF(H302&lt;=Нормативы!$H$299, "МС", IF(H302&lt;=Нормативы!$H$300, "КМС", IF(H302&lt;=Нормативы!$H$301, "I", IF(H302&lt;=Нормативы!$H$302, "II", IF(H302&lt;=Нормативы!$H$303, "III", "б/р"))))))))</f>
        <v>II</v>
      </c>
      <c r="K302" s="226"/>
      <c r="L302" s="225">
        <f>H302-0.2</f>
        <v>18.5</v>
      </c>
      <c r="M302" s="91" t="str">
        <f>IF(ISBLANK(L302), " ", IF(ISTEXT(L302), " ", IF(L302&lt;=Нормативы!$H$298, "КМС", IF(L302&lt;=Нормативы!$H$299, "КМС", IF(L302&lt;=Нормативы!$L$300, "КМС", IF(L302&lt;=Нормативы!$L$301, "I", IF(L302&lt;=Нормативы!$L$302, "II", IF(L302&lt;=Нормативы!$L$303, "III", "б/р"))))))))</f>
        <v>II</v>
      </c>
      <c r="N302" s="91" t="str">
        <f>IF(ISBLANK(L302), " ", IF(ISTEXT(L302), " ", IF(L302&lt;=Нормативы!$H$298, "КМС", IF(L302&lt;=Нормативы!$H$299, "КМС", IF(L302&lt;=Нормативы!$L$300, "КМС", IF(L302&lt;=Нормативы!$L$301, "I", IF(L302&lt;=Нормативы!$L$302, "II", IF(L302&lt;=Нормативы!$L$303, "III", "б/р"))))))))</f>
        <v>II</v>
      </c>
      <c r="O302" s="4"/>
      <c r="Q302" s="91" t="str">
        <f t="shared" si="55"/>
        <v xml:space="preserve"> </v>
      </c>
    </row>
    <row r="303" spans="3:29" x14ac:dyDescent="0.2">
      <c r="C303" s="217"/>
      <c r="D303" s="217"/>
      <c r="E303" s="217"/>
      <c r="F303" s="217"/>
      <c r="G303" s="217"/>
      <c r="H303" s="222">
        <v>20.2</v>
      </c>
      <c r="I303" s="91" t="str">
        <f>IF(ISBLANK(H303), " ", IF(ISTEXT(H303), " ", IF(H303&lt;=Нормативы!$H$298, "МСМК", IF(H303&lt;=Нормативы!$H$299, "МС", IF(H303&lt;=Нормативы!$H$300, "КМС", IF(H303&lt;=Нормативы!$H$301, "I", IF(H303&lt;=Нормативы!$H$302, "II", IF(H303&lt;=Нормативы!$H$303, "III", "б/р"))))))))</f>
        <v>III</v>
      </c>
      <c r="J303" s="91" t="str">
        <f>IF(ISBLANK(H303), " ", IF(ISTEXT(H303), " ", IF(H303&lt;=Нормативы!$H$298, "МСМК", IF(H303&lt;=Нормативы!$H$299, "МС", IF(H303&lt;=Нормативы!$H$300, "КМС", IF(H303&lt;=Нормативы!$H$301, "I", IF(H303&lt;=Нормативы!$H$302, "II", IF(H303&lt;=Нормативы!$H$303, "III", "б/р"))))))))</f>
        <v>III</v>
      </c>
      <c r="K303" s="226"/>
      <c r="L303" s="225">
        <f>H303-0.2</f>
        <v>20</v>
      </c>
      <c r="M303" s="91" t="str">
        <f>IF(ISBLANK(L303), " ", IF(ISTEXT(L303), " ", IF(L303&lt;=Нормативы!$H$298, "КМС", IF(L303&lt;=Нормативы!$H$299, "КМС", IF(L303&lt;=Нормативы!$L$300, "КМС", IF(L303&lt;=Нормативы!$L$301, "I", IF(L303&lt;=Нормативы!$L$302, "II", IF(L303&lt;=Нормативы!$L$303, "III", "б/р"))))))))</f>
        <v>III</v>
      </c>
      <c r="N303" s="91" t="str">
        <f>IF(ISBLANK(L303), " ", IF(ISTEXT(L303), " ", IF(L303&lt;=Нормативы!$H$298, "КМС", IF(L303&lt;=Нормативы!$H$299, "КМС", IF(L303&lt;=Нормативы!$L$300, "КМС", IF(L303&lt;=Нормативы!$L$301, "I", IF(L303&lt;=Нормативы!$L$302, "II", IF(L303&lt;=Нормативы!$L$303, "III", "б/р"))))))))</f>
        <v>III</v>
      </c>
      <c r="O303" s="4"/>
      <c r="Q303" s="91" t="str">
        <f t="shared" si="55"/>
        <v xml:space="preserve"> </v>
      </c>
    </row>
    <row r="304" spans="3:29" x14ac:dyDescent="0.2">
      <c r="C304" s="217"/>
      <c r="D304" s="217"/>
      <c r="E304" s="217"/>
      <c r="F304" s="217"/>
      <c r="G304" s="217"/>
      <c r="H304" s="222"/>
      <c r="I304" s="91"/>
      <c r="J304" s="91"/>
      <c r="K304" s="226"/>
      <c r="L304" s="222"/>
      <c r="M304" s="91"/>
      <c r="N304" s="91"/>
      <c r="O304" s="4"/>
      <c r="Q304" s="91"/>
    </row>
    <row r="305" spans="3:17" x14ac:dyDescent="0.2">
      <c r="C305" s="244" t="s">
        <v>407</v>
      </c>
      <c r="I305" s="217"/>
      <c r="J305" s="217"/>
      <c r="K305" s="235"/>
      <c r="L305" s="217"/>
      <c r="M305" s="217"/>
      <c r="N305" s="217"/>
      <c r="Q305" s="217"/>
    </row>
    <row r="306" spans="3:17" x14ac:dyDescent="0.2">
      <c r="C306" s="217"/>
      <c r="D306" s="217"/>
      <c r="E306" s="217"/>
      <c r="F306" s="217"/>
      <c r="H306" s="245"/>
      <c r="I306" s="91"/>
      <c r="J306" s="246" t="s">
        <v>408</v>
      </c>
      <c r="K306" s="240"/>
      <c r="L306" s="245">
        <v>160</v>
      </c>
      <c r="M306" s="91" t="str">
        <f>IF(ISBLANK(L306), " ", IF(ISTEXT(L306), " ", IF(L306&gt;=Нормативы!$L$306, "МСМК", IF(L306&gt;=Нормативы!$L$307, "МС", IF(L306&gt;=Нормативы!$L$308, "КМС", IF(L306&gt;=Нормативы!$L$309, "I", IF(L306&gt;=Нормативы!$L$310, "II", IF(L306&gt;=Нормативы!$L$311, "III", "б/р"))))))))</f>
        <v>МСМК</v>
      </c>
      <c r="N306" s="91" t="str">
        <f>IF(ISBLANK(L306), " ", IF(ISTEXT(L306), " ", IF(L306&gt;=Нормативы!$L$306, "МСМК", IF(L306&gt;=Нормативы!$L$307, "МС", IF(L306&gt;=Нормативы!$L$308, "КМС", IF(L306&gt;=Нормативы!$L$309, "I", IF(L306&gt;=Нормативы!$L$310, "II", IF(L306&gt;=Нормативы!$L$311, "III", "б/р"))))))))</f>
        <v>МСМК</v>
      </c>
      <c r="O306" s="91"/>
      <c r="Q306" s="91" t="str">
        <f t="shared" ref="Q306:Q311" si="56">IF(ISBLANK(P306), " ", IF(ISTEXT(P306), " ", IF(P306&gt;=$L$306, "МСМК", IF(P306&gt;=$L$307, "МС", IF(P306&gt;=$L$308, "КМС", IF(P306&gt;=$L$309, "I", IF(P306&gt;=$L$310, "II", IF(P306&gt;=$L$311, "III", "б/р"))))))))</f>
        <v xml:space="preserve"> </v>
      </c>
    </row>
    <row r="307" spans="3:17" x14ac:dyDescent="0.2">
      <c r="C307" s="217"/>
      <c r="D307" s="217"/>
      <c r="E307" s="217"/>
      <c r="F307" s="217"/>
      <c r="H307" s="245"/>
      <c r="I307" s="91"/>
      <c r="J307" s="246" t="s">
        <v>408</v>
      </c>
      <c r="K307" s="240"/>
      <c r="L307" s="245">
        <v>130</v>
      </c>
      <c r="M307" s="91" t="str">
        <f>IF(ISBLANK(L307), " ", IF(ISTEXT(L307), " ", IF(L307&gt;=Нормативы!$L$306, "МСМК", IF(L307&gt;=Нормативы!$L$307, "МС", IF(L307&gt;=Нормативы!$L$308, "КМС", IF(L307&gt;=Нормативы!$L$309, "I", IF(L307&gt;=Нормативы!$L$310, "II", IF(L307&gt;=Нормативы!$L$311, "III", "б/р"))))))))</f>
        <v>МС</v>
      </c>
      <c r="N307" s="91" t="str">
        <f>IF(ISBLANK(L307), " ", IF(ISTEXT(L307), " ", IF(L307&gt;=Нормативы!$L$306, "МСМК", IF(L307&gt;=Нормативы!$L$307, "МС", IF(L307&gt;=Нормативы!$L$308, "КМС", IF(L307&gt;=Нормативы!$L$309, "I", IF(L307&gt;=Нормативы!$L$310, "II", IF(L307&gt;=Нормативы!$L$311, "III", "б/р"))))))))</f>
        <v>МС</v>
      </c>
      <c r="O307" s="91"/>
      <c r="Q307" s="91" t="str">
        <f t="shared" si="56"/>
        <v xml:space="preserve"> </v>
      </c>
    </row>
    <row r="308" spans="3:17" x14ac:dyDescent="0.2">
      <c r="C308" s="217"/>
      <c r="D308" s="217"/>
      <c r="E308" s="217"/>
      <c r="F308" s="217"/>
      <c r="H308" s="245"/>
      <c r="I308" s="91"/>
      <c r="J308" s="246" t="s">
        <v>408</v>
      </c>
      <c r="K308" s="240"/>
      <c r="L308" s="245">
        <v>105</v>
      </c>
      <c r="M308" s="91" t="str">
        <f>IF(ISBLANK(L308), " ", IF(ISTEXT(L308), " ", IF(L308&gt;=Нормативы!$L$306, "МСМК", IF(L308&gt;=Нормативы!$L$307, "МС", IF(L308&gt;=Нормативы!$L$308, "КМС", IF(L308&gt;=Нормативы!$L$309, "I", IF(L308&gt;=Нормативы!$L$310, "II", IF(L308&gt;=Нормативы!$L$311, "III", "б/р"))))))))</f>
        <v>КМС</v>
      </c>
      <c r="N308" s="91" t="str">
        <f>IF(ISBLANK(L308), " ", IF(ISTEXT(L308), " ", IF(L308&gt;=Нормативы!$L$306, "МСМК", IF(L308&gt;=Нормативы!$L$307, "МС", IF(L308&gt;=Нормативы!$L$308, "КМС", IF(L308&gt;=Нормативы!$L$309, "I", IF(L308&gt;=Нормативы!$L$310, "II", IF(L308&gt;=Нормативы!$L$311, "III", "б/р"))))))))</f>
        <v>КМС</v>
      </c>
      <c r="O308" s="91"/>
      <c r="Q308" s="91" t="str">
        <f t="shared" si="56"/>
        <v xml:space="preserve"> </v>
      </c>
    </row>
    <row r="309" spans="3:17" x14ac:dyDescent="0.2">
      <c r="C309" s="217"/>
      <c r="D309" s="217"/>
      <c r="E309" s="217"/>
      <c r="F309" s="217"/>
      <c r="H309" s="245"/>
      <c r="I309" s="91"/>
      <c r="J309" s="246" t="s">
        <v>408</v>
      </c>
      <c r="K309" s="240"/>
      <c r="L309" s="245">
        <v>91</v>
      </c>
      <c r="M309" s="91" t="str">
        <f>IF(ISBLANK(L309), " ", IF(ISTEXT(L309), " ", IF(L309&gt;=Нормативы!$L$306, "МСМК", IF(L309&gt;=Нормативы!$L$307, "МС", IF(L309&gt;=Нормативы!$L$308, "КМС", IF(L309&gt;=Нормативы!$L$309, "I", IF(L309&gt;=Нормативы!$L$310, "II", IF(L309&gt;=Нормативы!$L$311, "III", "б/р"))))))))</f>
        <v>I</v>
      </c>
      <c r="N309" s="91" t="str">
        <f>IF(ISBLANK(L309), " ", IF(ISTEXT(L309), " ", IF(L309&gt;=Нормативы!$L$306, "МСМК", IF(L309&gt;=Нормативы!$L$307, "МС", IF(L309&gt;=Нормативы!$L$308, "КМС", IF(L309&gt;=Нормативы!$L$309, "I", IF(L309&gt;=Нормативы!$L$310, "II", IF(L309&gt;=Нормативы!$L$311, "III", "б/р"))))))))</f>
        <v>I</v>
      </c>
      <c r="O309" s="91"/>
      <c r="Q309" s="91" t="str">
        <f t="shared" si="56"/>
        <v xml:space="preserve"> </v>
      </c>
    </row>
    <row r="310" spans="3:17" x14ac:dyDescent="0.2">
      <c r="C310" s="217"/>
      <c r="D310" s="217"/>
      <c r="E310" s="217"/>
      <c r="F310" s="217"/>
      <c r="H310" s="245"/>
      <c r="I310" s="91"/>
      <c r="J310" s="246" t="s">
        <v>408</v>
      </c>
      <c r="K310" s="240"/>
      <c r="L310" s="245">
        <v>73</v>
      </c>
      <c r="M310" s="91" t="str">
        <f>IF(ISBLANK(L310), " ", IF(ISTEXT(L310), " ", IF(L310&gt;=Нормативы!$L$306, "МСМК", IF(L310&gt;=Нормативы!$L$307, "МС", IF(L310&gt;=Нормативы!$L$308, "КМС", IF(L310&gt;=Нормативы!$L$309, "I", IF(L310&gt;=Нормативы!$L$310, "II", IF(L310&gt;=Нормативы!$L$311, "III", "б/р"))))))))</f>
        <v>II</v>
      </c>
      <c r="N310" s="91" t="str">
        <f>IF(ISBLANK(L310), " ", IF(ISTEXT(L310), " ", IF(L310&gt;=Нормативы!$L$306, "МСМК", IF(L310&gt;=Нормативы!$L$307, "МС", IF(L310&gt;=Нормативы!$L$308, "КМС", IF(L310&gt;=Нормативы!$L$309, "I", IF(L310&gt;=Нормативы!$L$310, "II", IF(L310&gt;=Нормативы!$L$311, "III", "б/р"))))))))</f>
        <v>II</v>
      </c>
      <c r="O310" s="91"/>
      <c r="Q310" s="91" t="str">
        <f t="shared" si="56"/>
        <v xml:space="preserve"> </v>
      </c>
    </row>
    <row r="311" spans="3:17" x14ac:dyDescent="0.2">
      <c r="C311" s="217"/>
      <c r="D311" s="217"/>
      <c r="E311" s="217"/>
      <c r="F311" s="217"/>
      <c r="H311" s="245"/>
      <c r="I311" s="91"/>
      <c r="J311" s="246" t="s">
        <v>408</v>
      </c>
      <c r="K311" s="240"/>
      <c r="L311" s="245">
        <v>55</v>
      </c>
      <c r="M311" s="91" t="str">
        <f>IF(ISBLANK(L311), " ", IF(ISTEXT(L311), " ", IF(L311&gt;=Нормативы!$L$306, "МСМК", IF(L311&gt;=Нормативы!$L$307, "МС", IF(L311&gt;=Нормативы!$L$308, "КМС", IF(L311&gt;=Нормативы!$L$309, "I", IF(L311&gt;=Нормативы!$L$310, "II", IF(L311&gt;=Нормативы!$L$311, "III", "б/р"))))))))</f>
        <v>III</v>
      </c>
      <c r="N311" s="91" t="str">
        <f>IF(ISBLANK(L311), " ", IF(ISTEXT(L311), " ", IF(L311&gt;=Нормативы!$L$306, "МСМК", IF(L311&gt;=Нормативы!$L$307, "МС", IF(L311&gt;=Нормативы!$L$308, "КМС", IF(L311&gt;=Нормативы!$L$309, "I", IF(L311&gt;=Нормативы!$L$310, "II", IF(L311&gt;=Нормативы!$L$311, "III", "б/р"))))))))</f>
        <v>III</v>
      </c>
      <c r="O311" s="91"/>
      <c r="Q311" s="91" t="str">
        <f t="shared" si="56"/>
        <v xml:space="preserve"> </v>
      </c>
    </row>
    <row r="312" spans="3:17" x14ac:dyDescent="0.2">
      <c r="C312" s="244"/>
      <c r="H312" s="217"/>
      <c r="I312" s="217"/>
      <c r="K312" s="235"/>
      <c r="L312" s="217"/>
      <c r="M312" s="217"/>
      <c r="N312" s="217"/>
      <c r="Q312" s="217"/>
    </row>
    <row r="313" spans="3:17" x14ac:dyDescent="0.2">
      <c r="C313" s="244" t="s">
        <v>409</v>
      </c>
      <c r="H313" s="217"/>
      <c r="I313" s="217"/>
      <c r="K313" s="235"/>
      <c r="L313" s="217"/>
      <c r="M313" s="217"/>
      <c r="N313" s="217"/>
      <c r="Q313" s="217"/>
    </row>
    <row r="314" spans="3:17" x14ac:dyDescent="0.2">
      <c r="C314" s="217"/>
      <c r="D314" s="217"/>
      <c r="E314" s="217"/>
      <c r="F314" s="217"/>
      <c r="H314" s="245"/>
      <c r="I314" s="91"/>
      <c r="J314" s="246" t="s">
        <v>408</v>
      </c>
      <c r="K314" s="240"/>
      <c r="L314" s="245">
        <v>188</v>
      </c>
      <c r="M314" s="91" t="str">
        <f>IF(ISBLANK(L314), " ", IF(ISTEXT(L314), " ", IF(L314&gt;=Нормативы!$L$314, "МСМК", IF(L314&gt;=Нормативы!$L$315, "МС", IF(L314&gt;=Нормативы!$L$316, "КМС", IF(L314&gt;=Нормативы!$L$317, "I", IF(L314&gt;=Нормативы!$L$318, "II", IF(L314&gt;=Нормативы!$L$319, "III", "б/р"))))))))</f>
        <v>МСМК</v>
      </c>
      <c r="N314" s="91" t="str">
        <f>IF(ISBLANK(L314), " ", IF(ISTEXT(L314), " ", IF(L314&gt;=Нормативы!$L$314, "МСМК", IF(L314&gt;=Нормативы!$L$315, "МС", IF(L314&gt;=Нормативы!$L$316, "КМС", IF(L314&gt;=Нормативы!$L$317, "I", IF(L314&gt;=Нормативы!$L$318, "II", IF(L314&gt;=Нормативы!$L$319, "III", "б/р"))))))))</f>
        <v>МСМК</v>
      </c>
      <c r="O314" s="91"/>
      <c r="Q314" s="91" t="str">
        <f t="shared" ref="Q314:Q319" si="57">IF(ISBLANK(P314), " ", IF(ISTEXT(P314), " ", IF(P314&gt;=$L$314, "МСМК", IF(P314&gt;=$L$315, "МС", IF(P314&gt;=$L$316, "КМС", IF(P314&gt;=$L$317, "I", IF(P314&gt;=$L$318, "II", IF(P314&gt;=$L$319, "III", "б/р"))))))))</f>
        <v xml:space="preserve"> </v>
      </c>
    </row>
    <row r="315" spans="3:17" x14ac:dyDescent="0.2">
      <c r="C315" s="217"/>
      <c r="D315" s="217"/>
      <c r="E315" s="217"/>
      <c r="F315" s="217"/>
      <c r="H315" s="245"/>
      <c r="I315" s="91"/>
      <c r="J315" s="246" t="s">
        <v>408</v>
      </c>
      <c r="K315" s="240"/>
      <c r="L315" s="245">
        <v>160</v>
      </c>
      <c r="M315" s="91" t="str">
        <f>IF(ISBLANK(L315), " ", IF(ISTEXT(L315), " ", IF(L315&gt;=Нормативы!$L$314, "МСМК", IF(L315&gt;=Нормативы!$L$315, "МС", IF(L315&gt;=Нормативы!$L$316, "КМС", IF(L315&gt;=Нормативы!$L$317, "I", IF(L315&gt;=Нормативы!$L$318, "II", IF(L315&gt;=Нормативы!$L$319, "III", "б/р"))))))))</f>
        <v>МС</v>
      </c>
      <c r="N315" s="91" t="str">
        <f>IF(ISBLANK(L315), " ", IF(ISTEXT(L315), " ", IF(L315&gt;=Нормативы!$L$314, "МСМК", IF(L315&gt;=Нормативы!$L$315, "МС", IF(L315&gt;=Нормативы!$L$316, "КМС", IF(L315&gt;=Нормативы!$L$317, "I", IF(L315&gt;=Нормативы!$L$318, "II", IF(L315&gt;=Нормативы!$L$319, "III", "б/р"))))))))</f>
        <v>МС</v>
      </c>
      <c r="O315" s="91"/>
      <c r="Q315" s="91" t="str">
        <f t="shared" si="57"/>
        <v xml:space="preserve"> </v>
      </c>
    </row>
    <row r="316" spans="3:17" x14ac:dyDescent="0.2">
      <c r="C316" s="217"/>
      <c r="D316" s="217"/>
      <c r="E316" s="217"/>
      <c r="F316" s="217"/>
      <c r="H316" s="245"/>
      <c r="I316" s="91"/>
      <c r="J316" s="246" t="s">
        <v>408</v>
      </c>
      <c r="K316" s="240"/>
      <c r="L316" s="245">
        <v>140</v>
      </c>
      <c r="M316" s="91" t="str">
        <f>IF(ISBLANK(L316), " ", IF(ISTEXT(L316), " ", IF(L316&gt;=Нормативы!$L$314, "МСМК", IF(L316&gt;=Нормативы!$L$315, "МС", IF(L316&gt;=Нормативы!$L$316, "КМС", IF(L316&gt;=Нормативы!$L$317, "I", IF(L316&gt;=Нормативы!$L$318, "II", IF(L316&gt;=Нормативы!$L$319, "III", "б/р"))))))))</f>
        <v>КМС</v>
      </c>
      <c r="N316" s="91" t="str">
        <f>IF(ISBLANK(L316), " ", IF(ISTEXT(L316), " ", IF(L316&gt;=Нормативы!$L$314, "МСМК", IF(L316&gt;=Нормативы!$L$315, "МС", IF(L316&gt;=Нормативы!$L$316, "КМС", IF(L316&gt;=Нормативы!$L$317, "I", IF(L316&gt;=Нормативы!$L$318, "II", IF(L316&gt;=Нормативы!$L$319, "III", "б/р"))))))))</f>
        <v>КМС</v>
      </c>
      <c r="O316" s="91"/>
      <c r="Q316" s="91" t="str">
        <f t="shared" si="57"/>
        <v xml:space="preserve"> </v>
      </c>
    </row>
    <row r="317" spans="3:17" x14ac:dyDescent="0.2">
      <c r="C317" s="217"/>
      <c r="D317" s="217"/>
      <c r="E317" s="217"/>
      <c r="F317" s="217"/>
      <c r="H317" s="245"/>
      <c r="I317" s="91"/>
      <c r="J317" s="246" t="s">
        <v>408</v>
      </c>
      <c r="K317" s="240"/>
      <c r="L317" s="245">
        <v>119</v>
      </c>
      <c r="M317" s="91" t="str">
        <f>IF(ISBLANK(L317), " ", IF(ISTEXT(L317), " ", IF(L317&gt;=Нормативы!$L$314, "МСМК", IF(L317&gt;=Нормативы!$L$315, "МС", IF(L317&gt;=Нормативы!$L$316, "КМС", IF(L317&gt;=Нормативы!$L$317, "I", IF(L317&gt;=Нормативы!$L$318, "II", IF(L317&gt;=Нормативы!$L$319, "III", "б/р"))))))))</f>
        <v>I</v>
      </c>
      <c r="N317" s="91" t="str">
        <f>IF(ISBLANK(L317), " ", IF(ISTEXT(L317), " ", IF(L317&gt;=Нормативы!$L$314, "МСМК", IF(L317&gt;=Нормативы!$L$315, "МС", IF(L317&gt;=Нормативы!$L$316, "КМС", IF(L317&gt;=Нормативы!$L$317, "I", IF(L317&gt;=Нормативы!$L$318, "II", IF(L317&gt;=Нормативы!$L$319, "III", "б/р"))))))))</f>
        <v>I</v>
      </c>
      <c r="O317" s="91"/>
      <c r="Q317" s="91" t="str">
        <f t="shared" si="57"/>
        <v xml:space="preserve"> </v>
      </c>
    </row>
    <row r="318" spans="3:17" x14ac:dyDescent="0.2">
      <c r="C318" s="217"/>
      <c r="D318" s="217"/>
      <c r="E318" s="217"/>
      <c r="F318" s="217"/>
      <c r="H318" s="245"/>
      <c r="I318" s="91"/>
      <c r="J318" s="246" t="s">
        <v>408</v>
      </c>
      <c r="K318" s="240"/>
      <c r="L318" s="245">
        <v>99</v>
      </c>
      <c r="M318" s="91" t="str">
        <f>IF(ISBLANK(L318), " ", IF(ISTEXT(L318), " ", IF(L318&gt;=Нормативы!$L$314, "МСМК", IF(L318&gt;=Нормативы!$L$315, "МС", IF(L318&gt;=Нормативы!$L$316, "КМС", IF(L318&gt;=Нормативы!$L$317, "I", IF(L318&gt;=Нормативы!$L$318, "II", IF(L318&gt;=Нормативы!$L$319, "III", "б/р"))))))))</f>
        <v>II</v>
      </c>
      <c r="N318" s="91" t="str">
        <f>IF(ISBLANK(L318), " ", IF(ISTEXT(L318), " ", IF(L318&gt;=Нормативы!$L$314, "МСМК", IF(L318&gt;=Нормативы!$L$315, "МС", IF(L318&gt;=Нормативы!$L$316, "КМС", IF(L318&gt;=Нормативы!$L$317, "I", IF(L318&gt;=Нормативы!$L$318, "II", IF(L318&gt;=Нормативы!$L$319, "III", "б/р"))))))))</f>
        <v>II</v>
      </c>
      <c r="O318" s="91"/>
      <c r="Q318" s="91" t="str">
        <f t="shared" si="57"/>
        <v xml:space="preserve"> </v>
      </c>
    </row>
    <row r="319" spans="3:17" x14ac:dyDescent="0.2">
      <c r="C319" s="217"/>
      <c r="D319" s="217"/>
      <c r="E319" s="217"/>
      <c r="F319" s="217"/>
      <c r="H319" s="245"/>
      <c r="I319" s="91"/>
      <c r="J319" s="246" t="s">
        <v>408</v>
      </c>
      <c r="K319" s="240"/>
      <c r="L319" s="245">
        <v>78</v>
      </c>
      <c r="M319" s="91" t="str">
        <f>IF(ISBLANK(L319), " ", IF(ISTEXT(L319), " ", IF(L319&gt;=Нормативы!$L$314, "МСМК", IF(L319&gt;=Нормативы!$L$315, "МС", IF(L319&gt;=Нормативы!$L$316, "КМС", IF(L319&gt;=Нормативы!$L$317, "I", IF(L319&gt;=Нормативы!$L$318, "II", IF(L319&gt;=Нормативы!$L$319, "III", "б/р"))))))))</f>
        <v>III</v>
      </c>
      <c r="N319" s="91" t="str">
        <f>IF(ISBLANK(L319), " ", IF(ISTEXT(L319), " ", IF(L319&gt;=Нормативы!$L$314, "МСМК", IF(L319&gt;=Нормативы!$L$315, "МС", IF(L319&gt;=Нормативы!$L$316, "КМС", IF(L319&gt;=Нормативы!$L$317, "I", IF(L319&gt;=Нормативы!$L$318, "II", IF(L319&gt;=Нормативы!$L$319, "III", "б/р"))))))))</f>
        <v>III</v>
      </c>
      <c r="O319" s="91"/>
      <c r="Q319" s="91" t="str">
        <f t="shared" si="57"/>
        <v xml:space="preserve"> </v>
      </c>
    </row>
    <row r="320" spans="3:17" ht="15" customHeight="1" x14ac:dyDescent="0.2">
      <c r="C320" s="217"/>
      <c r="D320" s="217"/>
      <c r="E320" s="217"/>
      <c r="F320" s="217"/>
      <c r="H320" s="217"/>
      <c r="I320" s="217"/>
      <c r="J320" s="217"/>
      <c r="K320" s="235"/>
      <c r="L320" s="217"/>
      <c r="M320" s="217"/>
      <c r="N320" s="217"/>
      <c r="Q320" s="217"/>
    </row>
    <row r="321" spans="3:17" x14ac:dyDescent="0.2">
      <c r="C321" s="244" t="s">
        <v>410</v>
      </c>
      <c r="H321" s="217"/>
      <c r="I321" s="217"/>
      <c r="K321" s="235"/>
      <c r="L321" s="217"/>
      <c r="M321" s="217"/>
      <c r="N321" s="217"/>
      <c r="Q321" s="217"/>
    </row>
    <row r="322" spans="3:17" x14ac:dyDescent="0.2">
      <c r="C322" s="217"/>
      <c r="D322" s="217"/>
      <c r="E322" s="217"/>
      <c r="F322" s="217"/>
      <c r="H322" s="245"/>
      <c r="I322" s="91"/>
      <c r="J322" s="246" t="s">
        <v>408</v>
      </c>
      <c r="K322" s="240"/>
      <c r="L322" s="245">
        <v>220</v>
      </c>
      <c r="M322" s="91" t="str">
        <f>IF(ISBLANK(L322), " ", IF(ISTEXT(L322), " ", IF(L322&gt;=Нормативы!$L$322, "МСМК", IF(L322&gt;=Нормативы!$L$323, "МС", IF(L322&gt;=Нормативы!$L$324, "КМС", IF(L322&gt;=Нормативы!$L$325, "I", IF(L322&gt;=Нормативы!$L$326, "II", IF(L322&gt;=Нормативы!$L$327, "III", "б/р"))))))))</f>
        <v>МСМК</v>
      </c>
      <c r="N322" s="91" t="str">
        <f>IF(ISBLANK(L322), " ", IF(ISTEXT(L322), " ", IF(L322&gt;=Нормативы!$L$322, "МСМК", IF(L322&gt;=Нормативы!$L$323, "МС", IF(L322&gt;=Нормативы!$L$324, "КМС", IF(L322&gt;=Нормативы!$L$325, "I", IF(L322&gt;=Нормативы!$L$326, "II", IF(L322&gt;=Нормативы!$L$327, "III", "б/р"))))))))</f>
        <v>МСМК</v>
      </c>
      <c r="O322" s="91"/>
      <c r="Q322" s="91" t="str">
        <f t="shared" ref="Q322:Q327" si="58">IF(ISBLANK(P322), " ", IF(ISTEXT(P322), " ", IF(P322&gt;=$L$322, "МСМК", IF(P322&gt;=$L$323, "МС", IF(P322&gt;=$L$324, "КМС", IF(P322&gt;=$L$325, "I", IF(P322&gt;=$L$326, "II", IF(P322&gt;=$L$327, "III", "б/р"))))))))</f>
        <v xml:space="preserve"> </v>
      </c>
    </row>
    <row r="323" spans="3:17" x14ac:dyDescent="0.2">
      <c r="C323" s="217"/>
      <c r="D323" s="217"/>
      <c r="E323" s="217"/>
      <c r="F323" s="217"/>
      <c r="H323" s="245"/>
      <c r="I323" s="91"/>
      <c r="J323" s="246" t="s">
        <v>408</v>
      </c>
      <c r="K323" s="240"/>
      <c r="L323" s="245">
        <v>180</v>
      </c>
      <c r="M323" s="91" t="str">
        <f>IF(ISBLANK(L323), " ", IF(ISTEXT(L323), " ", IF(L323&gt;=Нормативы!$L$322, "МСМК", IF(L323&gt;=Нормативы!$L$323, "МС", IF(L323&gt;=Нормативы!$L$324, "КМС", IF(L323&gt;=Нормативы!$L$325, "I", IF(L323&gt;=Нормативы!$L$326, "II", IF(L323&gt;=Нормативы!$L$327, "III", "б/р"))))))))</f>
        <v>МС</v>
      </c>
      <c r="N323" s="91" t="str">
        <f>IF(ISBLANK(L323), " ", IF(ISTEXT(L323), " ", IF(L323&gt;=Нормативы!$L$322, "МСМК", IF(L323&gt;=Нормативы!$L$323, "МС", IF(L323&gt;=Нормативы!$L$324, "КМС", IF(L323&gt;=Нормативы!$L$325, "I", IF(L323&gt;=Нормативы!$L$326, "II", IF(L323&gt;=Нормативы!$L$327, "III", "б/р"))))))))</f>
        <v>МС</v>
      </c>
      <c r="O323" s="91"/>
      <c r="Q323" s="91" t="str">
        <f t="shared" si="58"/>
        <v xml:space="preserve"> </v>
      </c>
    </row>
    <row r="324" spans="3:17" x14ac:dyDescent="0.2">
      <c r="C324" s="217"/>
      <c r="D324" s="217"/>
      <c r="E324" s="217"/>
      <c r="F324" s="217"/>
      <c r="H324" s="245"/>
      <c r="I324" s="91"/>
      <c r="J324" s="246" t="s">
        <v>408</v>
      </c>
      <c r="K324" s="240"/>
      <c r="L324" s="245">
        <v>148</v>
      </c>
      <c r="M324" s="91" t="str">
        <f>IF(ISBLANK(L324), " ", IF(ISTEXT(L324), " ", IF(L324&gt;=Нормативы!$L$322, "МСМК", IF(L324&gt;=Нормативы!$L$323, "МС", IF(L324&gt;=Нормативы!$L$324, "КМС", IF(L324&gt;=Нормативы!$L$325, "I", IF(L324&gt;=Нормативы!$L$326, "II", IF(L324&gt;=Нормативы!$L$327, "III", "б/р"))))))))</f>
        <v>КМС</v>
      </c>
      <c r="N324" s="91" t="str">
        <f>IF(ISBLANK(L324), " ", IF(ISTEXT(L324), " ", IF(L324&gt;=Нормативы!$L$322, "МСМК", IF(L324&gt;=Нормативы!$L$323, "МС", IF(L324&gt;=Нормативы!$L$324, "КМС", IF(L324&gt;=Нормативы!$L$325, "I", IF(L324&gt;=Нормативы!$L$326, "II", IF(L324&gt;=Нормативы!$L$327, "III", "б/р"))))))))</f>
        <v>КМС</v>
      </c>
      <c r="O324" s="91"/>
      <c r="Q324" s="91" t="str">
        <f t="shared" si="58"/>
        <v xml:space="preserve"> </v>
      </c>
    </row>
    <row r="325" spans="3:17" x14ac:dyDescent="0.2">
      <c r="C325" s="217"/>
      <c r="D325" s="217"/>
      <c r="E325" s="217"/>
      <c r="F325" s="217"/>
      <c r="H325" s="245"/>
      <c r="I325" s="91"/>
      <c r="J325" s="246" t="s">
        <v>408</v>
      </c>
      <c r="K325" s="240"/>
      <c r="L325" s="245">
        <v>120</v>
      </c>
      <c r="M325" s="91" t="str">
        <f>IF(ISBLANK(L325), " ", IF(ISTEXT(L325), " ", IF(L325&gt;=Нормативы!$L$322, "МСМК", IF(L325&gt;=Нормативы!$L$323, "МС", IF(L325&gt;=Нормативы!$L$324, "КМС", IF(L325&gt;=Нормативы!$L$325, "I", IF(L325&gt;=Нормативы!$L$326, "II", IF(L325&gt;=Нормативы!$L$327, "III", "б/р"))))))))</f>
        <v>I</v>
      </c>
      <c r="N325" s="91" t="str">
        <f>IF(ISBLANK(L325), " ", IF(ISTEXT(L325), " ", IF(L325&gt;=Нормативы!$L$322, "МСМК", IF(L325&gt;=Нормативы!$L$323, "МС", IF(L325&gt;=Нормативы!$L$324, "КМС", IF(L325&gt;=Нормативы!$L$325, "I", IF(L325&gt;=Нормативы!$L$326, "II", IF(L325&gt;=Нормативы!$L$327, "III", "б/р"))))))))</f>
        <v>I</v>
      </c>
      <c r="O325" s="91"/>
      <c r="Q325" s="91" t="str">
        <f t="shared" si="58"/>
        <v xml:space="preserve"> </v>
      </c>
    </row>
    <row r="326" spans="3:17" x14ac:dyDescent="0.2">
      <c r="C326" s="217"/>
      <c r="D326" s="217"/>
      <c r="E326" s="217"/>
      <c r="F326" s="217"/>
      <c r="H326" s="245"/>
      <c r="I326" s="91"/>
      <c r="J326" s="246" t="s">
        <v>408</v>
      </c>
      <c r="K326" s="240"/>
      <c r="L326" s="245">
        <v>85</v>
      </c>
      <c r="M326" s="91" t="str">
        <f>IF(ISBLANK(L326), " ", IF(ISTEXT(L326), " ", IF(L326&gt;=Нормативы!$L$322, "МСМК", IF(L326&gt;=Нормативы!$L$323, "МС", IF(L326&gt;=Нормативы!$L$324, "КМС", IF(L326&gt;=Нормативы!$L$325, "I", IF(L326&gt;=Нормативы!$L$326, "II", IF(L326&gt;=Нормативы!$L$327, "III", "б/р"))))))))</f>
        <v>II</v>
      </c>
      <c r="N326" s="91" t="str">
        <f>IF(ISBLANK(L326), " ", IF(ISTEXT(L326), " ", IF(L326&gt;=Нормативы!$L$322, "МСМК", IF(L326&gt;=Нормативы!$L$323, "МС", IF(L326&gt;=Нормативы!$L$324, "КМС", IF(L326&gt;=Нормативы!$L$325, "I", IF(L326&gt;=Нормативы!$L$326, "II", IF(L326&gt;=Нормативы!$L$327, "III", "б/р"))))))))</f>
        <v>II</v>
      </c>
      <c r="O326" s="91"/>
      <c r="Q326" s="91" t="str">
        <f t="shared" si="58"/>
        <v xml:space="preserve"> </v>
      </c>
    </row>
    <row r="327" spans="3:17" x14ac:dyDescent="0.2">
      <c r="C327" s="217"/>
      <c r="D327" s="217"/>
      <c r="E327" s="217"/>
      <c r="F327" s="217"/>
      <c r="H327" s="245"/>
      <c r="I327" s="91"/>
      <c r="J327" s="246" t="s">
        <v>408</v>
      </c>
      <c r="K327" s="240"/>
      <c r="L327" s="245">
        <v>69</v>
      </c>
      <c r="M327" s="91" t="str">
        <f>IF(ISBLANK(L327), " ", IF(ISTEXT(L327), " ", IF(L327&gt;=Нормативы!$L$322, "МСМК", IF(L327&gt;=Нормативы!$L$323, "МС", IF(L327&gt;=Нормативы!$L$324, "КМС", IF(L327&gt;=Нормативы!$L$325, "I", IF(L327&gt;=Нормативы!$L$326, "II", IF(L327&gt;=Нормативы!$L$327, "III", "б/р"))))))))</f>
        <v>III</v>
      </c>
      <c r="N327" s="91" t="str">
        <f>IF(ISBLANK(L327), " ", IF(ISTEXT(L327), " ", IF(L327&gt;=Нормативы!$L$322, "МСМК", IF(L327&gt;=Нормативы!$L$323, "МС", IF(L327&gt;=Нормативы!$L$324, "КМС", IF(L327&gt;=Нормативы!$L$325, "I", IF(L327&gt;=Нормативы!$L$326, "II", IF(L327&gt;=Нормативы!$L$327, "III", "б/р"))))))))</f>
        <v>III</v>
      </c>
      <c r="O327" s="91"/>
      <c r="Q327" s="91" t="str">
        <f t="shared" si="58"/>
        <v xml:space="preserve"> </v>
      </c>
    </row>
    <row r="328" spans="3:17" x14ac:dyDescent="0.2">
      <c r="C328" s="244"/>
      <c r="H328" s="217"/>
      <c r="I328" s="91"/>
      <c r="K328" s="235"/>
      <c r="L328" s="217"/>
      <c r="M328" s="91"/>
      <c r="N328" s="91"/>
      <c r="Q328" s="91"/>
    </row>
    <row r="329" spans="3:17" x14ac:dyDescent="0.2">
      <c r="C329" s="244" t="s">
        <v>411</v>
      </c>
      <c r="H329" s="217"/>
      <c r="I329" s="217"/>
      <c r="K329" s="235"/>
      <c r="L329" s="217"/>
      <c r="M329" s="217"/>
      <c r="N329" s="217"/>
      <c r="Q329" s="217"/>
    </row>
    <row r="330" spans="3:17" x14ac:dyDescent="0.2">
      <c r="C330" s="217"/>
      <c r="D330" s="217"/>
      <c r="E330" s="217"/>
      <c r="F330" s="217"/>
      <c r="H330" s="245"/>
      <c r="I330" s="91"/>
      <c r="J330" s="246" t="s">
        <v>408</v>
      </c>
      <c r="K330" s="240"/>
      <c r="L330" s="245">
        <v>250</v>
      </c>
      <c r="M330" s="91" t="str">
        <f>IF(ISBLANK(L330), " ", IF(ISTEXT(L330), " ", IF(L330&gt;=Нормативы!$L$330, "МСМК", IF(L330&gt;=Нормативы!$L$331, "МС", IF(L330&gt;=Нормативы!$L$332, "КМС", IF(L330&gt;=Нормативы!$L$333, "I", IF(L330&gt;=Нормативы!$L$334, "II", IF(L330&gt;=Нормативы!$L$335, "III", "б/р"))))))))</f>
        <v>МСМК</v>
      </c>
      <c r="N330" s="91" t="str">
        <f>IF(ISBLANK(L330), " ", IF(ISTEXT(L330), " ", IF(L330&gt;=Нормативы!$L$330, "МСМК", IF(L330&gt;=Нормативы!$L$331, "МС", IF(L330&gt;=Нормативы!$L$332, "КМС", IF(L330&gt;=Нормативы!$L$333, "I", IF(L330&gt;=Нормативы!$L$334, "II", IF(L330&gt;=Нормативы!$L$335, "III", "б/р"))))))))</f>
        <v>МСМК</v>
      </c>
      <c r="O330" s="91"/>
      <c r="Q330" s="91" t="str">
        <f t="shared" ref="Q330:Q335" si="59">IF(ISBLANK(P330), " ", IF(ISTEXT(P330), " ", IF(P330&gt;=$L$330, "МСМК", IF(P330&gt;=$L$331, "МС", IF(P330&gt;=$L$332, "КМС", IF(P330&gt;=$L$333, "I", IF(P330&gt;=$L$334, "II", IF(P330&gt;=$L$335, "III", "б/р"))))))))</f>
        <v xml:space="preserve"> </v>
      </c>
    </row>
    <row r="331" spans="3:17" x14ac:dyDescent="0.2">
      <c r="C331" s="217"/>
      <c r="D331" s="217"/>
      <c r="E331" s="217"/>
      <c r="F331" s="217"/>
      <c r="H331" s="245"/>
      <c r="I331" s="91"/>
      <c r="J331" s="246" t="s">
        <v>408</v>
      </c>
      <c r="K331" s="240"/>
      <c r="L331" s="245">
        <v>210</v>
      </c>
      <c r="M331" s="91" t="str">
        <f>IF(ISBLANK(L331), " ", IF(ISTEXT(L331), " ", IF(L331&gt;=Нормативы!$L$330, "МСМК", IF(L331&gt;=Нормативы!$L$331, "МС", IF(L331&gt;=Нормативы!$L$332, "КМС", IF(L331&gt;=Нормативы!$L$333, "I", IF(L331&gt;=Нормативы!$L$334, "II", IF(L331&gt;=Нормативы!$L$335, "III", "б/р"))))))))</f>
        <v>МС</v>
      </c>
      <c r="N331" s="91" t="str">
        <f>IF(ISBLANK(L331), " ", IF(ISTEXT(L331), " ", IF(L331&gt;=Нормативы!$L$330, "МСМК", IF(L331&gt;=Нормативы!$L$331, "МС", IF(L331&gt;=Нормативы!$L$332, "КМС", IF(L331&gt;=Нормативы!$L$333, "I", IF(L331&gt;=Нормативы!$L$334, "II", IF(L331&gt;=Нормативы!$L$335, "III", "б/р"))))))))</f>
        <v>МС</v>
      </c>
      <c r="O331" s="91"/>
      <c r="Q331" s="91" t="str">
        <f t="shared" si="59"/>
        <v xml:space="preserve"> </v>
      </c>
    </row>
    <row r="332" spans="3:17" x14ac:dyDescent="0.2">
      <c r="C332" s="217"/>
      <c r="D332" s="217"/>
      <c r="E332" s="217"/>
      <c r="F332" s="217"/>
      <c r="H332" s="245"/>
      <c r="I332" s="91"/>
      <c r="J332" s="246" t="s">
        <v>408</v>
      </c>
      <c r="K332" s="240"/>
      <c r="L332" s="245">
        <v>180</v>
      </c>
      <c r="M332" s="91" t="str">
        <f>IF(ISBLANK(L332), " ", IF(ISTEXT(L332), " ", IF(L332&gt;=Нормативы!$L$330, "МСМК", IF(L332&gt;=Нормативы!$L$331, "МС", IF(L332&gt;=Нормативы!$L$332, "КМС", IF(L332&gt;=Нормативы!$L$333, "I", IF(L332&gt;=Нормативы!$L$334, "II", IF(L332&gt;=Нормативы!$L$335, "III", "б/р"))))))))</f>
        <v>КМС</v>
      </c>
      <c r="N332" s="91" t="str">
        <f>IF(ISBLANK(L332), " ", IF(ISTEXT(L332), " ", IF(L332&gt;=Нормативы!$L$330, "МСМК", IF(L332&gt;=Нормативы!$L$331, "МС", IF(L332&gt;=Нормативы!$L$332, "КМС", IF(L332&gt;=Нормативы!$L$333, "I", IF(L332&gt;=Нормативы!$L$334, "II", IF(L332&gt;=Нормативы!$L$335, "III", "б/р"))))))))</f>
        <v>КМС</v>
      </c>
      <c r="O332" s="91"/>
      <c r="Q332" s="91" t="str">
        <f t="shared" si="59"/>
        <v xml:space="preserve"> </v>
      </c>
    </row>
    <row r="333" spans="3:17" x14ac:dyDescent="0.2">
      <c r="C333" s="217"/>
      <c r="D333" s="217"/>
      <c r="E333" s="217"/>
      <c r="F333" s="217"/>
      <c r="H333" s="245"/>
      <c r="I333" s="91"/>
      <c r="J333" s="246" t="s">
        <v>408</v>
      </c>
      <c r="K333" s="240"/>
      <c r="L333" s="245">
        <v>148</v>
      </c>
      <c r="M333" s="91" t="str">
        <f>IF(ISBLANK(L333), " ", IF(ISTEXT(L333), " ", IF(L333&gt;=Нормативы!$L$330, "МСМК", IF(L333&gt;=Нормативы!$L$331, "МС", IF(L333&gt;=Нормативы!$L$332, "КМС", IF(L333&gt;=Нормативы!$L$333, "I", IF(L333&gt;=Нормативы!$L$334, "II", IF(L333&gt;=Нормативы!$L$335, "III", "б/р"))))))))</f>
        <v>I</v>
      </c>
      <c r="N333" s="91" t="str">
        <f>IF(ISBLANK(L333), " ", IF(ISTEXT(L333), " ", IF(L333&gt;=Нормативы!$L$330, "МСМК", IF(L333&gt;=Нормативы!$L$331, "МС", IF(L333&gt;=Нормативы!$L$332, "КМС", IF(L333&gt;=Нормативы!$L$333, "I", IF(L333&gt;=Нормативы!$L$334, "II", IF(L333&gt;=Нормативы!$L$335, "III", "б/р"))))))))</f>
        <v>I</v>
      </c>
      <c r="O333" s="91"/>
      <c r="Q333" s="91" t="str">
        <f t="shared" si="59"/>
        <v xml:space="preserve"> </v>
      </c>
    </row>
    <row r="334" spans="3:17" x14ac:dyDescent="0.2">
      <c r="C334" s="217"/>
      <c r="D334" s="217"/>
      <c r="E334" s="217"/>
      <c r="F334" s="217"/>
      <c r="H334" s="245"/>
      <c r="I334" s="91"/>
      <c r="J334" s="246" t="s">
        <v>408</v>
      </c>
      <c r="K334" s="240"/>
      <c r="L334" s="245">
        <v>105</v>
      </c>
      <c r="M334" s="91" t="str">
        <f>IF(ISBLANK(L334), " ", IF(ISTEXT(L334), " ", IF(L334&gt;=Нормативы!$L$330, "МСМК", IF(L334&gt;=Нормативы!$L$331, "МС", IF(L334&gt;=Нормативы!$L$332, "КМС", IF(L334&gt;=Нормативы!$L$333, "I", IF(L334&gt;=Нормативы!$L$334, "II", IF(L334&gt;=Нормативы!$L$335, "III", "б/р"))))))))</f>
        <v>II</v>
      </c>
      <c r="N334" s="91" t="str">
        <f>IF(ISBLANK(L334), " ", IF(ISTEXT(L334), " ", IF(L334&gt;=Нормативы!$L$330, "МСМК", IF(L334&gt;=Нормативы!$L$331, "МС", IF(L334&gt;=Нормативы!$L$332, "КМС", IF(L334&gt;=Нормативы!$L$333, "I", IF(L334&gt;=Нормативы!$L$334, "II", IF(L334&gt;=Нормативы!$L$335, "III", "б/р"))))))))</f>
        <v>II</v>
      </c>
      <c r="O334" s="91"/>
      <c r="Q334" s="91" t="str">
        <f t="shared" si="59"/>
        <v xml:space="preserve"> </v>
      </c>
    </row>
    <row r="335" spans="3:17" x14ac:dyDescent="0.2">
      <c r="C335" s="217"/>
      <c r="D335" s="217"/>
      <c r="E335" s="217"/>
      <c r="F335" s="217"/>
      <c r="H335" s="245"/>
      <c r="I335" s="91"/>
      <c r="J335" s="246" t="s">
        <v>408</v>
      </c>
      <c r="K335" s="240"/>
      <c r="L335" s="245">
        <v>90</v>
      </c>
      <c r="M335" s="91" t="str">
        <f>IF(ISBLANK(L335), " ", IF(ISTEXT(L335), " ", IF(L335&gt;=Нормативы!$L$330, "МСМК", IF(L335&gt;=Нормативы!$L$331, "МС", IF(L335&gt;=Нормативы!$L$332, "КМС", IF(L335&gt;=Нормативы!$L$333, "I", IF(L335&gt;=Нормативы!$L$334, "II", IF(L335&gt;=Нормативы!$L$335, "III", "б/р"))))))))</f>
        <v>III</v>
      </c>
      <c r="N335" s="91" t="str">
        <f>IF(ISBLANK(L335), " ", IF(ISTEXT(L335), " ", IF(L335&gt;=Нормативы!$L$330, "МСМК", IF(L335&gt;=Нормативы!$L$331, "МС", IF(L335&gt;=Нормативы!$L$332, "КМС", IF(L335&gt;=Нормативы!$L$333, "I", IF(L335&gt;=Нормативы!$L$334, "II", IF(L335&gt;=Нормативы!$L$335, "III", "б/р"))))))))</f>
        <v>III</v>
      </c>
      <c r="O335" s="91"/>
      <c r="Q335" s="91" t="str">
        <f t="shared" si="59"/>
        <v xml:space="preserve"> </v>
      </c>
    </row>
    <row r="336" spans="3:17" x14ac:dyDescent="0.2">
      <c r="C336" s="244"/>
      <c r="H336" s="217"/>
      <c r="I336" s="217"/>
      <c r="K336" s="235"/>
      <c r="L336" s="217"/>
      <c r="M336" s="217"/>
      <c r="N336" s="217"/>
      <c r="Q336" s="217"/>
    </row>
    <row r="337" spans="3:17" x14ac:dyDescent="0.2">
      <c r="C337" s="244" t="s">
        <v>412</v>
      </c>
      <c r="H337" s="217"/>
      <c r="I337" s="217"/>
      <c r="L337" s="217"/>
      <c r="M337" s="217"/>
      <c r="N337" s="217"/>
      <c r="Q337" s="217"/>
    </row>
    <row r="338" spans="3:17" x14ac:dyDescent="0.2">
      <c r="C338" s="217"/>
      <c r="D338" s="217"/>
      <c r="E338" s="217"/>
      <c r="F338" s="217"/>
      <c r="H338" s="245"/>
      <c r="I338" s="91"/>
      <c r="J338" s="246" t="s">
        <v>408</v>
      </c>
      <c r="K338" s="240"/>
      <c r="L338" s="245">
        <v>210</v>
      </c>
      <c r="M338" s="91" t="str">
        <f>IF(ISBLANK(L338), " ", IF(ISTEXT(L338), " ", IF(L338&gt;=Нормативы!$L$338, "МСМК", IF(L338&gt;=Нормативы!$L$339, "МС", IF(L338&gt;=Нормативы!$L$340, "КМС", IF(L338&gt;=Нормативы!$L$341, "I", IF(L338&gt;=Нормативы!$L$342, "II", IF(L338&gt;=Нормативы!$L$343, "III", "б/р"))))))))</f>
        <v>МСМК</v>
      </c>
      <c r="N338" s="91" t="str">
        <f>IF(ISBLANK(L338), " ", IF(ISTEXT(L338), " ", IF(L338&gt;=Нормативы!$L$338, "МСМК", IF(L338&gt;=Нормативы!$L$339, "МС", IF(L338&gt;=Нормативы!$L$340, "КМС", IF(L338&gt;=Нормативы!$L$341, "I", IF(L338&gt;=Нормативы!$L$342, "II", IF(L338&gt;=Нормативы!$L$343, "III", "б/р"))))))))</f>
        <v>МСМК</v>
      </c>
      <c r="O338" s="91"/>
      <c r="Q338" s="91" t="str">
        <f t="shared" ref="Q338:Q343" si="60">IF(ISBLANK(P338), " ", IF(ISTEXT(P338), " ", IF(P338&gt;=$L$338, "МСМК", IF(P338&gt;=$L$339, "МС", IF(P338&gt;=$L$340, "КМС", IF(P338&gt;=$L$341, "I", IF(P338&gt;=$L$342, "II", IF(P338&gt;=$L$343, "III", "б/р"))))))))</f>
        <v xml:space="preserve"> </v>
      </c>
    </row>
    <row r="339" spans="3:17" x14ac:dyDescent="0.2">
      <c r="C339" s="217"/>
      <c r="D339" s="217"/>
      <c r="E339" s="217"/>
      <c r="F339" s="217"/>
      <c r="H339" s="245"/>
      <c r="I339" s="91"/>
      <c r="J339" s="246" t="s">
        <v>408</v>
      </c>
      <c r="K339" s="240"/>
      <c r="L339" s="245">
        <v>155</v>
      </c>
      <c r="M339" s="91" t="str">
        <f>IF(ISBLANK(L339), " ", IF(ISTEXT(L339), " ", IF(L339&gt;=Нормативы!$L$338, "МСМК", IF(L339&gt;=Нормативы!$L$339, "МС", IF(L339&gt;=Нормативы!$L$340, "КМС", IF(L339&gt;=Нормативы!$L$341, "I", IF(L339&gt;=Нормативы!$L$342, "II", IF(L339&gt;=Нормативы!$L$343, "III", "б/р"))))))))</f>
        <v>МС</v>
      </c>
      <c r="N339" s="91" t="str">
        <f>IF(ISBLANK(L339), " ", IF(ISTEXT(L339), " ", IF(L339&gt;=Нормативы!$L$338, "МСМК", IF(L339&gt;=Нормативы!$L$339, "МС", IF(L339&gt;=Нормативы!$L$340, "КМС", IF(L339&gt;=Нормативы!$L$341, "I", IF(L339&gt;=Нормативы!$L$342, "II", IF(L339&gt;=Нормативы!$L$343, "III", "б/р"))))))))</f>
        <v>МС</v>
      </c>
      <c r="O339" s="91"/>
      <c r="Q339" s="91" t="str">
        <f t="shared" si="60"/>
        <v xml:space="preserve"> </v>
      </c>
    </row>
    <row r="340" spans="3:17" x14ac:dyDescent="0.2">
      <c r="C340" s="217"/>
      <c r="D340" s="217"/>
      <c r="E340" s="217"/>
      <c r="F340" s="217"/>
      <c r="H340" s="245"/>
      <c r="I340" s="91"/>
      <c r="J340" s="246" t="s">
        <v>408</v>
      </c>
      <c r="K340" s="240"/>
      <c r="L340" s="245">
        <v>125</v>
      </c>
      <c r="M340" s="91" t="str">
        <f>IF(ISBLANK(L340), " ", IF(ISTEXT(L340), " ", IF(L340&gt;=Нормативы!$L$338, "МСМК", IF(L340&gt;=Нормативы!$L$339, "МС", IF(L340&gt;=Нормативы!$L$340, "КМС", IF(L340&gt;=Нормативы!$L$341, "I", IF(L340&gt;=Нормативы!$L$342, "II", IF(L340&gt;=Нормативы!$L$343, "III", "б/р"))))))))</f>
        <v>КМС</v>
      </c>
      <c r="N340" s="91" t="str">
        <f>IF(ISBLANK(L340), " ", IF(ISTEXT(L340), " ", IF(L340&gt;=Нормативы!$L$338, "МСМК", IF(L340&gt;=Нормативы!$L$339, "МС", IF(L340&gt;=Нормативы!$L$340, "КМС", IF(L340&gt;=Нормативы!$L$341, "I", IF(L340&gt;=Нормативы!$L$342, "II", IF(L340&gt;=Нормативы!$L$343, "III", "б/р"))))))))</f>
        <v>КМС</v>
      </c>
      <c r="O340" s="91"/>
      <c r="Q340" s="91" t="str">
        <f t="shared" si="60"/>
        <v xml:space="preserve"> </v>
      </c>
    </row>
    <row r="341" spans="3:17" x14ac:dyDescent="0.2">
      <c r="C341" s="217"/>
      <c r="D341" s="217"/>
      <c r="E341" s="217"/>
      <c r="F341" s="217"/>
      <c r="H341" s="245"/>
      <c r="I341" s="91"/>
      <c r="J341" s="246" t="s">
        <v>408</v>
      </c>
      <c r="K341" s="240"/>
      <c r="L341" s="245">
        <v>101</v>
      </c>
      <c r="M341" s="91" t="str">
        <f>IF(ISBLANK(L341), " ", IF(ISTEXT(L341), " ", IF(L341&gt;=Нормативы!$L$338, "МСМК", IF(L341&gt;=Нормативы!$L$339, "МС", IF(L341&gt;=Нормативы!$L$340, "КМС", IF(L341&gt;=Нормативы!$L$341, "I", IF(L341&gt;=Нормативы!$L$342, "II", IF(L341&gt;=Нормативы!$L$343, "III", "б/р"))))))))</f>
        <v>I</v>
      </c>
      <c r="N341" s="91" t="str">
        <f>IF(ISBLANK(L341), " ", IF(ISTEXT(L341), " ", IF(L341&gt;=Нормативы!$L$338, "МСМК", IF(L341&gt;=Нормативы!$L$339, "МС", IF(L341&gt;=Нормативы!$L$340, "КМС", IF(L341&gt;=Нормативы!$L$341, "I", IF(L341&gt;=Нормативы!$L$342, "II", IF(L341&gt;=Нормативы!$L$343, "III", "б/р"))))))))</f>
        <v>I</v>
      </c>
      <c r="O341" s="91"/>
      <c r="Q341" s="91" t="str">
        <f t="shared" si="60"/>
        <v xml:space="preserve"> </v>
      </c>
    </row>
    <row r="342" spans="3:17" x14ac:dyDescent="0.2">
      <c r="C342" s="217"/>
      <c r="D342" s="217"/>
      <c r="E342" s="217"/>
      <c r="F342" s="217"/>
      <c r="H342" s="245"/>
      <c r="I342" s="91"/>
      <c r="J342" s="246" t="s">
        <v>408</v>
      </c>
      <c r="K342" s="240"/>
      <c r="L342" s="245">
        <v>79</v>
      </c>
      <c r="M342" s="91" t="str">
        <f>IF(ISBLANK(L342), " ", IF(ISTEXT(L342), " ", IF(L342&gt;=Нормативы!$L$338, "МСМК", IF(L342&gt;=Нормативы!$L$339, "МС", IF(L342&gt;=Нормативы!$L$340, "КМС", IF(L342&gt;=Нормативы!$L$341, "I", IF(L342&gt;=Нормативы!$L$342, "II", IF(L342&gt;=Нормативы!$L$343, "III", "б/р"))))))))</f>
        <v>II</v>
      </c>
      <c r="N342" s="91" t="str">
        <f>IF(ISBLANK(L342), " ", IF(ISTEXT(L342), " ", IF(L342&gt;=Нормативы!$L$338, "МСМК", IF(L342&gt;=Нормативы!$L$339, "МС", IF(L342&gt;=Нормативы!$L$340, "КМС", IF(L342&gt;=Нормативы!$L$341, "I", IF(L342&gt;=Нормативы!$L$342, "II", IF(L342&gt;=Нормативы!$L$343, "III", "б/р"))))))))</f>
        <v>II</v>
      </c>
      <c r="O342" s="91"/>
      <c r="Q342" s="91" t="str">
        <f t="shared" si="60"/>
        <v xml:space="preserve"> </v>
      </c>
    </row>
    <row r="343" spans="3:17" x14ac:dyDescent="0.2">
      <c r="C343" s="217"/>
      <c r="D343" s="217"/>
      <c r="E343" s="217"/>
      <c r="F343" s="217"/>
      <c r="H343" s="245"/>
      <c r="I343" s="91"/>
      <c r="J343" s="246" t="s">
        <v>408</v>
      </c>
      <c r="K343" s="240"/>
      <c r="L343" s="245">
        <v>62</v>
      </c>
      <c r="M343" s="91" t="str">
        <f>IF(ISBLANK(L343), " ", IF(ISTEXT(L343), " ", IF(L343&gt;=Нормативы!$L$338, "МСМК", IF(L343&gt;=Нормативы!$L$339, "МС", IF(L343&gt;=Нормативы!$L$340, "КМС", IF(L343&gt;=Нормативы!$L$341, "I", IF(L343&gt;=Нормативы!$L$342, "II", IF(L343&gt;=Нормативы!$L$343, "III", "б/р"))))))))</f>
        <v>III</v>
      </c>
      <c r="N343" s="91" t="str">
        <f>IF(ISBLANK(L343), " ", IF(ISTEXT(L343), " ", IF(L343&gt;=Нормативы!$L$338, "МСМК", IF(L343&gt;=Нормативы!$L$339, "МС", IF(L343&gt;=Нормативы!$L$340, "КМС", IF(L343&gt;=Нормативы!$L$341, "I", IF(L343&gt;=Нормативы!$L$342, "II", IF(L343&gt;=Нормативы!$L$343, "III", "б/р"))))))))</f>
        <v>III</v>
      </c>
      <c r="O343" s="91"/>
      <c r="Q343" s="91" t="str">
        <f t="shared" si="60"/>
        <v xml:space="preserve"> </v>
      </c>
    </row>
    <row r="344" spans="3:17" ht="15" customHeight="1" x14ac:dyDescent="0.2">
      <c r="C344" s="217"/>
      <c r="D344" s="217"/>
      <c r="E344" s="217"/>
      <c r="F344" s="217"/>
      <c r="H344" s="217"/>
      <c r="I344" s="217"/>
      <c r="J344" s="217"/>
      <c r="L344" s="217"/>
      <c r="M344" s="217"/>
      <c r="N344" s="217"/>
      <c r="Q344" s="217"/>
    </row>
    <row r="345" spans="3:17" x14ac:dyDescent="0.2">
      <c r="C345" s="244" t="s">
        <v>413</v>
      </c>
      <c r="H345" s="217"/>
      <c r="I345" s="217"/>
      <c r="L345" s="217"/>
      <c r="M345" s="217"/>
      <c r="N345" s="217"/>
      <c r="Q345" s="217"/>
    </row>
    <row r="346" spans="3:17" x14ac:dyDescent="0.2">
      <c r="C346" s="217"/>
      <c r="D346" s="217"/>
      <c r="E346" s="217"/>
      <c r="F346" s="217"/>
      <c r="H346" s="245"/>
      <c r="I346" s="91"/>
      <c r="J346" s="246" t="s">
        <v>408</v>
      </c>
      <c r="K346" s="240"/>
      <c r="L346" s="245">
        <v>235</v>
      </c>
      <c r="M346" s="91" t="str">
        <f>IF(ISBLANK(L346), " ", IF(ISTEXT(L346), " ", IF(L346&gt;=Нормативы!$L$346, "МСМК", IF(L346&gt;=Нормативы!$L$347, "МС", IF(L346&gt;=Нормативы!$L$348, "КМС", IF(L346&gt;=Нормативы!$L$349, "I", IF(L346&gt;=Нормативы!$L$350, "II", IF(L346&gt;=Нормативы!$L$351, "III", "б/р"))))))))</f>
        <v>МСМК</v>
      </c>
      <c r="N346" s="91" t="str">
        <f>IF(ISBLANK(L346), " ", IF(ISTEXT(L346), " ", IF(L346&gt;=Нормативы!$L$346, "МСМК", IF(L346&gt;=Нормативы!$L$347, "МС", IF(L346&gt;=Нормативы!$L$348, "КМС", IF(L346&gt;=Нормативы!$L$349, "I", IF(L346&gt;=Нормативы!$L$350, "II", IF(L346&gt;=Нормативы!$L$351, "III", "б/р"))))))))</f>
        <v>МСМК</v>
      </c>
      <c r="O346" s="91"/>
      <c r="Q346" s="91" t="str">
        <f t="shared" ref="Q346:Q351" si="61">IF(ISBLANK(P346), " ", IF(ISTEXT(P346), " ", IF(P346&gt;=$L$346, "МСМК", IF(P346&gt;=$L$347, "МС", IF(P346&gt;=$L$348, "КМС", IF(P346&gt;=$L$349, "I", IF(P346&gt;=$L$350, "II", IF(P346&gt;=$L$351, "III", "б/р"))))))))</f>
        <v xml:space="preserve"> </v>
      </c>
    </row>
    <row r="347" spans="3:17" x14ac:dyDescent="0.2">
      <c r="C347" s="217"/>
      <c r="D347" s="217"/>
      <c r="E347" s="217"/>
      <c r="F347" s="217"/>
      <c r="H347" s="245"/>
      <c r="I347" s="91"/>
      <c r="J347" s="246" t="s">
        <v>408</v>
      </c>
      <c r="K347" s="240"/>
      <c r="L347" s="245">
        <v>201</v>
      </c>
      <c r="M347" s="91" t="str">
        <f>IF(ISBLANK(L347), " ", IF(ISTEXT(L347), " ", IF(L347&gt;=Нормативы!$L$346, "МСМК", IF(L347&gt;=Нормативы!$L$347, "МС", IF(L347&gt;=Нормативы!$L$348, "КМС", IF(L347&gt;=Нормативы!$L$349, "I", IF(L347&gt;=Нормативы!$L$350, "II", IF(L347&gt;=Нормативы!$L$351, "III", "б/р"))))))))</f>
        <v>МС</v>
      </c>
      <c r="N347" s="91" t="str">
        <f>IF(ISBLANK(L347), " ", IF(ISTEXT(L347), " ", IF(L347&gt;=Нормативы!$L$346, "МСМК", IF(L347&gt;=Нормативы!$L$347, "МС", IF(L347&gt;=Нормативы!$L$348, "КМС", IF(L347&gt;=Нормативы!$L$349, "I", IF(L347&gt;=Нормативы!$L$350, "II", IF(L347&gt;=Нормативы!$L$351, "III", "б/р"))))))))</f>
        <v>МС</v>
      </c>
      <c r="O347" s="91"/>
      <c r="Q347" s="91" t="str">
        <f t="shared" si="61"/>
        <v xml:space="preserve"> </v>
      </c>
    </row>
    <row r="348" spans="3:17" x14ac:dyDescent="0.2">
      <c r="C348" s="217"/>
      <c r="D348" s="217"/>
      <c r="E348" s="217"/>
      <c r="F348" s="217"/>
      <c r="H348" s="245"/>
      <c r="I348" s="91"/>
      <c r="J348" s="246" t="s">
        <v>408</v>
      </c>
      <c r="K348" s="240"/>
      <c r="L348" s="245">
        <v>162</v>
      </c>
      <c r="M348" s="91" t="str">
        <f>IF(ISBLANK(L348), " ", IF(ISTEXT(L348), " ", IF(L348&gt;=Нормативы!$L$346, "МСМК", IF(L348&gt;=Нормативы!$L$347, "МС", IF(L348&gt;=Нормативы!$L$348, "КМС", IF(L348&gt;=Нормативы!$L$349, "I", IF(L348&gt;=Нормативы!$L$350, "II", IF(L348&gt;=Нормативы!$L$351, "III", "б/р"))))))))</f>
        <v>КМС</v>
      </c>
      <c r="N348" s="91" t="str">
        <f>IF(ISBLANK(L348), " ", IF(ISTEXT(L348), " ", IF(L348&gt;=Нормативы!$L$346, "МСМК", IF(L348&gt;=Нормативы!$L$347, "МС", IF(L348&gt;=Нормативы!$L$348, "КМС", IF(L348&gt;=Нормативы!$L$349, "I", IF(L348&gt;=Нормативы!$L$350, "II", IF(L348&gt;=Нормативы!$L$351, "III", "б/р"))))))))</f>
        <v>КМС</v>
      </c>
      <c r="O348" s="91"/>
      <c r="Q348" s="91" t="str">
        <f t="shared" si="61"/>
        <v xml:space="preserve"> </v>
      </c>
    </row>
    <row r="349" spans="3:17" x14ac:dyDescent="0.2">
      <c r="C349" s="217"/>
      <c r="D349" s="217"/>
      <c r="E349" s="217"/>
      <c r="F349" s="217"/>
      <c r="H349" s="245"/>
      <c r="I349" s="91"/>
      <c r="J349" s="246" t="s">
        <v>408</v>
      </c>
      <c r="K349" s="240"/>
      <c r="L349" s="245">
        <v>130</v>
      </c>
      <c r="M349" s="91" t="str">
        <f>IF(ISBLANK(L349), " ", IF(ISTEXT(L349), " ", IF(L349&gt;=Нормативы!$L$346, "МСМК", IF(L349&gt;=Нормативы!$L$347, "МС", IF(L349&gt;=Нормативы!$L$348, "КМС", IF(L349&gt;=Нормативы!$L$349, "I", IF(L349&gt;=Нормативы!$L$350, "II", IF(L349&gt;=Нормативы!$L$351, "III", "б/р"))))))))</f>
        <v>I</v>
      </c>
      <c r="N349" s="91" t="str">
        <f>IF(ISBLANK(L349), " ", IF(ISTEXT(L349), " ", IF(L349&gt;=Нормативы!$L$346, "МСМК", IF(L349&gt;=Нормативы!$L$347, "МС", IF(L349&gt;=Нормативы!$L$348, "КМС", IF(L349&gt;=Нормативы!$L$349, "I", IF(L349&gt;=Нормативы!$L$350, "II", IF(L349&gt;=Нормативы!$L$351, "III", "б/р"))))))))</f>
        <v>I</v>
      </c>
      <c r="O349" s="91"/>
      <c r="Q349" s="91" t="str">
        <f t="shared" si="61"/>
        <v xml:space="preserve"> </v>
      </c>
    </row>
    <row r="350" spans="3:17" x14ac:dyDescent="0.2">
      <c r="C350" s="217"/>
      <c r="D350" s="217"/>
      <c r="E350" s="217"/>
      <c r="F350" s="217"/>
      <c r="H350" s="245"/>
      <c r="I350" s="91"/>
      <c r="J350" s="246" t="s">
        <v>408</v>
      </c>
      <c r="K350" s="240"/>
      <c r="L350" s="245">
        <v>105</v>
      </c>
      <c r="M350" s="91" t="str">
        <f>IF(ISBLANK(L350), " ", IF(ISTEXT(L350), " ", IF(L350&gt;=Нормативы!$L$346, "МСМК", IF(L350&gt;=Нормативы!$L$347, "МС", IF(L350&gt;=Нормативы!$L$348, "КМС", IF(L350&gt;=Нормативы!$L$349, "I", IF(L350&gt;=Нормативы!$L$350, "II", IF(L350&gt;=Нормативы!$L$351, "III", "б/р"))))))))</f>
        <v>II</v>
      </c>
      <c r="N350" s="91" t="str">
        <f>IF(ISBLANK(L350), " ", IF(ISTEXT(L350), " ", IF(L350&gt;=Нормативы!$L$346, "МСМК", IF(L350&gt;=Нормативы!$L$347, "МС", IF(L350&gt;=Нормативы!$L$348, "КМС", IF(L350&gt;=Нормативы!$L$349, "I", IF(L350&gt;=Нормативы!$L$350, "II", IF(L350&gt;=Нормативы!$L$351, "III", "б/р"))))))))</f>
        <v>II</v>
      </c>
      <c r="O350" s="91"/>
      <c r="Q350" s="91" t="str">
        <f t="shared" si="61"/>
        <v xml:space="preserve"> </v>
      </c>
    </row>
    <row r="351" spans="3:17" x14ac:dyDescent="0.2">
      <c r="C351" s="217"/>
      <c r="D351" s="217"/>
      <c r="E351" s="217"/>
      <c r="F351" s="217"/>
      <c r="H351" s="245"/>
      <c r="I351" s="91"/>
      <c r="J351" s="246" t="s">
        <v>408</v>
      </c>
      <c r="K351" s="240"/>
      <c r="L351" s="245">
        <v>81</v>
      </c>
      <c r="M351" s="91" t="str">
        <f>IF(ISBLANK(L351), " ", IF(ISTEXT(L351), " ", IF(L351&gt;=Нормативы!$L$346, "МСМК", IF(L351&gt;=Нормативы!$L$347, "МС", IF(L351&gt;=Нормативы!$L$348, "КМС", IF(L351&gt;=Нормативы!$L$349, "I", IF(L351&gt;=Нормативы!$L$350, "II", IF(L351&gt;=Нормативы!$L$351, "III", "б/р"))))))))</f>
        <v>III</v>
      </c>
      <c r="N351" s="91" t="str">
        <f>IF(ISBLANK(L351), " ", IF(ISTEXT(L351), " ", IF(L351&gt;=Нормативы!$L$346, "МСМК", IF(L351&gt;=Нормативы!$L$347, "МС", IF(L351&gt;=Нормативы!$L$348, "КМС", IF(L351&gt;=Нормативы!$L$349, "I", IF(L351&gt;=Нормативы!$L$350, "II", IF(L351&gt;=Нормативы!$L$351, "III", "б/р"))))))))</f>
        <v>III</v>
      </c>
      <c r="O351" s="91"/>
      <c r="Q351" s="91" t="str">
        <f t="shared" si="61"/>
        <v xml:space="preserve"> </v>
      </c>
    </row>
    <row r="352" spans="3:17" x14ac:dyDescent="0.2">
      <c r="C352" s="244"/>
      <c r="I352" s="217"/>
      <c r="J352" s="217"/>
      <c r="L352" s="217"/>
      <c r="M352" s="217"/>
      <c r="N352" s="217"/>
      <c r="Q352" s="217"/>
    </row>
    <row r="353" spans="3:17" x14ac:dyDescent="0.2">
      <c r="C353" s="244" t="s">
        <v>414</v>
      </c>
      <c r="I353" s="217"/>
      <c r="J353" s="217"/>
      <c r="K353" s="235"/>
      <c r="L353" s="217"/>
      <c r="M353" s="217"/>
      <c r="N353" s="217"/>
      <c r="Q353" s="217"/>
    </row>
    <row r="354" spans="3:17" x14ac:dyDescent="0.2">
      <c r="C354" s="217"/>
      <c r="D354" s="217"/>
      <c r="E354" s="217"/>
      <c r="F354" s="217"/>
      <c r="G354" s="217"/>
      <c r="H354" s="222">
        <v>37</v>
      </c>
      <c r="I354" s="91" t="str">
        <f>IF(ISBLANK(H354), " ", IF(ISTEXT(H354), " ", IF(H354&lt;=Нормативы!$H$354, "МСМК", IF(H354&lt;=Нормативы!$H$355, "МС", IF(H354&lt;=Нормативы!$H$356, "КМС", IF(H354&lt;=Нормативы!$H$357, "I", IF(H354&lt;=Нормативы!$H$358, "II", IF(H354&lt;=Нормативы!$H$359, "III", "б/р"))))))))</f>
        <v>МСМК</v>
      </c>
      <c r="J354" s="91" t="str">
        <f>IF(ISBLANK(H354), " ", IF(ISTEXT(H354), " ", IF(H354&lt;=Нормативы!$H$354, "МСМК", IF(H354&lt;=Нормативы!$H$355, "МС", IF(H354&lt;=Нормативы!$H$356, "КМС", IF(H354&lt;=Нормативы!$H$357, "I", IF(H354&lt;=Нормативы!$H$358, "II", IF(H354&lt;=Нормативы!$H$359, "III", "б/р"))))))))</f>
        <v>МСМК</v>
      </c>
      <c r="K354" s="240"/>
      <c r="L354" s="222"/>
      <c r="M354" s="91" t="str">
        <f>IF(ISBLANK(L354), " ", IF(ISTEXT(L354), " ", IF(L354&lt;=Нормативы!$H$354, "КМС", IF(L354&lt;=Нормативы!$H$355, "КМС", IF(L354&lt;=Нормативы!$L$356, "КМС", IF(L354&lt;=Нормативы!$L$357, "I", IF(L354&lt;=Нормативы!$L$358, "II", IF(L354&lt;=Нормативы!$L$359, "III", "б/р"))))))))</f>
        <v xml:space="preserve"> </v>
      </c>
      <c r="N354" s="91" t="str">
        <f>IF(ISBLANK(L354), " ", IF(ISTEXT(L354), " ", IF(L354&lt;=37.2, "МСМК", IF(L354&lt;=39.5, "МС", IF(L354&lt;=41.6, "КМС", IF(L354&lt;=45, "I", IF(L354&lt;=48.6, "II", IF(L354&lt;=53, "III", "б/р"))))))))</f>
        <v xml:space="preserve"> </v>
      </c>
      <c r="O354" s="91"/>
      <c r="Q354" s="91" t="str">
        <f t="shared" ref="Q354:Q359" si="62">IF(ISBLANK(P354), " ", IF(ISTEXT(P354), " ", IF(P354&lt;=$H$354, "МСМК", IF(P354&lt;=$H$355, "МС", IF(P354&lt;=$H$356, "КМС", IF(P354&lt;=$H$357, "I", IF(P354&lt;=$H$358, "II", IF(P354&lt;=$H$359, "III", "б/р"))))))))</f>
        <v xml:space="preserve"> </v>
      </c>
    </row>
    <row r="355" spans="3:17" x14ac:dyDescent="0.2">
      <c r="C355" s="217"/>
      <c r="D355" s="217"/>
      <c r="E355" s="217"/>
      <c r="F355" s="217"/>
      <c r="G355" s="217"/>
      <c r="H355" s="222">
        <v>39.4</v>
      </c>
      <c r="I355" s="91" t="str">
        <f>IF(ISBLANK(H355), " ", IF(ISTEXT(H355), " ", IF(H355&lt;=Нормативы!$H$354, "МСМК", IF(H355&lt;=Нормативы!$H$355, "МС", IF(H355&lt;=Нормативы!$H$356, "КМС", IF(H355&lt;=Нормативы!$H$357, "I", IF(H355&lt;=Нормативы!$H$358, "II", IF(H355&lt;=Нормативы!$H$359, "III", "б/р"))))))))</f>
        <v>МС</v>
      </c>
      <c r="J355" s="91" t="str">
        <f>IF(ISBLANK(H355), " ", IF(ISTEXT(H355), " ", IF(H355&lt;=Нормативы!$H$354, "МСМК", IF(H355&lt;=Нормативы!$H$355, "МС", IF(H355&lt;=Нормативы!$H$356, "КМС", IF(H355&lt;=Нормативы!$H$357, "I", IF(H355&lt;=Нормативы!$H$358, "II", IF(H355&lt;=Нормативы!$H$359, "III", "б/р"))))))))</f>
        <v>МС</v>
      </c>
      <c r="K355" s="240"/>
      <c r="L355" s="222"/>
      <c r="M355" s="91" t="str">
        <f>IF(ISBLANK(L355), " ", IF(ISTEXT(L355), " ", IF(L355&lt;=Нормативы!$H$354, "КМС", IF(L355&lt;=Нормативы!$H$355, "КМС", IF(L355&lt;=Нормативы!$L$356, "КМС", IF(L355&lt;=Нормативы!$L$357, "I", IF(L355&lt;=Нормативы!$L$358, "II", IF(L355&lt;=Нормативы!$L$359, "III", "б/р"))))))))</f>
        <v xml:space="preserve"> </v>
      </c>
      <c r="N355" s="91" t="str">
        <f>IF(ISBLANK(L355), " ", IF(ISTEXT(L355), " ", IF(L355&lt;=37.2, "МСМК", IF(L355&lt;=39.5, "МС", IF(L355&lt;=41.6, "КМС", IF(L355&lt;=45, "I", IF(L355&lt;=48.6, "II", IF(L355&lt;=53, "III", "б/р"))))))))</f>
        <v xml:space="preserve"> </v>
      </c>
      <c r="O355" s="91"/>
      <c r="Q355" s="91" t="str">
        <f t="shared" si="62"/>
        <v xml:space="preserve"> </v>
      </c>
    </row>
    <row r="356" spans="3:17" x14ac:dyDescent="0.2">
      <c r="C356" s="217"/>
      <c r="D356" s="217"/>
      <c r="E356" s="217"/>
      <c r="F356" s="217"/>
      <c r="G356" s="217"/>
      <c r="H356" s="222">
        <v>41.2</v>
      </c>
      <c r="I356" s="91" t="str">
        <f>IF(ISBLANK(H356), " ", IF(ISTEXT(H356), " ", IF(H356&lt;=Нормативы!$H$354, "МСМК", IF(H356&lt;=Нормативы!$H$355, "МС", IF(H356&lt;=Нормативы!$H$356, "КМС", IF(H356&lt;=Нормативы!$H$357, "I", IF(H356&lt;=Нормативы!$H$358, "II", IF(H356&lt;=Нормативы!$H$359, "III", "б/р"))))))))</f>
        <v>КМС</v>
      </c>
      <c r="J356" s="91" t="str">
        <f>IF(ISBLANK(H356), " ", IF(ISTEXT(H356), " ", IF(H356&lt;=Нормативы!$H$354, "МСМК", IF(H356&lt;=Нормативы!$H$355, "МС", IF(H356&lt;=Нормативы!$H$356, "КМС", IF(H356&lt;=Нормативы!$H$357, "I", IF(H356&lt;=Нормативы!$H$358, "II", IF(H356&lt;=Нормативы!$H$359, "III", "б/р"))))))))</f>
        <v>КМС</v>
      </c>
      <c r="K356" s="240"/>
      <c r="L356" s="225">
        <f>H356-0.2</f>
        <v>41</v>
      </c>
      <c r="M356" s="91" t="str">
        <f>IF(ISBLANK(L356), " ", IF(ISTEXT(L356), " ", IF(L356&lt;=Нормативы!$H$354, "КМС", IF(L356&lt;=Нормативы!$H$355, "КМС", IF(L356&lt;=Нормативы!$L$356, "КМС", IF(L356&lt;=Нормативы!$L$357, "I", IF(L356&lt;=Нормативы!$L$358, "II", IF(L356&lt;=Нормативы!$L$359, "III", "б/р"))))))))</f>
        <v>КМС</v>
      </c>
      <c r="N356" s="91" t="str">
        <f>IF(ISBLANK(L356), " ", IF(ISTEXT(L356), " ", IF(L356&lt;=Нормативы!$H$354, "КМС", IF(L356&lt;=Нормативы!$H$355, "КМС", IF(L356&lt;=Нормативы!$L$356, "КМС", IF(L356&lt;=Нормативы!$L$357, "I", IF(L356&lt;=Нормативы!$L$358, "II", IF(L356&lt;=Нормативы!$L$359, "III", "б/р"))))))))</f>
        <v>КМС</v>
      </c>
      <c r="O356" s="91"/>
      <c r="Q356" s="91" t="str">
        <f t="shared" si="62"/>
        <v xml:space="preserve"> </v>
      </c>
    </row>
    <row r="357" spans="3:17" x14ac:dyDescent="0.2">
      <c r="C357" s="217"/>
      <c r="D357" s="217"/>
      <c r="E357" s="217"/>
      <c r="F357" s="217"/>
      <c r="G357" s="217"/>
      <c r="H357" s="222">
        <v>44.7</v>
      </c>
      <c r="I357" s="91" t="str">
        <f>IF(ISBLANK(H357), " ", IF(ISTEXT(H357), " ", IF(H357&lt;=Нормативы!$H$354, "МСМК", IF(H357&lt;=Нормативы!$H$355, "МС", IF(H357&lt;=Нормативы!$H$356, "КМС", IF(H357&lt;=Нормативы!$H$357, "I", IF(H357&lt;=Нормативы!$H$358, "II", IF(H357&lt;=Нормативы!$H$359, "III", "б/р"))))))))</f>
        <v>I</v>
      </c>
      <c r="J357" s="91" t="str">
        <f>IF(ISBLANK(H357), " ", IF(ISTEXT(H357), " ", IF(H357&lt;=Нормативы!$H$354, "МСМК", IF(H357&lt;=Нормативы!$H$355, "МС", IF(H357&lt;=Нормативы!$H$356, "КМС", IF(H357&lt;=Нормативы!$H$357, "I", IF(H357&lt;=Нормативы!$H$358, "II", IF(H357&lt;=Нормативы!$H$359, "III", "б/р"))))))))</f>
        <v>I</v>
      </c>
      <c r="K357" s="240"/>
      <c r="L357" s="225">
        <f>H357-0.2</f>
        <v>44.5</v>
      </c>
      <c r="M357" s="91" t="str">
        <f>IF(ISBLANK(L357), " ", IF(ISTEXT(L357), " ", IF(L357&lt;=Нормативы!$H$354, "КМС", IF(L357&lt;=Нормативы!$H$355, "КМС", IF(L357&lt;=Нормативы!$L$356, "КМС", IF(L357&lt;=Нормативы!$L$357, "I", IF(L357&lt;=Нормативы!$L$358, "II", IF(L357&lt;=Нормативы!$L$359, "III", "б/р"))))))))</f>
        <v>I</v>
      </c>
      <c r="N357" s="91" t="str">
        <f>IF(ISBLANK(L357), " ", IF(ISTEXT(L357), " ", IF(L357&lt;=Нормативы!$H$354, "КМС", IF(L357&lt;=Нормативы!$H$355, "КМС", IF(L357&lt;=Нормативы!$L$356, "КМС", IF(L357&lt;=Нормативы!$L$357, "I", IF(L357&lt;=Нормативы!$L$358, "II", IF(L357&lt;=Нормативы!$L$359, "III", "б/р"))))))))</f>
        <v>I</v>
      </c>
      <c r="O357" s="91"/>
      <c r="Q357" s="91" t="str">
        <f t="shared" si="62"/>
        <v xml:space="preserve"> </v>
      </c>
    </row>
    <row r="358" spans="3:17" x14ac:dyDescent="0.2">
      <c r="C358" s="217"/>
      <c r="D358" s="217"/>
      <c r="E358" s="217"/>
      <c r="F358" s="217"/>
      <c r="G358" s="217"/>
      <c r="H358" s="222">
        <v>48.7</v>
      </c>
      <c r="I358" s="91" t="str">
        <f>IF(ISBLANK(H358), " ", IF(ISTEXT(H358), " ", IF(H358&lt;=Нормативы!$H$354, "МСМК", IF(H358&lt;=Нормативы!$H$355, "МС", IF(H358&lt;=Нормативы!$H$356, "КМС", IF(H358&lt;=Нормативы!$H$357, "I", IF(H358&lt;=Нормативы!$H$358, "II", IF(H358&lt;=Нормативы!$H$359, "III", "б/р"))))))))</f>
        <v>II</v>
      </c>
      <c r="J358" s="91" t="str">
        <f>IF(ISBLANK(H358), " ", IF(ISTEXT(H358), " ", IF(H358&lt;=Нормативы!$H$354, "МСМК", IF(H358&lt;=Нормативы!$H$355, "МС", IF(H358&lt;=Нормативы!$H$356, "КМС", IF(H358&lt;=Нормативы!$H$357, "I", IF(H358&lt;=Нормативы!$H$358, "II", IF(H358&lt;=Нормативы!$H$359, "III", "б/р"))))))))</f>
        <v>II</v>
      </c>
      <c r="K358" s="240"/>
      <c r="L358" s="225">
        <f>H358-0.2</f>
        <v>48.5</v>
      </c>
      <c r="M358" s="91" t="str">
        <f>IF(ISBLANK(L358), " ", IF(ISTEXT(L358), " ", IF(L358&lt;=Нормативы!$H$354, "КМС", IF(L358&lt;=Нормативы!$H$355, "КМС", IF(L358&lt;=Нормативы!$L$356, "КМС", IF(L358&lt;=Нормативы!$L$357, "I", IF(L358&lt;=Нормативы!$L$358, "II", IF(L358&lt;=Нормативы!$L$359, "III", "б/р"))))))))</f>
        <v>II</v>
      </c>
      <c r="N358" s="91" t="str">
        <f>IF(ISBLANK(L358), " ", IF(ISTEXT(L358), " ", IF(L358&lt;=Нормативы!$H$354, "КМС", IF(L358&lt;=Нормативы!$H$355, "КМС", IF(L358&lt;=Нормативы!$L$356, "КМС", IF(L358&lt;=Нормативы!$L$357, "I", IF(L358&lt;=Нормативы!$L$358, "II", IF(L358&lt;=Нормативы!$L$359, "III", "б/р"))))))))</f>
        <v>II</v>
      </c>
      <c r="O358" s="91"/>
      <c r="Q358" s="91" t="str">
        <f t="shared" si="62"/>
        <v xml:space="preserve"> </v>
      </c>
    </row>
    <row r="359" spans="3:17" x14ac:dyDescent="0.2">
      <c r="C359" s="217"/>
      <c r="D359" s="217"/>
      <c r="E359" s="217"/>
      <c r="F359" s="217"/>
      <c r="G359" s="217"/>
      <c r="H359" s="222">
        <v>52.2</v>
      </c>
      <c r="I359" s="91" t="str">
        <f>IF(ISBLANK(H359), " ", IF(ISTEXT(H359), " ", IF(H359&lt;=Нормативы!$H$354, "МСМК", IF(H359&lt;=Нормативы!$H$355, "МС", IF(H359&lt;=Нормативы!$H$356, "КМС", IF(H359&lt;=Нормативы!$H$357, "I", IF(H359&lt;=Нормативы!$H$358, "II", IF(H359&lt;=Нормативы!$H$359, "III", "б/р"))))))))</f>
        <v>III</v>
      </c>
      <c r="J359" s="91" t="str">
        <f>IF(ISBLANK(H359), " ", IF(ISTEXT(H359), " ", IF(H359&lt;=Нормативы!$H$354, "МСМК", IF(H359&lt;=Нормативы!$H$355, "МС", IF(H359&lt;=Нормативы!$H$356, "КМС", IF(H359&lt;=Нормативы!$H$357, "I", IF(H359&lt;=Нормативы!$H$358, "II", IF(H359&lt;=Нормативы!$H$359, "III", "б/р"))))))))</f>
        <v>III</v>
      </c>
      <c r="K359" s="240"/>
      <c r="L359" s="225">
        <f>H359-0.2</f>
        <v>52</v>
      </c>
      <c r="M359" s="91" t="str">
        <f>IF(ISBLANK(L359), " ", IF(ISTEXT(L359), " ", IF(L359&lt;=Нормативы!$H$354, "КМС", IF(L359&lt;=Нормативы!$H$355, "КМС", IF(L359&lt;=Нормативы!$L$356, "КМС", IF(L359&lt;=Нормативы!$L$357, "I", IF(L359&lt;=Нормативы!$L$358, "II", IF(L359&lt;=Нормативы!$L$359, "III", "б/р"))))))))</f>
        <v>III</v>
      </c>
      <c r="N359" s="91" t="str">
        <f>IF(ISBLANK(L359), " ", IF(ISTEXT(L359), " ", IF(L359&lt;=Нормативы!$H$354, "КМС", IF(L359&lt;=Нормативы!$H$355, "КМС", IF(L359&lt;=Нормативы!$L$356, "КМС", IF(L359&lt;=Нормативы!$L$357, "I", IF(L359&lt;=Нормативы!$L$358, "II", IF(L359&lt;=Нормативы!$L$359, "III", "б/р"))))))))</f>
        <v>III</v>
      </c>
      <c r="O359" s="91"/>
      <c r="Q359" s="91" t="str">
        <f t="shared" si="62"/>
        <v xml:space="preserve"> </v>
      </c>
    </row>
    <row r="360" spans="3:17" x14ac:dyDescent="0.2">
      <c r="C360" s="244"/>
      <c r="I360" s="217"/>
      <c r="J360" s="217"/>
      <c r="K360" s="235"/>
      <c r="L360" s="217"/>
      <c r="M360" s="217"/>
      <c r="N360" s="217"/>
      <c r="Q360" s="217"/>
    </row>
    <row r="361" spans="3:17" x14ac:dyDescent="0.2">
      <c r="C361" s="244" t="s">
        <v>415</v>
      </c>
      <c r="I361" s="217"/>
      <c r="J361" s="217"/>
      <c r="K361" s="235"/>
      <c r="L361" s="217"/>
      <c r="M361" s="217"/>
      <c r="N361" s="217"/>
      <c r="Q361" s="217"/>
    </row>
    <row r="362" spans="3:17" x14ac:dyDescent="0.2">
      <c r="C362" s="217"/>
      <c r="D362" s="217"/>
      <c r="E362" s="217"/>
      <c r="F362" s="217"/>
      <c r="G362" s="217"/>
      <c r="H362" s="222">
        <v>32.6</v>
      </c>
      <c r="I362" s="91" t="str">
        <f>IF(ISBLANK(H362), " ", IF(ISTEXT(H362), " ", IF(H362&lt;=Нормативы!$H$362, "МСМК", IF(H362&lt;=Нормативы!$H$363, "МС", IF(H362&lt;=Нормативы!$H$364, "КМС", IF(H362&lt;=Нормативы!$H$365, "I", IF(H362&lt;=Нормативы!$H$366, "II", IF(H362&lt;=Нормативы!$H$367, "III", "б/р"))))))))</f>
        <v>МСМК</v>
      </c>
      <c r="J362" s="91" t="str">
        <f>IF(ISBLANK(H362), " ", IF(ISTEXT(H362), " ", IF(H362&lt;=Нормативы!$H$362, "МСМК", IF(H362&lt;=Нормативы!$H$363, "МС", IF(H362&lt;=Нормативы!$H$364, "КМС", IF(H362&lt;=Нормативы!$H$365, "I", IF(H362&lt;=Нормативы!$H$366, "II", IF(H362&lt;=Нормативы!$H$367, "III", "б/р"))))))))</f>
        <v>МСМК</v>
      </c>
      <c r="K362" s="240"/>
      <c r="L362" s="222"/>
      <c r="M362" s="91" t="str">
        <f>IF(ISBLANK(L362), " ", IF(ISTEXT(L362), " ", IF(L362&lt;=Нормативы!$H$362, "КМС", IF(L362&lt;=Нормативы!$H$363, "КМС", IF(L362&lt;=Нормативы!$L$364, "КМС", IF(L362&lt;=Нормативы!$L$365, "I", IF(L362&lt;=Нормативы!$L$366, "II", IF(L362&lt;=Нормативы!$L$367, "III", "б/р"))))))))</f>
        <v xml:space="preserve"> </v>
      </c>
      <c r="N362" s="91" t="str">
        <f>IF(ISBLANK(L362), " ", IF(ISTEXT(L362), " ", IF(L362&lt;=32.8, "МСМК", IF(L362&lt;=35, "МС", IF(L362&lt;=39.6, "КМС", IF(L362&lt;=42.2, "I", IF(L362&lt;=45.6, "II", IF(L362&lt;=49.5, "III", "б/р"))))))))</f>
        <v xml:space="preserve"> </v>
      </c>
      <c r="O362" s="91"/>
      <c r="Q362" s="91" t="str">
        <f t="shared" ref="Q362:Q367" si="63">IF(ISBLANK(P362), " ", IF(ISTEXT(P362), " ", IF(P362&lt;=$H$362, "МСМК", IF(P362&lt;=$H$363, "МС", IF(P362&lt;=$H$364, "КМС", IF(P362&lt;=$H$365, "I", IF(P362&lt;=$H$366, "II", IF(P362&lt;=$H$367, "III", "б/р"))))))))</f>
        <v xml:space="preserve"> </v>
      </c>
    </row>
    <row r="363" spans="3:17" x14ac:dyDescent="0.2">
      <c r="C363" s="217"/>
      <c r="D363" s="217"/>
      <c r="E363" s="217"/>
      <c r="F363" s="217"/>
      <c r="G363" s="217"/>
      <c r="H363" s="222">
        <v>34</v>
      </c>
      <c r="I363" s="91" t="str">
        <f>IF(ISBLANK(H363), " ", IF(ISTEXT(H363), " ", IF(H363&lt;=Нормативы!$H$362, "МСМК", IF(H363&lt;=Нормативы!$H$363, "МС", IF(H363&lt;=Нормативы!$H$364, "КМС", IF(H363&lt;=Нормативы!$H$365, "I", IF(H363&lt;=Нормативы!$H$366, "II", IF(H363&lt;=Нормативы!$H$367, "III", "б/р"))))))))</f>
        <v>МС</v>
      </c>
      <c r="J363" s="91" t="str">
        <f>IF(ISBLANK(H363), " ", IF(ISTEXT(H363), " ", IF(H363&lt;=Нормативы!$H$362, "МСМК", IF(H363&lt;=Нормативы!$H$363, "МС", IF(H363&lt;=Нормативы!$H$364, "КМС", IF(H363&lt;=Нормативы!$H$365, "I", IF(H363&lt;=Нормативы!$H$366, "II", IF(H363&lt;=Нормативы!$H$367, "III", "б/р"))))))))</f>
        <v>МС</v>
      </c>
      <c r="K363" s="240"/>
      <c r="L363" s="222"/>
      <c r="M363" s="91" t="str">
        <f>IF(ISBLANK(L363), " ", IF(ISTEXT(L363), " ", IF(L363&lt;=Нормативы!$H$362, "КМС", IF(L363&lt;=Нормативы!$H$363, "КМС", IF(L363&lt;=Нормативы!$L$364, "КМС", IF(L363&lt;=Нормативы!$L$365, "I", IF(L363&lt;=Нормативы!$L$366, "II", IF(L363&lt;=Нормативы!$L$367, "III", "б/р"))))))))</f>
        <v xml:space="preserve"> </v>
      </c>
      <c r="N363" s="91" t="str">
        <f>IF(ISBLANK(L363), " ", IF(ISTEXT(L363), " ", IF(L363&lt;=32.8, "МСМК", IF(L363&lt;=35, "МС", IF(L363&lt;=39.6, "КМС", IF(L363&lt;=42.2, "I", IF(L363&lt;=45.6, "II", IF(L363&lt;=49.5, "III", "б/р"))))))))</f>
        <v xml:space="preserve"> </v>
      </c>
      <c r="O363" s="91"/>
      <c r="Q363" s="91" t="str">
        <f t="shared" si="63"/>
        <v xml:space="preserve"> </v>
      </c>
    </row>
    <row r="364" spans="3:17" x14ac:dyDescent="0.2">
      <c r="C364" s="217"/>
      <c r="D364" s="217"/>
      <c r="E364" s="217"/>
      <c r="F364" s="217"/>
      <c r="G364" s="217"/>
      <c r="H364" s="222">
        <v>38.700000000000003</v>
      </c>
      <c r="I364" s="91" t="str">
        <f>IF(ISBLANK(H364), " ", IF(ISTEXT(H364), " ", IF(H364&lt;=Нормативы!$H$362, "МСМК", IF(H364&lt;=Нормативы!$H$363, "МС", IF(H364&lt;=Нормативы!$H$364, "КМС", IF(H364&lt;=Нормативы!$H$365, "I", IF(H364&lt;=Нормативы!$H$366, "II", IF(H364&lt;=Нормативы!$H$367, "III", "б/р"))))))))</f>
        <v>КМС</v>
      </c>
      <c r="J364" s="91" t="str">
        <f>IF(ISBLANK(H364), " ", IF(ISTEXT(H364), " ", IF(H364&lt;=Нормативы!$H$362, "МСМК", IF(H364&lt;=Нормативы!$H$363, "МС", IF(H364&lt;=Нормативы!$H$364, "КМС", IF(H364&lt;=Нормативы!$H$365, "I", IF(H364&lt;=Нормативы!$H$366, "II", IF(H364&lt;=Нормативы!$H$367, "III", "б/р"))))))))</f>
        <v>КМС</v>
      </c>
      <c r="K364" s="240"/>
      <c r="L364" s="225">
        <f>H364-0.2</f>
        <v>38.5</v>
      </c>
      <c r="M364" s="91" t="str">
        <f>IF(ISBLANK(L364), " ", IF(ISTEXT(L364), " ", IF(L364&lt;=Нормативы!$H$362, "КМС", IF(L364&lt;=Нормативы!$H$363, "КМС", IF(L364&lt;=Нормативы!$L$364, "КМС", IF(L364&lt;=Нормативы!$L$365, "I", IF(L364&lt;=Нормативы!$L$366, "II", IF(L364&lt;=Нормативы!$L$367, "III", "б/р"))))))))</f>
        <v>КМС</v>
      </c>
      <c r="N364" s="91" t="str">
        <f>IF(ISBLANK(L364), " ", IF(ISTEXT(L364), " ", IF(L364&lt;=Нормативы!$H$362, "КМС", IF(L364&lt;=Нормативы!$H$363, "КМС", IF(L364&lt;=Нормативы!$L$364, "КМС", IF(L364&lt;=Нормативы!$L$365, "I", IF(L364&lt;=Нормативы!$L$366, "II", IF(L364&lt;=Нормативы!$L$367, "III", "б/р"))))))))</f>
        <v>КМС</v>
      </c>
      <c r="O364" s="91"/>
      <c r="Q364" s="91" t="str">
        <f t="shared" si="63"/>
        <v xml:space="preserve"> </v>
      </c>
    </row>
    <row r="365" spans="3:17" x14ac:dyDescent="0.2">
      <c r="C365" s="217"/>
      <c r="D365" s="217"/>
      <c r="E365" s="217"/>
      <c r="F365" s="217"/>
      <c r="G365" s="217"/>
      <c r="H365" s="222">
        <v>41.7</v>
      </c>
      <c r="I365" s="91" t="str">
        <f>IF(ISBLANK(H365), " ", IF(ISTEXT(H365), " ", IF(H365&lt;=Нормативы!$H$362, "МСМК", IF(H365&lt;=Нормативы!$H$363, "МС", IF(H365&lt;=Нормативы!$H$364, "КМС", IF(H365&lt;=Нормативы!$H$365, "I", IF(H365&lt;=Нормативы!$H$366, "II", IF(H365&lt;=Нормативы!$H$367, "III", "б/р"))))))))</f>
        <v>I</v>
      </c>
      <c r="J365" s="91" t="str">
        <f>IF(ISBLANK(H365), " ", IF(ISTEXT(H365), " ", IF(H365&lt;=Нормативы!$H$362, "МСМК", IF(H365&lt;=Нормативы!$H$363, "МС", IF(H365&lt;=Нормативы!$H$364, "КМС", IF(H365&lt;=Нормативы!$H$365, "I", IF(H365&lt;=Нормативы!$H$366, "II", IF(H365&lt;=Нормативы!$H$367, "III", "б/р"))))))))</f>
        <v>I</v>
      </c>
      <c r="K365" s="240"/>
      <c r="L365" s="225">
        <f>H365-0.2</f>
        <v>41.5</v>
      </c>
      <c r="M365" s="91" t="str">
        <f>IF(ISBLANK(L365), " ", IF(ISTEXT(L365), " ", IF(L365&lt;=Нормативы!$H$362, "КМС", IF(L365&lt;=Нормативы!$H$363, "КМС", IF(L365&lt;=Нормативы!$L$364, "КМС", IF(L365&lt;=Нормативы!$L$365, "I", IF(L365&lt;=Нормативы!$L$366, "II", IF(L365&lt;=Нормативы!$L$367, "III", "б/р"))))))))</f>
        <v>I</v>
      </c>
      <c r="N365" s="91" t="str">
        <f>IF(ISBLANK(L365), " ", IF(ISTEXT(L365), " ", IF(L365&lt;=Нормативы!$H$362, "КМС", IF(L365&lt;=Нормативы!$H$363, "КМС", IF(L365&lt;=Нормативы!$L$364, "КМС", IF(L365&lt;=Нормативы!$L$365, "I", IF(L365&lt;=Нормативы!$L$366, "II", IF(L365&lt;=Нормативы!$L$367, "III", "б/р"))))))))</f>
        <v>I</v>
      </c>
      <c r="O365" s="91"/>
      <c r="Q365" s="91" t="str">
        <f t="shared" si="63"/>
        <v xml:space="preserve"> </v>
      </c>
    </row>
    <row r="366" spans="3:17" x14ac:dyDescent="0.2">
      <c r="C366" s="217"/>
      <c r="D366" s="217"/>
      <c r="E366" s="217"/>
      <c r="F366" s="217"/>
      <c r="G366" s="217"/>
      <c r="H366" s="222">
        <v>45.7</v>
      </c>
      <c r="I366" s="91" t="str">
        <f>IF(ISBLANK(H366), " ", IF(ISTEXT(H366), " ", IF(H366&lt;=Нормативы!$H$362, "МСМК", IF(H366&lt;=Нормативы!$H$363, "МС", IF(H366&lt;=Нормативы!$H$364, "КМС", IF(H366&lt;=Нормативы!$H$365, "I", IF(H366&lt;=Нормативы!$H$366, "II", IF(H366&lt;=Нормативы!$H$367, "III", "б/р"))))))))</f>
        <v>II</v>
      </c>
      <c r="J366" s="91" t="str">
        <f>IF(ISBLANK(H366), " ", IF(ISTEXT(H366), " ", IF(H366&lt;=Нормативы!$H$362, "МСМК", IF(H366&lt;=Нормативы!$H$363, "МС", IF(H366&lt;=Нормативы!$H$364, "КМС", IF(H366&lt;=Нормативы!$H$365, "I", IF(H366&lt;=Нормативы!$H$366, "II", IF(H366&lt;=Нормативы!$H$367, "III", "б/р"))))))))</f>
        <v>II</v>
      </c>
      <c r="K366" s="240"/>
      <c r="L366" s="225">
        <f>H366-0.2</f>
        <v>45.5</v>
      </c>
      <c r="M366" s="91" t="str">
        <f>IF(ISBLANK(L366), " ", IF(ISTEXT(L366), " ", IF(L366&lt;=Нормативы!$H$362, "КМС", IF(L366&lt;=Нормативы!$H$363, "КМС", IF(L366&lt;=Нормативы!$L$364, "КМС", IF(L366&lt;=Нормативы!$L$365, "I", IF(L366&lt;=Нормативы!$L$366, "II", IF(L366&lt;=Нормативы!$L$367, "III", "б/р"))))))))</f>
        <v>II</v>
      </c>
      <c r="N366" s="91" t="str">
        <f>IF(ISBLANK(L366), " ", IF(ISTEXT(L366), " ", IF(L366&lt;=Нормативы!$H$362, "КМС", IF(L366&lt;=Нормативы!$H$363, "КМС", IF(L366&lt;=Нормативы!$L$364, "КМС", IF(L366&lt;=Нормативы!$L$365, "I", IF(L366&lt;=Нормативы!$L$366, "II", IF(L366&lt;=Нормативы!$L$367, "III", "б/р"))))))))</f>
        <v>II</v>
      </c>
      <c r="O366" s="91"/>
      <c r="Q366" s="91" t="str">
        <f t="shared" si="63"/>
        <v xml:space="preserve"> </v>
      </c>
    </row>
    <row r="367" spans="3:17" x14ac:dyDescent="0.2">
      <c r="C367" s="217"/>
      <c r="D367" s="217"/>
      <c r="E367" s="217"/>
      <c r="F367" s="217"/>
      <c r="G367" s="217"/>
      <c r="H367" s="222">
        <v>49.2</v>
      </c>
      <c r="I367" s="91" t="str">
        <f>IF(ISBLANK(H367), " ", IF(ISTEXT(H367), " ", IF(H367&lt;=Нормативы!$H$362, "МСМК", IF(H367&lt;=Нормативы!$H$363, "МС", IF(H367&lt;=Нормативы!$H$364, "КМС", IF(H367&lt;=Нормативы!$H$365, "I", IF(H367&lt;=Нормативы!$H$366, "II", IF(H367&lt;=Нормативы!$H$367, "III", "б/р"))))))))</f>
        <v>III</v>
      </c>
      <c r="J367" s="91" t="str">
        <f>IF(ISBLANK(H367), " ", IF(ISTEXT(H367), " ", IF(H367&lt;=Нормативы!$H$362, "МСМК", IF(H367&lt;=Нормативы!$H$363, "МС", IF(H367&lt;=Нормативы!$H$364, "КМС", IF(H367&lt;=Нормативы!$H$365, "I", IF(H367&lt;=Нормативы!$H$366, "II", IF(H367&lt;=Нормативы!$H$367, "III", "б/р"))))))))</f>
        <v>III</v>
      </c>
      <c r="K367" s="240"/>
      <c r="L367" s="225">
        <f>H367-0.2</f>
        <v>49</v>
      </c>
      <c r="M367" s="91" t="str">
        <f>IF(ISBLANK(L367), " ", IF(ISTEXT(L367), " ", IF(L367&lt;=Нормативы!$H$362, "КМС", IF(L367&lt;=Нормативы!$H$363, "КМС", IF(L367&lt;=Нормативы!$L$364, "КМС", IF(L367&lt;=Нормативы!$L$365, "I", IF(L367&lt;=Нормативы!$L$366, "II", IF(L367&lt;=Нормативы!$L$367, "III", "б/р"))))))))</f>
        <v>III</v>
      </c>
      <c r="N367" s="91" t="str">
        <f>IF(ISBLANK(L367), " ", IF(ISTEXT(L367), " ", IF(L367&lt;=Нормативы!$H$362, "КМС", IF(L367&lt;=Нормативы!$H$363, "КМС", IF(L367&lt;=Нормативы!$L$364, "КМС", IF(L367&lt;=Нормативы!$L$365, "I", IF(L367&lt;=Нормативы!$L$366, "II", IF(L367&lt;=Нормативы!$L$367, "III", "б/р"))))))))</f>
        <v>III</v>
      </c>
      <c r="O367" s="91"/>
      <c r="Q367" s="91" t="str">
        <f t="shared" si="63"/>
        <v xml:space="preserve"> </v>
      </c>
    </row>
    <row r="368" spans="3:17" x14ac:dyDescent="0.2">
      <c r="C368" s="244"/>
      <c r="I368" s="217"/>
      <c r="J368" s="217"/>
      <c r="L368" s="217"/>
      <c r="M368" s="217"/>
      <c r="N368" s="217"/>
      <c r="Q368" s="217"/>
    </row>
    <row r="369" spans="3:17" x14ac:dyDescent="0.2">
      <c r="C369" s="244" t="s">
        <v>416</v>
      </c>
      <c r="I369" s="217"/>
      <c r="J369" s="217"/>
      <c r="L369" s="217"/>
      <c r="M369" s="217"/>
      <c r="N369" s="217"/>
      <c r="Q369" s="217"/>
    </row>
    <row r="370" spans="3:17" x14ac:dyDescent="0.2">
      <c r="C370" s="217"/>
      <c r="D370" s="217"/>
      <c r="E370" s="217"/>
      <c r="F370" s="217"/>
      <c r="G370" s="217"/>
      <c r="H370" s="222">
        <v>1135</v>
      </c>
      <c r="I370" s="91" t="str">
        <f>IF(ISBLANK(H370), " ", IF(ISTEXT(H370), " ", IF(H370&lt;=Нормативы!$H$370, "МСМК", IF(H370&lt;=Нормативы!$H$371, "МС", IF(H370&lt;=Нормативы!$H$372, "КМС", IF(H370&lt;=Нормативы!$H$373, "I", IF(H370&lt;=Нормативы!$H$374, "II", IF(H370&lt;=Нормативы!$H$375, "III", "б/р"))))))))</f>
        <v>МСМК</v>
      </c>
      <c r="J370" s="91" t="str">
        <f>IF(ISBLANK(H370), " ", IF(ISTEXT(H370), " ", IF(H370&lt;=Нормативы!$H$370, "МСМК", IF(H370&lt;=Нормативы!$H$371, "МС", IF(H370&lt;=Нормативы!$H$372, "КМС", IF(H370&lt;=Нормативы!$H$373, "I", IF(H370&lt;=Нормативы!$H$374, "II", IF(H370&lt;=Нормативы!$H$375, "III", "б/р"))))))))</f>
        <v>МСМК</v>
      </c>
      <c r="K370" s="240"/>
      <c r="L370" s="222"/>
      <c r="M370" s="91" t="str">
        <f>IF(ISBLANK(L370), " ", IF(ISTEXT(L370), " ", IF(L370&lt;=Нормативы!$H$370, "КМС", IF(L370&lt;=Нормативы!$H$371, "КМС", IF(L370&lt;=Нормативы!$L$372, "КМС", IF(L370&lt;=Нормативы!$L$373, "I", IF(L370&lt;=Нормативы!$L$374, "II", IF(L370&lt;=Нормативы!$L$375, "III", "б/р"))))))))</f>
        <v xml:space="preserve"> </v>
      </c>
      <c r="N370" s="91" t="str">
        <f>IF(ISBLANK(L370), " ", IF(ISTEXT(L370), " ", IF(L370&lt;=1211, "МСМК", IF(L370&lt;=1356, "МС", IF(L370&lt;=1559.8, "КМС", IF(L370&lt;=1739.8, "I", IF(L370&lt;=1844.8, "II", IF(L370&lt;=1944.8, "III", "б/р"))))))))</f>
        <v xml:space="preserve"> </v>
      </c>
      <c r="O370" s="91"/>
      <c r="Q370" s="91" t="str">
        <f t="shared" ref="Q370:Q375" si="64">IF(ISBLANK(P370), " ", IF(ISTEXT(P370), " ", IF(P370&lt;=$H$370, "МСМК", IF(P370&lt;=$H$371, "МС", IF(P370&lt;=$H$372, "КМС", IF(P370&lt;=$H$373, "I", IF(P370&lt;=$H$374, "II", IF(P370&lt;=$H$375, "III", "б/р"))))))))</f>
        <v xml:space="preserve"> </v>
      </c>
    </row>
    <row r="371" spans="3:17" x14ac:dyDescent="0.2">
      <c r="C371" s="217"/>
      <c r="D371" s="217"/>
      <c r="E371" s="217"/>
      <c r="F371" s="217"/>
      <c r="G371" s="217"/>
      <c r="H371" s="222">
        <v>1310</v>
      </c>
      <c r="I371" s="91" t="str">
        <f>IF(ISBLANK(H371), " ", IF(ISTEXT(H371), " ", IF(H371&lt;=Нормативы!$H$370, "МСМК", IF(H371&lt;=Нормативы!$H$371, "МС", IF(H371&lt;=Нормативы!$H$372, "КМС", IF(H371&lt;=Нормативы!$H$373, "I", IF(H371&lt;=Нормативы!$H$374, "II", IF(H371&lt;=Нормативы!$H$375, "III", "б/р"))))))))</f>
        <v>МС</v>
      </c>
      <c r="J371" s="91" t="str">
        <f>IF(ISBLANK(H371), " ", IF(ISTEXT(H371), " ", IF(H371&lt;=Нормативы!$H$370, "МСМК", IF(H371&lt;=Нормативы!$H$371, "МС", IF(H371&lt;=Нормативы!$H$372, "КМС", IF(H371&lt;=Нормативы!$H$373, "I", IF(H371&lt;=Нормативы!$H$374, "II", IF(H371&lt;=Нормативы!$H$375, "III", "б/р"))))))))</f>
        <v>МС</v>
      </c>
      <c r="K371" s="240"/>
      <c r="L371" s="222"/>
      <c r="M371" s="91" t="str">
        <f>IF(ISBLANK(L371), " ", IF(ISTEXT(L371), " ", IF(L371&lt;=Нормативы!$H$370, "КМС", IF(L371&lt;=Нормативы!$H$371, "КМС", IF(L371&lt;=Нормативы!$L$372, "КМС", IF(L371&lt;=Нормативы!$L$373, "I", IF(L371&lt;=Нормативы!$L$374, "II", IF(L371&lt;=Нормативы!$L$375, "III", "б/р"))))))))</f>
        <v xml:space="preserve"> </v>
      </c>
      <c r="N371" s="91" t="str">
        <f>IF(ISBLANK(L371), " ", IF(ISTEXT(L371), " ", IF(L371&lt;=1211, "МСМК", IF(L371&lt;=1356, "МС", IF(L371&lt;=1559.8, "КМС", IF(L371&lt;=1739.8, "I", IF(L371&lt;=1844.8, "II", IF(L371&lt;=1944.8, "III", "б/р"))))))))</f>
        <v xml:space="preserve"> </v>
      </c>
      <c r="O371" s="91"/>
      <c r="Q371" s="91" t="str">
        <f t="shared" si="64"/>
        <v xml:space="preserve"> </v>
      </c>
    </row>
    <row r="372" spans="3:17" x14ac:dyDescent="0.2">
      <c r="C372" s="217"/>
      <c r="D372" s="217"/>
      <c r="E372" s="217"/>
      <c r="F372" s="217"/>
      <c r="G372" s="217"/>
      <c r="H372" s="222">
        <v>1530.2</v>
      </c>
      <c r="I372" s="91" t="str">
        <f>IF(ISBLANK(H372), " ", IF(ISTEXT(H372), " ", IF(H372&lt;=Нормативы!$H$370, "МСМК", IF(H372&lt;=Нормативы!$H$371, "МС", IF(H372&lt;=Нормативы!$H$372, "КМС", IF(H372&lt;=Нормативы!$H$373, "I", IF(H372&lt;=Нормативы!$H$374, "II", IF(H372&lt;=Нормативы!$H$375, "III", "б/р"))))))))</f>
        <v>КМС</v>
      </c>
      <c r="J372" s="91" t="str">
        <f>IF(ISBLANK(H372), " ", IF(ISTEXT(H372), " ", IF(H372&lt;=Нормативы!$H$370, "МСМК", IF(H372&lt;=Нормативы!$H$371, "МС", IF(H372&lt;=Нормативы!$H$372, "КМС", IF(H372&lt;=Нормативы!$H$373, "I", IF(H372&lt;=Нормативы!$H$374, "II", IF(H372&lt;=Нормативы!$H$375, "III", "б/р"))))))))</f>
        <v>КМС</v>
      </c>
      <c r="K372" s="240"/>
      <c r="L372" s="225">
        <f>H372-0.2</f>
        <v>1530</v>
      </c>
      <c r="M372" s="91" t="str">
        <f>IF(ISBLANK(L372), " ", IF(ISTEXT(L372), " ", IF(L372&lt;=Нормативы!$H$370, "КМС", IF(L372&lt;=Нормативы!$H$371, "КМС", IF(L372&lt;=Нормативы!$L$372, "КМС", IF(L372&lt;=Нормативы!$L$373, "I", IF(L372&lt;=Нормативы!$L$374, "II", IF(L372&lt;=Нормативы!$L$375, "III", "б/р"))))))))</f>
        <v>КМС</v>
      </c>
      <c r="N372" s="91" t="str">
        <f>IF(ISBLANK(L372), " ", IF(ISTEXT(L372), " ", IF(L372&lt;=Нормативы!$H$370, "КМС", IF(L372&lt;=Нормативы!$H$371, "КМС", IF(L372&lt;=Нормативы!$L$372, "КМС", IF(L372&lt;=Нормативы!$L$373, "I", IF(L372&lt;=Нормативы!$L$374, "II", IF(L372&lt;=Нормативы!$L$375, "III", "б/р"))))))))</f>
        <v>КМС</v>
      </c>
      <c r="O372" s="91"/>
      <c r="Q372" s="91" t="str">
        <f t="shared" si="64"/>
        <v xml:space="preserve"> </v>
      </c>
    </row>
    <row r="373" spans="3:17" x14ac:dyDescent="0.2">
      <c r="C373" s="217"/>
      <c r="D373" s="217"/>
      <c r="E373" s="217"/>
      <c r="F373" s="217"/>
      <c r="G373" s="217"/>
      <c r="H373" s="222">
        <v>1645.2</v>
      </c>
      <c r="I373" s="91" t="str">
        <f>IF(ISBLANK(H373), " ", IF(ISTEXT(H373), " ", IF(H373&lt;=Нормативы!$H$370, "МСМК", IF(H373&lt;=Нормативы!$H$371, "МС", IF(H373&lt;=Нормативы!$H$372, "КМС", IF(H373&lt;=Нормативы!$H$373, "I", IF(H373&lt;=Нормативы!$H$374, "II", IF(H373&lt;=Нормативы!$H$375, "III", "б/р"))))))))</f>
        <v>I</v>
      </c>
      <c r="J373" s="91" t="str">
        <f>IF(ISBLANK(H373), " ", IF(ISTEXT(H373), " ", IF(H373&lt;=Нормативы!$H$370, "МСМК", IF(H373&lt;=Нормативы!$H$371, "МС", IF(H373&lt;=Нормативы!$H$372, "КМС", IF(H373&lt;=Нормативы!$H$373, "I", IF(H373&lt;=Нормативы!$H$374, "II", IF(H373&lt;=Нормативы!$H$375, "III", "б/р"))))))))</f>
        <v>I</v>
      </c>
      <c r="K373" s="240"/>
      <c r="L373" s="225">
        <f>H373-0.2</f>
        <v>1645</v>
      </c>
      <c r="M373" s="91" t="str">
        <f>IF(ISBLANK(L373), " ", IF(ISTEXT(L373), " ", IF(L373&lt;=Нормативы!$H$370, "КМС", IF(L373&lt;=Нормативы!$H$371, "КМС", IF(L373&lt;=Нормативы!$L$372, "КМС", IF(L373&lt;=Нормативы!$L$373, "I", IF(L373&lt;=Нормативы!$L$374, "II", IF(L373&lt;=Нормативы!$L$375, "III", "б/р"))))))))</f>
        <v>I</v>
      </c>
      <c r="N373" s="91" t="str">
        <f>IF(ISBLANK(L373), " ", IF(ISTEXT(L373), " ", IF(L373&lt;=Нормативы!$H$370, "КМС", IF(L373&lt;=Нормативы!$H$371, "КМС", IF(L373&lt;=Нормативы!$L$372, "КМС", IF(L373&lt;=Нормативы!$L$373, "I", IF(L373&lt;=Нормативы!$L$374, "II", IF(L373&lt;=Нормативы!$L$375, "III", "б/р"))))))))</f>
        <v>I</v>
      </c>
      <c r="O373" s="91"/>
      <c r="Q373" s="91" t="str">
        <f t="shared" si="64"/>
        <v xml:space="preserve"> </v>
      </c>
    </row>
    <row r="374" spans="3:17" x14ac:dyDescent="0.2">
      <c r="C374" s="217"/>
      <c r="D374" s="217"/>
      <c r="E374" s="217"/>
      <c r="F374" s="217"/>
      <c r="G374" s="217"/>
      <c r="H374" s="222">
        <v>1730</v>
      </c>
      <c r="I374" s="91" t="str">
        <f>IF(ISBLANK(H374), " ", IF(ISTEXT(H374), " ", IF(H374&lt;=Нормативы!$H$370, "МСМК", IF(H374&lt;=Нормативы!$H$371, "МС", IF(H374&lt;=Нормативы!$H$372, "КМС", IF(H374&lt;=Нормативы!$H$373, "I", IF(H374&lt;=Нормативы!$H$374, "II", IF(H374&lt;=Нормативы!$H$375, "III", "б/р"))))))))</f>
        <v>II</v>
      </c>
      <c r="J374" s="91" t="str">
        <f>IF(ISBLANK(H374), " ", IF(ISTEXT(H374), " ", IF(H374&lt;=Нормативы!$H$370, "МСМК", IF(H374&lt;=Нормативы!$H$371, "МС", IF(H374&lt;=Нормативы!$H$372, "КМС", IF(H374&lt;=Нормативы!$H$373, "I", IF(H374&lt;=Нормативы!$H$374, "II", IF(H374&lt;=Нормативы!$H$375, "III", "б/р"))))))))</f>
        <v>II</v>
      </c>
      <c r="K374" s="240"/>
      <c r="L374" s="225">
        <f>H374-0.2</f>
        <v>1729.8</v>
      </c>
      <c r="M374" s="91" t="str">
        <f>IF(ISBLANK(L374), " ", IF(ISTEXT(L374), " ", IF(L374&lt;=Нормативы!$H$370, "КМС", IF(L374&lt;=Нормативы!$H$371, "КМС", IF(L374&lt;=Нормативы!$L$372, "КМС", IF(L374&lt;=Нормативы!$L$373, "I", IF(L374&lt;=Нормативы!$L$374, "II", IF(L374&lt;=Нормативы!$L$375, "III", "б/р"))))))))</f>
        <v>II</v>
      </c>
      <c r="N374" s="91" t="str">
        <f>IF(ISBLANK(L374), " ", IF(ISTEXT(L374), " ", IF(L374&lt;=Нормативы!$H$370, "КМС", IF(L374&lt;=Нормативы!$H$371, "КМС", IF(L374&lt;=Нормативы!$L$372, "КМС", IF(L374&lt;=Нормативы!$L$373, "I", IF(L374&lt;=Нормативы!$L$374, "II", IF(L374&lt;=Нормативы!$L$375, "III", "б/р"))))))))</f>
        <v>II</v>
      </c>
      <c r="O374" s="91"/>
      <c r="Q374" s="91" t="str">
        <f t="shared" si="64"/>
        <v xml:space="preserve"> </v>
      </c>
    </row>
    <row r="375" spans="3:17" x14ac:dyDescent="0.2">
      <c r="C375" s="217"/>
      <c r="D375" s="217"/>
      <c r="E375" s="217"/>
      <c r="F375" s="217"/>
      <c r="G375" s="217"/>
      <c r="H375" s="222">
        <v>1840</v>
      </c>
      <c r="I375" s="91" t="str">
        <f>IF(ISBLANK(H375), " ", IF(ISTEXT(H375), " ", IF(H375&lt;=Нормативы!$H$370, "МСМК", IF(H375&lt;=Нормативы!$H$371, "МС", IF(H375&lt;=Нормативы!$H$372, "КМС", IF(H375&lt;=Нормативы!$H$373, "I", IF(H375&lt;=Нормативы!$H$374, "II", IF(H375&lt;=Нормативы!$H$375, "III", "б/р"))))))))</f>
        <v>III</v>
      </c>
      <c r="J375" s="91" t="str">
        <f>IF(ISBLANK(H375), " ", IF(ISTEXT(H375), " ", IF(H375&lt;=Нормативы!$H$370, "МСМК", IF(H375&lt;=Нормативы!$H$371, "МС", IF(H375&lt;=Нормативы!$H$372, "КМС", IF(H375&lt;=Нормативы!$H$373, "I", IF(H375&lt;=Нормативы!$H$374, "II", IF(H375&lt;=Нормативы!$H$375, "III", "б/р"))))))))</f>
        <v>III</v>
      </c>
      <c r="K375" s="240"/>
      <c r="L375" s="225">
        <f>H375-0.2</f>
        <v>1839.8</v>
      </c>
      <c r="M375" s="91" t="str">
        <f>IF(ISBLANK(L375), " ", IF(ISTEXT(L375), " ", IF(L375&lt;=Нормативы!$H$370, "КМС", IF(L375&lt;=Нормативы!$H$371, "КМС", IF(L375&lt;=Нормативы!$L$372, "КМС", IF(L375&lt;=Нормативы!$L$373, "I", IF(L375&lt;=Нормативы!$L$374, "II", IF(L375&lt;=Нормативы!$L$375, "III", "б/р"))))))))</f>
        <v>III</v>
      </c>
      <c r="N375" s="91" t="str">
        <f>IF(ISBLANK(L375), " ", IF(ISTEXT(L375), " ", IF(L375&lt;=Нормативы!$H$370, "КМС", IF(L375&lt;=Нормативы!$H$371, "КМС", IF(L375&lt;=Нормативы!$L$372, "КМС", IF(L375&lt;=Нормативы!$L$373, "I", IF(L375&lt;=Нормативы!$L$374, "II", IF(L375&lt;=Нормативы!$L$375, "III", "б/р"))))))))</f>
        <v>III</v>
      </c>
      <c r="O375" s="91"/>
      <c r="Q375" s="91" t="str">
        <f t="shared" si="64"/>
        <v xml:space="preserve"> </v>
      </c>
    </row>
    <row r="376" spans="3:17" ht="15" customHeight="1" x14ac:dyDescent="0.2">
      <c r="C376" s="217"/>
      <c r="D376" s="217"/>
      <c r="E376" s="217"/>
      <c r="F376" s="217"/>
      <c r="G376" s="217"/>
      <c r="H376" s="234"/>
      <c r="I376" s="217"/>
      <c r="J376" s="217"/>
      <c r="L376" s="217"/>
      <c r="M376" s="217"/>
      <c r="N376" s="217"/>
      <c r="Q376" s="217"/>
    </row>
    <row r="377" spans="3:17" x14ac:dyDescent="0.2">
      <c r="C377" s="244" t="s">
        <v>417</v>
      </c>
      <c r="I377" s="217"/>
      <c r="J377" s="217"/>
      <c r="L377" s="217"/>
      <c r="M377" s="217"/>
      <c r="N377" s="217"/>
      <c r="Q377" s="217"/>
    </row>
    <row r="378" spans="3:17" x14ac:dyDescent="0.2">
      <c r="C378" s="217"/>
      <c r="D378" s="217"/>
      <c r="E378" s="217"/>
      <c r="F378" s="217"/>
      <c r="G378" s="217"/>
      <c r="H378" s="222">
        <v>936</v>
      </c>
      <c r="I378" s="91" t="str">
        <f>IF(ISBLANK(H378), " ", IF(ISTEXT(H378), " ", IF(H378&lt;=Нормативы!$H$378, "МСМК", IF(H378&lt;=Нормативы!$H$379, "МС", IF(H378&lt;=Нормативы!$H$380, "КМС", IF(H378&lt;=Нормативы!$H$381, "I", IF(H378&lt;=Нормативы!$H$382, "II", IF(H378&lt;=Нормативы!$H$383, "III", "б/р"))))))))</f>
        <v>МСМК</v>
      </c>
      <c r="J378" s="91" t="str">
        <f>IF(ISBLANK(H378), " ", IF(ISTEXT(H378), " ", IF(H378&lt;=Нормативы!$H$378, "МСМК", IF(H378&lt;=Нормативы!$H$379, "МС", IF(H378&lt;=Нормативы!$H$380, "КМС", IF(H378&lt;=Нормативы!$H$381, "I", IF(H378&lt;=Нормативы!$H$382, "II", IF(H378&lt;=Нормативы!$H$383, "III", "б/р"))))))))</f>
        <v>МСМК</v>
      </c>
      <c r="K378" s="240"/>
      <c r="L378" s="222"/>
      <c r="M378" s="91" t="str">
        <f>IF(ISBLANK(L378), " ", IF(ISTEXT(L378), " ", IF(L378&lt;=Нормативы!$H$378, "КМС", IF(L378&lt;=Нормативы!$H$379, "КМС", IF(L378&lt;=Нормативы!$L$380, "КМС", IF(L378&lt;=Нормативы!$L$381, "I", IF(L378&lt;=Нормативы!$L$382, "II", IF(L378&lt;=Нормативы!$L$383, "III", "б/р"))))))))</f>
        <v xml:space="preserve"> </v>
      </c>
      <c r="N378" s="91" t="str">
        <f>IF(ISBLANK(L378), " ", IF(ISTEXT(L378), " ", IF(L378&lt;=938, "МСМК", IF(L378&lt;=1009, "МС", IF(L378&lt;=1129.8, "КМС", IF(L378&lt;=1459.8, "I", IF(L378&lt;=1614.8, "II", IF(L378&lt;=1719.8, "III", "б/р"))))))))</f>
        <v xml:space="preserve"> </v>
      </c>
      <c r="O378" s="91"/>
      <c r="Q378" s="91" t="str">
        <f t="shared" ref="Q378:Q383" si="65">IF(ISBLANK(P378), " ", IF(ISTEXT(P378), " ", IF(P378&lt;=$H$378, "МСМК", IF(P378&lt;=$H$379, "МС", IF(P378&lt;=$H$380, "КМС", IF(P378&lt;=$H$381, "I", IF(P378&lt;=$H$382, "II", IF(P378&lt;=$H$383, "III", "б/р"))))))))</f>
        <v xml:space="preserve"> </v>
      </c>
    </row>
    <row r="379" spans="3:17" x14ac:dyDescent="0.2">
      <c r="C379" s="217"/>
      <c r="D379" s="217"/>
      <c r="E379" s="217"/>
      <c r="F379" s="217"/>
      <c r="G379" s="217"/>
      <c r="H379" s="222">
        <v>1008</v>
      </c>
      <c r="I379" s="91" t="str">
        <f>IF(ISBLANK(H379), " ", IF(ISTEXT(H379), " ", IF(H379&lt;=Нормативы!$H$378, "МСМК", IF(H379&lt;=Нормативы!$H$379, "МС", IF(H379&lt;=Нормативы!$H$380, "КМС", IF(H379&lt;=Нормативы!$H$381, "I", IF(H379&lt;=Нормативы!$H$382, "II", IF(H379&lt;=Нормативы!$H$383, "III", "б/р"))))))))</f>
        <v>МС</v>
      </c>
      <c r="J379" s="91" t="str">
        <f>IF(ISBLANK(H379), " ", IF(ISTEXT(H379), " ", IF(H379&lt;=Нормативы!$H$378, "МСМК", IF(H379&lt;=Нормативы!$H$379, "МС", IF(H379&lt;=Нормативы!$H$380, "КМС", IF(H379&lt;=Нормативы!$H$381, "I", IF(H379&lt;=Нормативы!$H$382, "II", IF(H379&lt;=Нормативы!$H$383, "III", "б/р"))))))))</f>
        <v>МС</v>
      </c>
      <c r="K379" s="240"/>
      <c r="L379" s="222"/>
      <c r="M379" s="91" t="str">
        <f>IF(ISBLANK(L379), " ", IF(ISTEXT(L379), " ", IF(L379&lt;=Нормативы!$H$378, "КМС", IF(L379&lt;=Нормативы!$H$379, "КМС", IF(L379&lt;=Нормативы!$L$380, "КМС", IF(L379&lt;=Нормативы!$L$381, "I", IF(L379&lt;=Нормативы!$L$382, "II", IF(L379&lt;=Нормативы!$L$383, "III", "б/р"))))))))</f>
        <v xml:space="preserve"> </v>
      </c>
      <c r="N379" s="91" t="str">
        <f>IF(ISBLANK(L379), " ", IF(ISTEXT(L379), " ", IF(L379&lt;=938, "МСМК", IF(L379&lt;=1009, "МС", IF(L379&lt;=1129.8, "КМС", IF(L379&lt;=1459.8, "I", IF(L379&lt;=1614.8, "II", IF(L379&lt;=1719.8, "III", "б/р"))))))))</f>
        <v xml:space="preserve"> </v>
      </c>
      <c r="O379" s="91"/>
      <c r="Q379" s="91" t="str">
        <f t="shared" si="65"/>
        <v xml:space="preserve"> </v>
      </c>
    </row>
    <row r="380" spans="3:17" x14ac:dyDescent="0.2">
      <c r="C380" s="217"/>
      <c r="D380" s="217"/>
      <c r="E380" s="217"/>
      <c r="F380" s="217"/>
      <c r="G380" s="217"/>
      <c r="H380" s="222">
        <v>1120</v>
      </c>
      <c r="I380" s="91" t="str">
        <f>IF(ISBLANK(H380), " ", IF(ISTEXT(H380), " ", IF(H380&lt;=Нормативы!$H$378, "МСМК", IF(H380&lt;=Нормативы!$H$379, "МС", IF(H380&lt;=Нормативы!$H$380, "КМС", IF(H380&lt;=Нормативы!$H$381, "I", IF(H380&lt;=Нормативы!$H$382, "II", IF(H380&lt;=Нормативы!$H$383, "III", "б/р"))))))))</f>
        <v>КМС</v>
      </c>
      <c r="J380" s="91" t="str">
        <f>IF(ISBLANK(H380), " ", IF(ISTEXT(H380), " ", IF(H380&lt;=Нормативы!$H$378, "МСМК", IF(H380&lt;=Нормативы!$H$379, "МС", IF(H380&lt;=Нормативы!$H$380, "КМС", IF(H380&lt;=Нормативы!$H$381, "I", IF(H380&lt;=Нормативы!$H$382, "II", IF(H380&lt;=Нормативы!$H$383, "III", "б/р"))))))))</f>
        <v>КМС</v>
      </c>
      <c r="K380" s="240"/>
      <c r="L380" s="225">
        <f>H380-0.2</f>
        <v>1119.8</v>
      </c>
      <c r="M380" s="91" t="str">
        <f>IF(ISBLANK(L380), " ", IF(ISTEXT(L380), " ", IF(L380&lt;=Нормативы!$H$378, "КМС", IF(L380&lt;=Нормативы!$H$379, "КМС", IF(L380&lt;=Нормативы!$L$380, "КМС", IF(L380&lt;=Нормативы!$L$381, "I", IF(L380&lt;=Нормативы!$L$382, "II", IF(L380&lt;=Нормативы!$L$383, "III", "б/р"))))))))</f>
        <v>КМС</v>
      </c>
      <c r="N380" s="91" t="str">
        <f>IF(ISBLANK(L380), " ", IF(ISTEXT(L380), " ", IF(L380&lt;=Нормативы!$H$378, "КМС", IF(L380&lt;=Нормативы!$H$379, "КМС", IF(L380&lt;=Нормативы!$L$380, "КМС", IF(L380&lt;=Нормативы!$L$381, "I", IF(L380&lt;=Нормативы!$L$382, "II", IF(L380&lt;=Нормативы!$L$383, "III", "б/р"))))))))</f>
        <v>КМС</v>
      </c>
      <c r="O380" s="91"/>
      <c r="Q380" s="91" t="str">
        <f t="shared" si="65"/>
        <v xml:space="preserve"> </v>
      </c>
    </row>
    <row r="381" spans="3:17" x14ac:dyDescent="0.2">
      <c r="C381" s="217"/>
      <c r="D381" s="217"/>
      <c r="E381" s="217"/>
      <c r="F381" s="217"/>
      <c r="G381" s="217"/>
      <c r="H381" s="222">
        <v>1415.7</v>
      </c>
      <c r="I381" s="91" t="str">
        <f>IF(ISBLANK(H381), " ", IF(ISTEXT(H381), " ", IF(H381&lt;=Нормативы!$H$378, "МСМК", IF(H381&lt;=Нормативы!$H$379, "МС", IF(H381&lt;=Нормативы!$H$380, "КМС", IF(H381&lt;=Нормативы!$H$381, "I", IF(H381&lt;=Нормативы!$H$382, "II", IF(H381&lt;=Нормативы!$H$383, "III", "б/р"))))))))</f>
        <v>I</v>
      </c>
      <c r="J381" s="91" t="str">
        <f>IF(ISBLANK(H381), " ", IF(ISTEXT(H381), " ", IF(H381&lt;=Нормативы!$H$378, "МСМК", IF(H381&lt;=Нормативы!$H$379, "МС", IF(H381&lt;=Нормативы!$H$380, "КМС", IF(H381&lt;=Нормативы!$H$381, "I", IF(H381&lt;=Нормативы!$H$382, "II", IF(H381&lt;=Нормативы!$H$383, "III", "б/р"))))))))</f>
        <v>I</v>
      </c>
      <c r="K381" s="240"/>
      <c r="L381" s="225">
        <f>H381-0.2</f>
        <v>1415.5</v>
      </c>
      <c r="M381" s="91" t="str">
        <f>IF(ISBLANK(L381), " ", IF(ISTEXT(L381), " ", IF(L381&lt;=Нормативы!$H$378, "КМС", IF(L381&lt;=Нормативы!$H$379, "КМС", IF(L381&lt;=Нормативы!$L$380, "КМС", IF(L381&lt;=Нормативы!$L$381, "I", IF(L381&lt;=Нормативы!$L$382, "II", IF(L381&lt;=Нормативы!$L$383, "III", "б/р"))))))))</f>
        <v>I</v>
      </c>
      <c r="N381" s="91" t="str">
        <f>IF(ISBLANK(L381), " ", IF(ISTEXT(L381), " ", IF(L381&lt;=Нормативы!$H$378, "КМС", IF(L381&lt;=Нормативы!$H$379, "КМС", IF(L381&lt;=Нормативы!$L$380, "КМС", IF(L381&lt;=Нормативы!$L$381, "I", IF(L381&lt;=Нормативы!$L$382, "II", IF(L381&lt;=Нормативы!$L$383, "III", "б/р"))))))))</f>
        <v>I</v>
      </c>
      <c r="O381" s="91"/>
      <c r="Q381" s="91" t="str">
        <f t="shared" si="65"/>
        <v xml:space="preserve"> </v>
      </c>
    </row>
    <row r="382" spans="3:17" x14ac:dyDescent="0.2">
      <c r="C382" s="217"/>
      <c r="D382" s="217"/>
      <c r="E382" s="217"/>
      <c r="F382" s="217"/>
      <c r="G382" s="217"/>
      <c r="H382" s="222">
        <v>1525</v>
      </c>
      <c r="I382" s="91" t="str">
        <f>IF(ISBLANK(H382), " ", IF(ISTEXT(H382), " ", IF(H382&lt;=Нормативы!$H$378, "МСМК", IF(H382&lt;=Нормативы!$H$379, "МС", IF(H382&lt;=Нормативы!$H$380, "КМС", IF(H382&lt;=Нормативы!$H$381, "I", IF(H382&lt;=Нормативы!$H$382, "II", IF(H382&lt;=Нормативы!$H$383, "III", "б/р"))))))))</f>
        <v>II</v>
      </c>
      <c r="J382" s="91" t="str">
        <f>IF(ISBLANK(H382), " ", IF(ISTEXT(H382), " ", IF(H382&lt;=Нормативы!$H$378, "МСМК", IF(H382&lt;=Нормативы!$H$379, "МС", IF(H382&lt;=Нормативы!$H$380, "КМС", IF(H382&lt;=Нормативы!$H$381, "I", IF(H382&lt;=Нормативы!$H$382, "II", IF(H382&lt;=Нормативы!$H$383, "III", "б/р"))))))))</f>
        <v>II</v>
      </c>
      <c r="K382" s="240"/>
      <c r="L382" s="225">
        <f>H382-0.2</f>
        <v>1524.8</v>
      </c>
      <c r="M382" s="91" t="str">
        <f>IF(ISBLANK(L382), " ", IF(ISTEXT(L382), " ", IF(L382&lt;=Нормативы!$H$378, "КМС", IF(L382&lt;=Нормативы!$H$379, "КМС", IF(L382&lt;=Нормативы!$L$380, "КМС", IF(L382&lt;=Нормативы!$L$381, "I", IF(L382&lt;=Нормативы!$L$382, "II", IF(L382&lt;=Нормативы!$L$383, "III", "б/р"))))))))</f>
        <v>II</v>
      </c>
      <c r="N382" s="91" t="str">
        <f>IF(ISBLANK(L382), " ", IF(ISTEXT(L382), " ", IF(L382&lt;=Нормативы!$H$378, "КМС", IF(L382&lt;=Нормативы!$H$379, "КМС", IF(L382&lt;=Нормативы!$L$380, "КМС", IF(L382&lt;=Нормативы!$L$381, "I", IF(L382&lt;=Нормативы!$L$382, "II", IF(L382&lt;=Нормативы!$L$383, "III", "б/р"))))))))</f>
        <v>II</v>
      </c>
      <c r="O382" s="91"/>
      <c r="Q382" s="91" t="str">
        <f t="shared" si="65"/>
        <v xml:space="preserve"> </v>
      </c>
    </row>
    <row r="383" spans="3:17" x14ac:dyDescent="0.2">
      <c r="C383" s="217"/>
      <c r="D383" s="217"/>
      <c r="E383" s="217"/>
      <c r="F383" s="217"/>
      <c r="G383" s="217"/>
      <c r="H383" s="222">
        <v>1625</v>
      </c>
      <c r="I383" s="91" t="str">
        <f>IF(ISBLANK(H383), " ", IF(ISTEXT(H383), " ", IF(H383&lt;=Нормативы!$H$378, "МСМК", IF(H383&lt;=Нормативы!$H$379, "МС", IF(H383&lt;=Нормативы!$H$380, "КМС", IF(H383&lt;=Нормативы!$H$381, "I", IF(H383&lt;=Нормативы!$H$382, "II", IF(H383&lt;=Нормативы!$H$383, "III", "б/р"))))))))</f>
        <v>III</v>
      </c>
      <c r="J383" s="91" t="str">
        <f>IF(ISBLANK(H383), " ", IF(ISTEXT(H383), " ", IF(H383&lt;=Нормативы!$H$378, "МСМК", IF(H383&lt;=Нормативы!$H$379, "МС", IF(H383&lt;=Нормативы!$H$380, "КМС", IF(H383&lt;=Нормативы!$H$381, "I", IF(H383&lt;=Нормативы!$H$382, "II", IF(H383&lt;=Нормативы!$H$383, "III", "б/р"))))))))</f>
        <v>III</v>
      </c>
      <c r="K383" s="240"/>
      <c r="L383" s="225">
        <f>H383-0.2</f>
        <v>1624.8</v>
      </c>
      <c r="M383" s="91" t="str">
        <f>IF(ISBLANK(L383), " ", IF(ISTEXT(L383), " ", IF(L383&lt;=Нормативы!$H$378, "КМС", IF(L383&lt;=Нормативы!$H$379, "КМС", IF(L383&lt;=Нормативы!$L$380, "КМС", IF(L383&lt;=Нормативы!$L$381, "I", IF(L383&lt;=Нормативы!$L$382, "II", IF(L383&lt;=Нормативы!$L$383, "III", "б/р"))))))))</f>
        <v>III</v>
      </c>
      <c r="N383" s="91" t="str">
        <f>IF(ISBLANK(L383), " ", IF(ISTEXT(L383), " ", IF(L383&lt;=Нормативы!$H$378, "КМС", IF(L383&lt;=Нормативы!$H$379, "КМС", IF(L383&lt;=Нормативы!$L$380, "КМС", IF(L383&lt;=Нормативы!$L$381, "I", IF(L383&lt;=Нормативы!$L$382, "II", IF(L383&lt;=Нормативы!$L$383, "III", "б/р"))))))))</f>
        <v>III</v>
      </c>
      <c r="O383" s="91"/>
      <c r="Q383" s="91" t="str">
        <f t="shared" si="65"/>
        <v xml:space="preserve"> </v>
      </c>
    </row>
    <row r="384" spans="3:17" ht="15" customHeight="1" x14ac:dyDescent="0.2">
      <c r="C384" s="217"/>
      <c r="D384" s="217"/>
      <c r="E384" s="217"/>
      <c r="F384" s="217"/>
      <c r="G384" s="217"/>
      <c r="H384" s="234"/>
      <c r="I384" s="217"/>
      <c r="J384" s="217"/>
      <c r="L384" s="217"/>
      <c r="M384" s="217"/>
      <c r="N384" s="217"/>
      <c r="Q384" s="217"/>
    </row>
    <row r="385" spans="3:17" ht="15" customHeight="1" x14ac:dyDescent="0.2">
      <c r="C385" s="247" t="s">
        <v>418</v>
      </c>
      <c r="D385" s="248"/>
      <c r="E385" s="248"/>
      <c r="F385" s="248"/>
      <c r="I385" s="217"/>
      <c r="J385" s="217"/>
      <c r="L385" s="217"/>
      <c r="M385" s="217"/>
      <c r="N385" s="217"/>
      <c r="Q385" s="217"/>
    </row>
    <row r="386" spans="3:17" ht="15" customHeight="1" x14ac:dyDescent="0.2">
      <c r="C386" s="217"/>
      <c r="D386" s="217"/>
      <c r="E386" s="217"/>
      <c r="F386" s="217"/>
      <c r="G386" s="217"/>
      <c r="H386" s="222">
        <v>455</v>
      </c>
      <c r="I386" s="91" t="str">
        <f>IF(ISBLANK(H386), " ", IF(ISTEXT(H386), " ", IF(H386&lt;=Нормативы!$H$386, "МСМК", IF(H386&lt;=Нормативы!$H$387, "МС", IF(H386&lt;=Нормативы!$H$388, "КМС", IF(H386&lt;=Нормативы!$H$389, "I", IF(H386&lt;=Нормативы!$H$390, "II", IF(H386&lt;=Нормативы!$H$391, "III", "б/р"))))))))</f>
        <v>МСМК</v>
      </c>
      <c r="J386" s="91" t="str">
        <f>IF(ISBLANK(H386), " ", IF(ISTEXT(H386), " ", IF(H386&lt;=Нормативы!$H$386, "МСМК", IF(H386&lt;=Нормативы!$H$387, "МС", IF(H386&lt;=Нормативы!$H$388, "КМС", IF(H386&lt;=Нормативы!$H$389, "I", IF(H386&lt;=Нормативы!$H$390, "II", IF(H386&lt;=Нормативы!$H$391, "III", "б/р"))))))))</f>
        <v>МСМК</v>
      </c>
      <c r="K386" s="240"/>
      <c r="L386" s="222"/>
      <c r="M386" s="91" t="str">
        <f>IF(ISBLANK(L386), " ", IF(ISTEXT(L386), " ", IF(L386&lt;=Нормативы!$H$386, "КМС", IF(L386&lt;=Нормативы!$H$387, "КМС", IF(L386&lt;=Нормативы!$L$388, "КМС", IF(L386&lt;=Нормативы!$L$389, "I", IF(L386&lt;=Нормативы!$L$390, "II", IF(L386&lt;=Нормативы!$L$391, "III", "б/р"))))))))</f>
        <v xml:space="preserve"> </v>
      </c>
      <c r="N386" s="91" t="str">
        <f>IF(ISBLANK(L386), " ", IF(ISTEXT(L386), " ", IF(L386&lt;=1211, "МСМК", IF(L386&lt;=1356, "МС", IF(L386&lt;=1559.8, "КМС", IF(L386&lt;=1739.8, "I", IF(L386&lt;=1844.8, "II", IF(L386&lt;=1944.8, "III", "б/р"))))))))</f>
        <v xml:space="preserve"> </v>
      </c>
      <c r="Q386" s="91" t="str">
        <f t="shared" ref="Q386:Q391" si="66">IF(ISBLANK(P386), " ", IF(ISTEXT(P386), " ", IF(P386&lt;=$H$386, "МСМК", IF(P386&lt;=$H$387, "МС", IF(P386&lt;=$H$388, "КМС", IF(P386&lt;=$H$389, "I", IF(P386&lt;=$H$390, "II", IF(P386&lt;=$H$391, "III", "б/р"))))))))</f>
        <v xml:space="preserve"> </v>
      </c>
    </row>
    <row r="387" spans="3:17" ht="15" customHeight="1" x14ac:dyDescent="0.2">
      <c r="C387" s="217"/>
      <c r="D387" s="217"/>
      <c r="E387" s="217"/>
      <c r="F387" s="217"/>
      <c r="G387" s="217"/>
      <c r="H387" s="222">
        <v>620</v>
      </c>
      <c r="I387" s="91" t="str">
        <f>IF(ISBLANK(H387), " ", IF(ISTEXT(H387), " ", IF(H387&lt;=Нормативы!$H$386, "МСМК", IF(H387&lt;=Нормативы!$H$387, "МС", IF(H387&lt;=Нормативы!$H$388, "КМС", IF(H387&lt;=Нормативы!$H$389, "I", IF(H387&lt;=Нормативы!$H$390, "II", IF(H387&lt;=Нормативы!$H$391, "III", "б/р"))))))))</f>
        <v>МС</v>
      </c>
      <c r="J387" s="91" t="str">
        <f>IF(ISBLANK(H387), " ", IF(ISTEXT(H387), " ", IF(H387&lt;=Нормативы!$H$386, "МСМК", IF(H387&lt;=Нормативы!$H$387, "МС", IF(H387&lt;=Нормативы!$H$388, "КМС", IF(H387&lt;=Нормативы!$H$389, "I", IF(H387&lt;=Нормативы!$H$390, "II", IF(H387&lt;=Нормативы!$H$391, "III", "б/р"))))))))</f>
        <v>МС</v>
      </c>
      <c r="K387" s="240"/>
      <c r="L387" s="222"/>
      <c r="M387" s="91" t="str">
        <f>IF(ISBLANK(L387), " ", IF(ISTEXT(L387), " ", IF(L387&lt;=Нормативы!$H$386, "КМС", IF(L387&lt;=Нормативы!$H$387, "КМС", IF(L387&lt;=Нормативы!$L$388, "КМС", IF(L387&lt;=Нормативы!$L$389, "I", IF(L387&lt;=Нормативы!$L$390, "II", IF(L387&lt;=Нормативы!$L$391, "III", "б/р"))))))))</f>
        <v xml:space="preserve"> </v>
      </c>
      <c r="N387" s="91" t="str">
        <f>IF(ISBLANK(L387), " ", IF(ISTEXT(L387), " ", IF(L387&lt;=Нормативы!$H$386, "КМС", IF(L387&lt;=Нормативы!$H$387, "КМС", IF(L387&lt;=Нормативы!$L$388, "КМС", IF(L387&lt;=Нормативы!$L$389, "I", IF(L387&lt;=Нормативы!$L$390, "II", IF(L387&lt;=Нормативы!$L$391, "III", "б/р"))))))))</f>
        <v xml:space="preserve"> </v>
      </c>
      <c r="Q387" s="91" t="str">
        <f t="shared" si="66"/>
        <v xml:space="preserve"> </v>
      </c>
    </row>
    <row r="388" spans="3:17" ht="15" customHeight="1" x14ac:dyDescent="0.2">
      <c r="C388" s="217"/>
      <c r="D388" s="217"/>
      <c r="E388" s="217"/>
      <c r="F388" s="217"/>
      <c r="G388" s="217"/>
      <c r="H388" s="222">
        <v>730</v>
      </c>
      <c r="I388" s="91" t="str">
        <f>IF(ISBLANK(H388), " ", IF(ISTEXT(H388), " ", IF(H388&lt;=Нормативы!$H$386, "МСМК", IF(H388&lt;=Нормативы!$H$387, "МС", IF(H388&lt;=Нормативы!$H$388, "КМС", IF(H388&lt;=Нормативы!$H$389, "I", IF(H388&lt;=Нормативы!$H$390, "II", IF(H388&lt;=Нормативы!$H$391, "III", "б/р"))))))))</f>
        <v>КМС</v>
      </c>
      <c r="J388" s="91" t="str">
        <f>IF(ISBLANK(H388), " ", IF(ISTEXT(H388), " ", IF(H388&lt;=Нормативы!$H$386, "МСМК", IF(H388&lt;=Нормативы!$H$387, "МС", IF(H388&lt;=Нормативы!$H$388, "КМС", IF(H388&lt;=Нормативы!$H$389, "I", IF(H388&lt;=Нормативы!$H$390, "II", IF(H388&lt;=Нормативы!$H$391, "III", "б/р"))))))))</f>
        <v>КМС</v>
      </c>
      <c r="K388" s="240"/>
      <c r="L388" s="225">
        <f>H388-0.2</f>
        <v>729.8</v>
      </c>
      <c r="M388" s="91" t="str">
        <f>IF(ISBLANK(L388), " ", IF(ISTEXT(L388), " ", IF(L388&lt;=Нормативы!$H$386, "КМС", IF(L388&lt;=Нормативы!$H$387, "КМС", IF(L388&lt;=Нормативы!$L$388, "КМС", IF(L388&lt;=Нормативы!$L$389, "I", IF(L388&lt;=Нормативы!$L$390, "II", IF(L388&lt;=Нормативы!$L$391, "III", "б/р"))))))))</f>
        <v>КМС</v>
      </c>
      <c r="N388" s="91" t="str">
        <f>IF(ISBLANK(L388), " ", IF(ISTEXT(L388), " ", IF(L388&lt;=Нормативы!$H$386, "КМС", IF(L388&lt;=Нормативы!$H$387, "КМС", IF(L388&lt;=Нормативы!$L$388, "КМС", IF(L388&lt;=Нормативы!$L$389, "I", IF(L388&lt;=Нормативы!$L$390, "II", IF(L388&lt;=Нормативы!$L$391, "III", "б/р"))))))))</f>
        <v>КМС</v>
      </c>
      <c r="Q388" s="91" t="str">
        <f t="shared" si="66"/>
        <v xml:space="preserve"> </v>
      </c>
    </row>
    <row r="389" spans="3:17" ht="15" customHeight="1" x14ac:dyDescent="0.2">
      <c r="C389" s="217"/>
      <c r="D389" s="217"/>
      <c r="E389" s="217"/>
      <c r="F389" s="217"/>
      <c r="G389" s="217"/>
      <c r="H389" s="222">
        <v>822</v>
      </c>
      <c r="I389" s="91" t="str">
        <f>IF(ISBLANK(H389), " ", IF(ISTEXT(H389), " ", IF(H389&lt;=Нормативы!$H$386, "МСМК", IF(H389&lt;=Нормативы!$H$387, "МС", IF(H389&lt;=Нормативы!$H$388, "КМС", IF(H389&lt;=Нормативы!$H$389, "I", IF(H389&lt;=Нормативы!$H$390, "II", IF(H389&lt;=Нормативы!$H$391, "III", "б/р"))))))))</f>
        <v>I</v>
      </c>
      <c r="J389" s="91" t="str">
        <f>IF(ISBLANK(H389), " ", IF(ISTEXT(H389), " ", IF(H389&lt;=Нормативы!$H$386, "МСМК", IF(H389&lt;=Нормативы!$H$387, "МС", IF(H389&lt;=Нормативы!$H$388, "КМС", IF(H389&lt;=Нормативы!$H$389, "I", IF(H389&lt;=Нормативы!$H$390, "II", IF(H389&lt;=Нормативы!$H$391, "III", "б/р"))))))))</f>
        <v>I</v>
      </c>
      <c r="K389" s="240"/>
      <c r="L389" s="225">
        <f>H389-0.2</f>
        <v>821.8</v>
      </c>
      <c r="M389" s="91" t="str">
        <f>IF(ISBLANK(L389), " ", IF(ISTEXT(L389), " ", IF(L389&lt;=Нормативы!$H$386, "КМС", IF(L389&lt;=Нормативы!$H$387, "КМС", IF(L389&lt;=Нормативы!$L$388, "КМС", IF(L389&lt;=Нормативы!$L$389, "I", IF(L389&lt;=Нормативы!$L$390, "II", IF(L389&lt;=Нормативы!$L$391, "III", "б/р"))))))))</f>
        <v>I</v>
      </c>
      <c r="N389" s="91" t="str">
        <f>IF(ISBLANK(L389), " ", IF(ISTEXT(L389), " ", IF(L389&lt;=Нормативы!$H$386, "КМС", IF(L389&lt;=Нормативы!$H$387, "КМС", IF(L389&lt;=Нормативы!$L$388, "КМС", IF(L389&lt;=Нормативы!$L$389, "I", IF(L389&lt;=Нормативы!$L$390, "II", IF(L389&lt;=Нормативы!$L$391, "III", "б/р"))))))))</f>
        <v>I</v>
      </c>
      <c r="Q389" s="91" t="str">
        <f t="shared" si="66"/>
        <v xml:space="preserve"> </v>
      </c>
    </row>
    <row r="390" spans="3:17" ht="15" customHeight="1" x14ac:dyDescent="0.2">
      <c r="C390" s="217"/>
      <c r="D390" s="217"/>
      <c r="E390" s="217"/>
      <c r="F390" s="217"/>
      <c r="G390" s="217"/>
      <c r="H390" s="222">
        <v>910.5</v>
      </c>
      <c r="I390" s="91" t="str">
        <f>IF(ISBLANK(H390), " ", IF(ISTEXT(H390), " ", IF(H390&lt;=Нормативы!$H$386, "МСМК", IF(H390&lt;=Нормативы!$H$387, "МС", IF(H390&lt;=Нормативы!$H$388, "КМС", IF(H390&lt;=Нормативы!$H$389, "I", IF(H390&lt;=Нормативы!$H$390, "II", IF(H390&lt;=Нормативы!$H$391, "III", "б/р"))))))))</f>
        <v>II</v>
      </c>
      <c r="J390" s="91" t="str">
        <f>IF(ISBLANK(H390), " ", IF(ISTEXT(H390), " ", IF(H390&lt;=Нормативы!$H$386, "МСМК", IF(H390&lt;=Нормативы!$H$387, "МС", IF(H390&lt;=Нормативы!$H$388, "КМС", IF(H390&lt;=Нормативы!$H$389, "I", IF(H390&lt;=Нормативы!$H$390, "II", IF(H390&lt;=Нормативы!$H$391, "III", "б/р"))))))))</f>
        <v>II</v>
      </c>
      <c r="K390" s="240"/>
      <c r="L390" s="225">
        <f>H390-0.2</f>
        <v>910.3</v>
      </c>
      <c r="M390" s="91" t="str">
        <f>IF(ISBLANK(L390), " ", IF(ISTEXT(L390), " ", IF(L390&lt;=Нормативы!$H$386, "КМС", IF(L390&lt;=Нормативы!$H$387, "КМС", IF(L390&lt;=Нормативы!$L$388, "КМС", IF(L390&lt;=Нормативы!$L$389, "I", IF(L390&lt;=Нормативы!$L$390, "II", IF(L390&lt;=Нормативы!$L$391, "III", "б/р"))))))))</f>
        <v>II</v>
      </c>
      <c r="N390" s="91" t="str">
        <f>IF(ISBLANK(L390), " ", IF(ISTEXT(L390), " ", IF(L390&lt;=Нормативы!$H$386, "КМС", IF(L390&lt;=Нормативы!$H$387, "КМС", IF(L390&lt;=Нормативы!$L$388, "КМС", IF(L390&lt;=Нормативы!$L$389, "I", IF(L390&lt;=Нормативы!$L$390, "II", IF(L390&lt;=Нормативы!$L$391, "III", "б/р"))))))))</f>
        <v>II</v>
      </c>
      <c r="Q390" s="91" t="str">
        <f t="shared" si="66"/>
        <v xml:space="preserve"> </v>
      </c>
    </row>
    <row r="391" spans="3:17" ht="15" customHeight="1" x14ac:dyDescent="0.2">
      <c r="C391" s="217"/>
      <c r="D391" s="217"/>
      <c r="E391" s="217"/>
      <c r="F391" s="217"/>
      <c r="G391" s="217"/>
      <c r="H391" s="222">
        <v>1002</v>
      </c>
      <c r="I391" s="91" t="str">
        <f>IF(ISBLANK(H391), " ", IF(ISTEXT(H391), " ", IF(H391&lt;=Нормативы!$H$386, "МСМК", IF(H391&lt;=Нормативы!$H$387, "МС", IF(H391&lt;=Нормативы!$H$388, "КМС", IF(H391&lt;=Нормативы!$H$389, "I", IF(H391&lt;=Нормативы!$H$390, "II", IF(H391&lt;=Нормативы!$H$391, "III", "б/р"))))))))</f>
        <v>III</v>
      </c>
      <c r="J391" s="91" t="str">
        <f>IF(ISBLANK(H391), " ", IF(ISTEXT(H391), " ", IF(H391&lt;=Нормативы!$H$386, "МСМК", IF(H391&lt;=Нормативы!$H$387, "МС", IF(H391&lt;=Нормативы!$H$388, "КМС", IF(H391&lt;=Нормативы!$H$389, "I", IF(H391&lt;=Нормативы!$H$390, "II", IF(H391&lt;=Нормативы!$H$391, "III", "б/р"))))))))</f>
        <v>III</v>
      </c>
      <c r="K391" s="240"/>
      <c r="L391" s="225">
        <f>H391-0.2</f>
        <v>1001.8</v>
      </c>
      <c r="M391" s="91" t="str">
        <f>IF(ISBLANK(L391), " ", IF(ISTEXT(L391), " ", IF(L391&lt;=Нормативы!$H$386, "КМС", IF(L391&lt;=Нормативы!$H$387, "КМС", IF(L391&lt;=Нормативы!$L$388, "КМС", IF(L391&lt;=Нормативы!$L$389, "I", IF(L391&lt;=Нормативы!$L$390, "II", IF(L391&lt;=Нормативы!$L$391, "III", "б/р"))))))))</f>
        <v>III</v>
      </c>
      <c r="N391" s="91" t="str">
        <f>IF(ISBLANK(L391), " ", IF(ISTEXT(L391), " ", IF(L391&lt;=Нормативы!$H$386, "КМС", IF(L391&lt;=Нормативы!$H$387, "КМС", IF(L391&lt;=Нормативы!$L$388, "КМС", IF(L391&lt;=Нормативы!$L$389, "I", IF(L391&lt;=Нормативы!$L$390, "II", IF(L391&lt;=Нормативы!$L$391, "III", "б/р"))))))))</f>
        <v>III</v>
      </c>
      <c r="Q391" s="91" t="str">
        <f t="shared" si="66"/>
        <v xml:space="preserve"> </v>
      </c>
    </row>
    <row r="392" spans="3:17" ht="15" customHeight="1" x14ac:dyDescent="0.2">
      <c r="C392" s="217"/>
      <c r="D392" s="217"/>
      <c r="E392" s="217"/>
      <c r="F392" s="217"/>
      <c r="G392" s="217"/>
      <c r="H392" s="234"/>
      <c r="I392" s="217"/>
      <c r="J392" s="217"/>
      <c r="L392" s="217"/>
      <c r="M392" s="217"/>
      <c r="N392" s="217"/>
      <c r="Q392" s="217"/>
    </row>
    <row r="393" spans="3:17" ht="15" customHeight="1" x14ac:dyDescent="0.2">
      <c r="C393" s="247" t="s">
        <v>419</v>
      </c>
      <c r="D393" s="248"/>
      <c r="E393" s="248"/>
      <c r="F393" s="248"/>
      <c r="I393" s="217"/>
      <c r="J393" s="217"/>
      <c r="L393" s="217"/>
      <c r="M393" s="217"/>
      <c r="N393" s="217"/>
      <c r="Q393" s="217"/>
    </row>
    <row r="394" spans="3:17" ht="15" customHeight="1" x14ac:dyDescent="0.2">
      <c r="C394" s="217"/>
      <c r="D394" s="217"/>
      <c r="E394" s="217"/>
      <c r="F394" s="217"/>
      <c r="G394" s="217"/>
      <c r="H394" s="222">
        <v>346</v>
      </c>
      <c r="I394" s="91" t="str">
        <f>IF(ISBLANK(H394), " ", IF(ISTEXT(H394), " ", IF(H394&lt;=Нормативы!$H$394, "МСМК", IF(H394&lt;=Нормативы!$H$395, "МС", IF(H394&lt;=Нормативы!$H$396, "КМС", IF(H394&lt;=Нормативы!$H$397, "I", IF(H394&lt;=Нормативы!$H$398, "II", IF(H394&lt;=Нормативы!$H$399, "III", "б/р"))))))))</f>
        <v>МСМК</v>
      </c>
      <c r="J394" s="91" t="str">
        <f>IF(ISBLANK(H394), " ", IF(ISTEXT(H394), " ", IF(H394&lt;=Нормативы!$H$394, "МСМК", IF(H394&lt;=Нормативы!$H$395, "МС", IF(H394&lt;=Нормативы!$H$396, "КМС", IF(H394&lt;=Нормативы!$H$397, "I", IF(H394&lt;=Нормативы!$H$398, "II", IF(H394&lt;=Нормативы!$H$399, "III", "б/р"))))))))</f>
        <v>МСМК</v>
      </c>
      <c r="K394" s="240"/>
      <c r="L394" s="222"/>
      <c r="M394" s="91" t="str">
        <f>IF(ISBLANK(L394), " ", IF(ISTEXT(L394), " ", IF(L394&lt;=Нормативы!$H$394, "КМС", IF(L394&lt;=Нормативы!$H$395, "КМС", IF(L394&lt;=Нормативы!$L$396, "КМС", IF(L394&lt;=Нормативы!$L$397, "I", IF(L394&lt;=Нормативы!$L$398, "II", IF(L394&lt;=Нормативы!$L$399, "III", "б/р"))))))))</f>
        <v xml:space="preserve"> </v>
      </c>
      <c r="N394" s="91" t="str">
        <f>IF(ISBLANK(L394), " ", IF(ISTEXT(L394), " ", IF(L394&lt;=Нормативы!$H$394, "КМС", IF(L394&lt;=Нормативы!$H$395, "КМС", IF(L394&lt;=Нормативы!$L$396, "КМС", IF(L394&lt;=Нормативы!$L$397, "I", IF(L394&lt;=Нормативы!$L$398, "II", IF(L394&lt;=Нормативы!$L$399, "III", "б/р"))))))))</f>
        <v xml:space="preserve"> </v>
      </c>
      <c r="Q394" s="91" t="str">
        <f t="shared" ref="Q394:Q399" si="67">IF(ISBLANK(P394), " ", IF(ISTEXT(P394), " ", IF(P394&lt;=$H$394, "МСМК", IF(P394&lt;=$H$395, "МС", IF(P394&lt;=$H$396, "КМС", IF(P394&lt;=$H$397, "I", IF(P394&lt;=$H$398, "II", IF(P394&lt;=$H$399, "III", "б/р"))))))))</f>
        <v xml:space="preserve"> </v>
      </c>
    </row>
    <row r="395" spans="3:17" ht="15" customHeight="1" x14ac:dyDescent="0.2">
      <c r="C395" s="217"/>
      <c r="D395" s="217"/>
      <c r="E395" s="217"/>
      <c r="F395" s="217"/>
      <c r="G395" s="217"/>
      <c r="H395" s="222">
        <v>440</v>
      </c>
      <c r="I395" s="91" t="str">
        <f>IF(ISBLANK(H395), " ", IF(ISTEXT(H395), " ", IF(H395&lt;=Нормативы!$H$394, "МСМК", IF(H395&lt;=Нормативы!$H$395, "МС", IF(H395&lt;=Нормативы!$H$396, "КМС", IF(H395&lt;=Нормативы!$H$397, "I", IF(H395&lt;=Нормативы!$H$398, "II", IF(H395&lt;=Нормативы!$H$399, "III", "б/р"))))))))</f>
        <v>МС</v>
      </c>
      <c r="J395" s="91" t="str">
        <f>IF(ISBLANK(H395), " ", IF(ISTEXT(H395), " ", IF(H395&lt;=Нормативы!$H$394, "МСМК", IF(H395&lt;=Нормативы!$H$395, "МС", IF(H395&lt;=Нормативы!$H$396, "КМС", IF(H395&lt;=Нормативы!$H$397, "I", IF(H395&lt;=Нормативы!$H$398, "II", IF(H395&lt;=Нормативы!$H$399, "III", "б/р"))))))))</f>
        <v>МС</v>
      </c>
      <c r="K395" s="240"/>
      <c r="L395" s="222"/>
      <c r="M395" s="91" t="str">
        <f>IF(ISBLANK(L395), " ", IF(ISTEXT(L395), " ", IF(L395&lt;=Нормативы!$H$394, "КМС", IF(L395&lt;=Нормативы!$H$395, "КМС", IF(L395&lt;=Нормативы!$L$396, "КМС", IF(L395&lt;=Нормативы!$L$397, "I", IF(L395&lt;=Нормативы!$L$398, "II", IF(L395&lt;=Нормативы!$L$399, "III", "б/р"))))))))</f>
        <v xml:space="preserve"> </v>
      </c>
      <c r="N395" s="91" t="str">
        <f>IF(ISBLANK(L395), " ", IF(ISTEXT(L395), " ", IF(L395&lt;=Нормативы!$H$394, "КМС", IF(L395&lt;=Нормативы!$H$395, "КМС", IF(L395&lt;=Нормативы!$L$396, "КМС", IF(L395&lt;=Нормативы!$L$397, "I", IF(L395&lt;=Нормативы!$L$398, "II", IF(L395&lt;=Нормативы!$L$399, "III", "б/р"))))))))</f>
        <v xml:space="preserve"> </v>
      </c>
      <c r="Q395" s="91" t="str">
        <f t="shared" si="67"/>
        <v xml:space="preserve"> </v>
      </c>
    </row>
    <row r="396" spans="3:17" ht="15" customHeight="1" x14ac:dyDescent="0.2">
      <c r="C396" s="217"/>
      <c r="D396" s="217"/>
      <c r="E396" s="217"/>
      <c r="F396" s="217"/>
      <c r="G396" s="217"/>
      <c r="H396" s="222">
        <v>550</v>
      </c>
      <c r="I396" s="91" t="str">
        <f>IF(ISBLANK(H396), " ", IF(ISTEXT(H396), " ", IF(H396&lt;=Нормативы!$H$394, "МСМК", IF(H396&lt;=Нормативы!$H$395, "МС", IF(H396&lt;=Нормативы!$H$396, "КМС", IF(H396&lt;=Нормативы!$H$397, "I", IF(H396&lt;=Нормативы!$H$398, "II", IF(H396&lt;=Нормативы!$H$399, "III", "б/р"))))))))</f>
        <v>КМС</v>
      </c>
      <c r="J396" s="91" t="str">
        <f>IF(ISBLANK(H396), " ", IF(ISTEXT(H396), " ", IF(H396&lt;=Нормативы!$H$394, "МСМК", IF(H396&lt;=Нормативы!$H$395, "МС", IF(H396&lt;=Нормативы!$H$396, "КМС", IF(H396&lt;=Нормативы!$H$397, "I", IF(H396&lt;=Нормативы!$H$398, "II", IF(H396&lt;=Нормативы!$H$399, "III", "б/р"))))))))</f>
        <v>КМС</v>
      </c>
      <c r="K396" s="240"/>
      <c r="L396" s="225">
        <f>H396-0.2</f>
        <v>549.79999999999995</v>
      </c>
      <c r="M396" s="91" t="str">
        <f>IF(ISBLANK(L396), " ", IF(ISTEXT(L396), " ", IF(L396&lt;=Нормативы!$H$394, "КМС", IF(L396&lt;=Нормативы!$H$395, "КМС", IF(L396&lt;=Нормативы!$L$396, "КМС", IF(L396&lt;=Нормативы!$L$397, "I", IF(L396&lt;=Нормативы!$L$398, "II", IF(L396&lt;=Нормативы!$L$399, "III", "б/р"))))))))</f>
        <v>КМС</v>
      </c>
      <c r="N396" s="91" t="str">
        <f>IF(ISBLANK(L396), " ", IF(ISTEXT(L396), " ", IF(L396&lt;=Нормативы!$H$394, "КМС", IF(L396&lt;=Нормативы!$H$395, "КМС", IF(L396&lt;=Нормативы!$L$396, "КМС", IF(L396&lt;=Нормативы!$L$397, "I", IF(L396&lt;=Нормативы!$L$398, "II", IF(L396&lt;=Нормативы!$L$399, "III", "б/р"))))))))</f>
        <v>КМС</v>
      </c>
      <c r="Q396" s="91" t="str">
        <f t="shared" si="67"/>
        <v xml:space="preserve"> </v>
      </c>
    </row>
    <row r="397" spans="3:17" ht="15" customHeight="1" x14ac:dyDescent="0.2">
      <c r="C397" s="217"/>
      <c r="D397" s="217"/>
      <c r="E397" s="217"/>
      <c r="F397" s="217"/>
      <c r="G397" s="217"/>
      <c r="H397" s="222">
        <v>652.70000000000005</v>
      </c>
      <c r="I397" s="91" t="str">
        <f>IF(ISBLANK(H397), " ", IF(ISTEXT(H397), " ", IF(H397&lt;=Нормативы!$H$394, "МСМК", IF(H397&lt;=Нормативы!$H$395, "МС", IF(H397&lt;=Нормативы!$H$396, "КМС", IF(H397&lt;=Нормативы!$H$397, "I", IF(H397&lt;=Нормативы!$H$398, "II", IF(H397&lt;=Нормативы!$H$399, "III", "б/р"))))))))</f>
        <v>I</v>
      </c>
      <c r="J397" s="91" t="str">
        <f>IF(ISBLANK(H397), " ", IF(ISTEXT(H397), " ", IF(H397&lt;=Нормативы!$H$394, "МСМК", IF(H397&lt;=Нормативы!$H$395, "МС", IF(H397&lt;=Нормативы!$H$396, "КМС", IF(H397&lt;=Нормативы!$H$397, "I", IF(H397&lt;=Нормативы!$H$398, "II", IF(H397&lt;=Нормативы!$H$399, "III", "б/р"))))))))</f>
        <v>I</v>
      </c>
      <c r="K397" s="240"/>
      <c r="L397" s="225">
        <f>H397-0.2</f>
        <v>652.5</v>
      </c>
      <c r="M397" s="91" t="str">
        <f>IF(ISBLANK(L397), " ", IF(ISTEXT(L397), " ", IF(L397&lt;=Нормативы!$H$394, "КМС", IF(L397&lt;=Нормативы!$H$395, "КМС", IF(L397&lt;=Нормативы!$L$396, "КМС", IF(L397&lt;=Нормативы!$L$397, "I", IF(L397&lt;=Нормативы!$L$398, "II", IF(L397&lt;=Нормативы!$L$399, "III", "б/р"))))))))</f>
        <v>I</v>
      </c>
      <c r="N397" s="91" t="str">
        <f>IF(ISBLANK(L397), " ", IF(ISTEXT(L397), " ", IF(L397&lt;=Нормативы!$H$394, "МСМК", IF(L397&lt;=Нормативы!$H$395, "МС", IF(L397&lt;=Нормативы!$L$396, "КМС", IF(L397&lt;=Нормативы!$L$397, "I", IF(L397&lt;=Нормативы!$L$398, "II", IF(L397&lt;=Нормативы!$L$399, "III", "б/р"))))))))</f>
        <v>I</v>
      </c>
      <c r="Q397" s="91" t="str">
        <f t="shared" si="67"/>
        <v xml:space="preserve"> </v>
      </c>
    </row>
    <row r="398" spans="3:17" ht="15" customHeight="1" x14ac:dyDescent="0.2">
      <c r="C398" s="217"/>
      <c r="D398" s="217"/>
      <c r="E398" s="217"/>
      <c r="F398" s="217"/>
      <c r="G398" s="217"/>
      <c r="H398" s="222">
        <v>745</v>
      </c>
      <c r="I398" s="91" t="str">
        <f>IF(ISBLANK(H398), " ", IF(ISTEXT(H398), " ", IF(H398&lt;=Нормативы!$H$394, "МСМК", IF(H398&lt;=Нормативы!$H$395, "МС", IF(H398&lt;=Нормативы!$H$396, "КМС", IF(H398&lt;=Нормативы!$H$397, "I", IF(H398&lt;=Нормативы!$H$398, "II", IF(H398&lt;=Нормативы!$H$399, "III", "б/р"))))))))</f>
        <v>II</v>
      </c>
      <c r="J398" s="91" t="str">
        <f>IF(ISBLANK(H398), " ", IF(ISTEXT(H398), " ", IF(H398&lt;=Нормативы!$H$394, "МСМК", IF(H398&lt;=Нормативы!$H$395, "МС", IF(H398&lt;=Нормативы!$H$396, "КМС", IF(H398&lt;=Нормативы!$H$397, "I", IF(H398&lt;=Нормативы!$H$398, "II", IF(H398&lt;=Нормативы!$H$399, "III", "б/р"))))))))</f>
        <v>II</v>
      </c>
      <c r="K398" s="240"/>
      <c r="L398" s="225">
        <f>H398-0.2</f>
        <v>744.8</v>
      </c>
      <c r="M398" s="91" t="str">
        <f>IF(ISBLANK(L398), " ", IF(ISTEXT(L398), " ", IF(L398&lt;=Нормативы!$H$394, "КМС", IF(L398&lt;=Нормативы!$H$395, "КМС", IF(L398&lt;=Нормативы!$L$396, "КМС", IF(L398&lt;=Нормативы!$L$397, "I", IF(L398&lt;=Нормативы!$L$398, "II", IF(L398&lt;=Нормативы!$L$399, "III", "б/р"))))))))</f>
        <v>II</v>
      </c>
      <c r="N398" s="91" t="str">
        <f>IF(ISBLANK(L398), " ", IF(ISTEXT(L398), " ", IF(L398&lt;=Нормативы!$H$394, "МСМК", IF(L398&lt;=Нормативы!$H$395, "МС", IF(L398&lt;=Нормативы!$L$396, "КМС", IF(L398&lt;=Нормативы!$L$397, "I", IF(L398&lt;=Нормативы!$L$398, "II", IF(L398&lt;=Нормативы!$L$399, "III", "б/р"))))))))</f>
        <v>II</v>
      </c>
      <c r="Q398" s="91" t="str">
        <f t="shared" si="67"/>
        <v xml:space="preserve"> </v>
      </c>
    </row>
    <row r="399" spans="3:17" ht="15" customHeight="1" x14ac:dyDescent="0.2">
      <c r="C399" s="217"/>
      <c r="D399" s="217"/>
      <c r="E399" s="217"/>
      <c r="F399" s="217"/>
      <c r="G399" s="217"/>
      <c r="H399" s="222">
        <v>840.2</v>
      </c>
      <c r="I399" s="91" t="str">
        <f>IF(ISBLANK(H399), " ", IF(ISTEXT(H399), " ", IF(H399&lt;=Нормативы!$H$394, "МСМК", IF(H399&lt;=Нормативы!$H$395, "МС", IF(H399&lt;=Нормативы!$H$396, "КМС", IF(H399&lt;=Нормативы!$H$397, "I", IF(H399&lt;=Нормативы!$H$398, "II", IF(H399&lt;=Нормативы!$H$399, "III", "б/р"))))))))</f>
        <v>III</v>
      </c>
      <c r="J399" s="91" t="str">
        <f>IF(ISBLANK(H399), " ", IF(ISTEXT(H399), " ", IF(H399&lt;=Нормативы!$H$394, "МСМК", IF(H399&lt;=Нормативы!$H$395, "МС", IF(H399&lt;=Нормативы!$H$396, "КМС", IF(H399&lt;=Нормативы!$H$397, "I", IF(H399&lt;=Нормативы!$H$398, "II", IF(H399&lt;=Нормативы!$H$399, "III", "б/р"))))))))</f>
        <v>III</v>
      </c>
      <c r="K399" s="240"/>
      <c r="L399" s="225">
        <f>H399-0.2</f>
        <v>840</v>
      </c>
      <c r="M399" s="91" t="str">
        <f>IF(ISBLANK(L399), " ", IF(ISTEXT(L399), " ", IF(L399&lt;=Нормативы!$H$394, "КМС", IF(L399&lt;=Нормативы!$H$395, "КМС", IF(L399&lt;=Нормативы!$L$396, "КМС", IF(L399&lt;=Нормативы!$L$397, "I", IF(L399&lt;=Нормативы!$L$398, "II", IF(L399&lt;=Нормативы!$L$399, "III", "б/р"))))))))</f>
        <v>III</v>
      </c>
      <c r="N399" s="91" t="str">
        <f>IF(ISBLANK(L399), " ", IF(ISTEXT(L399), " ", IF(L399&lt;=Нормативы!$H$394, "МСМК", IF(L399&lt;=Нормативы!$H$395, "МС", IF(L399&lt;=Нормативы!$L$396, "КМС", IF(L399&lt;=Нормативы!$L$397, "I", IF(L399&lt;=Нормативы!$L$398, "II", IF(L399&lt;=Нормативы!$L$399, "III", "б/р"))))))))</f>
        <v>III</v>
      </c>
      <c r="Q399" s="91" t="str">
        <f t="shared" si="67"/>
        <v xml:space="preserve"> </v>
      </c>
    </row>
    <row r="400" spans="3:17" ht="15" customHeight="1" x14ac:dyDescent="0.2">
      <c r="C400" s="217"/>
      <c r="D400" s="217"/>
      <c r="E400" s="217"/>
      <c r="F400" s="217"/>
      <c r="G400" s="217"/>
      <c r="H400" s="234"/>
      <c r="I400" s="234"/>
      <c r="J400" s="217"/>
      <c r="L400" s="231"/>
      <c r="M400" s="231"/>
      <c r="N400" s="231"/>
    </row>
    <row r="401" spans="3:14" ht="15" customHeight="1" x14ac:dyDescent="0.2">
      <c r="C401" s="217"/>
      <c r="D401" s="217"/>
      <c r="E401" s="217"/>
      <c r="F401" s="217"/>
      <c r="G401" s="217"/>
      <c r="H401" s="234"/>
      <c r="I401" s="234"/>
      <c r="J401" s="217"/>
      <c r="L401" s="231"/>
      <c r="M401" s="231"/>
      <c r="N401" s="231"/>
    </row>
    <row r="402" spans="3:14" ht="15" customHeight="1" x14ac:dyDescent="0.2">
      <c r="C402" s="217"/>
      <c r="D402" s="217"/>
      <c r="E402" s="217"/>
      <c r="F402" s="217"/>
      <c r="G402" s="217"/>
      <c r="H402" s="234"/>
      <c r="I402" s="234"/>
      <c r="J402" s="217"/>
      <c r="L402" s="231"/>
      <c r="M402" s="231"/>
      <c r="N402" s="231"/>
    </row>
    <row r="403" spans="3:14" ht="15" customHeight="1" x14ac:dyDescent="0.2">
      <c r="C403" s="217"/>
      <c r="D403" s="217"/>
      <c r="E403" s="217"/>
      <c r="F403" s="217"/>
      <c r="G403" s="217"/>
      <c r="H403" s="234"/>
      <c r="I403" s="234"/>
      <c r="J403" s="217"/>
      <c r="L403" s="231"/>
      <c r="M403" s="231"/>
      <c r="N403" s="231"/>
    </row>
    <row r="404" spans="3:14" ht="15" customHeight="1" x14ac:dyDescent="0.2">
      <c r="C404" s="217"/>
      <c r="D404" s="217"/>
      <c r="E404" s="217"/>
      <c r="F404" s="217"/>
      <c r="G404" s="217"/>
      <c r="H404" s="234"/>
      <c r="I404" s="234"/>
      <c r="J404" s="217"/>
      <c r="L404" s="231"/>
      <c r="M404" s="231"/>
      <c r="N404" s="231"/>
    </row>
    <row r="405" spans="3:14" ht="15" customHeight="1" x14ac:dyDescent="0.2">
      <c r="C405" s="217"/>
      <c r="D405" s="217"/>
      <c r="E405" s="217"/>
      <c r="F405" s="217"/>
      <c r="G405" s="217"/>
      <c r="H405" s="234"/>
      <c r="I405" s="234"/>
      <c r="J405" s="217"/>
      <c r="L405" s="231"/>
      <c r="M405" s="231"/>
      <c r="N405" s="231"/>
    </row>
    <row r="406" spans="3:14" ht="15" customHeight="1" x14ac:dyDescent="0.2">
      <c r="C406" s="217"/>
      <c r="D406" s="217"/>
      <c r="E406" s="217"/>
      <c r="F406" s="217"/>
      <c r="G406" s="217"/>
      <c r="H406" s="234"/>
      <c r="I406" s="234"/>
      <c r="J406" s="217"/>
      <c r="L406" s="231"/>
      <c r="M406" s="231"/>
      <c r="N406" s="231"/>
    </row>
    <row r="407" spans="3:14" ht="15" customHeight="1" x14ac:dyDescent="0.2">
      <c r="C407" s="217"/>
      <c r="D407" s="217"/>
      <c r="E407" s="217"/>
      <c r="F407" s="217"/>
      <c r="G407" s="217"/>
      <c r="H407" s="234"/>
      <c r="I407" s="234"/>
      <c r="J407" s="217"/>
      <c r="L407" s="231"/>
      <c r="M407" s="231"/>
      <c r="N407" s="231"/>
    </row>
    <row r="408" spans="3:14" ht="15" customHeight="1" x14ac:dyDescent="0.2">
      <c r="C408" s="217"/>
      <c r="D408" s="217"/>
      <c r="E408" s="217"/>
      <c r="F408" s="217"/>
      <c r="G408" s="217"/>
      <c r="H408" s="234"/>
      <c r="I408" s="234"/>
      <c r="J408" s="217"/>
      <c r="L408" s="231"/>
      <c r="M408" s="231"/>
      <c r="N408" s="231"/>
    </row>
    <row r="409" spans="3:14" ht="15" customHeight="1" x14ac:dyDescent="0.2">
      <c r="C409" s="217"/>
      <c r="D409" s="217"/>
      <c r="E409" s="217"/>
      <c r="F409" s="217"/>
      <c r="G409" s="217"/>
      <c r="H409" s="234"/>
      <c r="I409" s="234"/>
      <c r="J409" s="217"/>
      <c r="L409" s="231"/>
      <c r="M409" s="231"/>
      <c r="N409" s="231"/>
    </row>
    <row r="410" spans="3:14" ht="15" customHeight="1" x14ac:dyDescent="0.2">
      <c r="C410" s="217"/>
      <c r="D410" s="217"/>
      <c r="E410" s="217"/>
      <c r="F410" s="217"/>
      <c r="G410" s="217"/>
      <c r="H410" s="234"/>
      <c r="I410" s="234"/>
      <c r="J410" s="217"/>
      <c r="L410" s="231"/>
      <c r="M410" s="231"/>
      <c r="N410" s="231"/>
    </row>
    <row r="411" spans="3:14" ht="15" customHeight="1" x14ac:dyDescent="0.2">
      <c r="C411" s="217"/>
      <c r="D411" s="217"/>
      <c r="E411" s="217"/>
      <c r="F411" s="217"/>
      <c r="G411" s="217"/>
      <c r="H411" s="234"/>
      <c r="I411" s="234"/>
      <c r="J411" s="217"/>
      <c r="L411" s="231"/>
      <c r="M411" s="231"/>
      <c r="N411" s="231"/>
    </row>
    <row r="412" spans="3:14" ht="15" customHeight="1" x14ac:dyDescent="0.2">
      <c r="C412" s="217"/>
      <c r="D412" s="217"/>
      <c r="E412" s="217"/>
      <c r="F412" s="217"/>
      <c r="G412" s="217"/>
      <c r="H412" s="234"/>
      <c r="I412" s="234"/>
      <c r="J412" s="217"/>
      <c r="L412" s="231"/>
      <c r="M412" s="231"/>
      <c r="N412" s="231"/>
    </row>
    <row r="413" spans="3:14" ht="15" customHeight="1" x14ac:dyDescent="0.2">
      <c r="C413" s="217"/>
      <c r="D413" s="217"/>
      <c r="E413" s="217"/>
      <c r="F413" s="217"/>
      <c r="G413" s="217"/>
      <c r="H413" s="234"/>
      <c r="I413" s="234"/>
      <c r="J413" s="217"/>
      <c r="L413" s="231"/>
      <c r="M413" s="231"/>
      <c r="N413" s="231"/>
    </row>
    <row r="414" spans="3:14" ht="15" customHeight="1" x14ac:dyDescent="0.2">
      <c r="C414" s="217"/>
      <c r="D414" s="217"/>
      <c r="E414" s="217"/>
      <c r="F414" s="217"/>
      <c r="G414" s="217"/>
      <c r="H414" s="234"/>
      <c r="I414" s="234"/>
      <c r="J414" s="217"/>
      <c r="L414" s="231"/>
      <c r="M414" s="231"/>
      <c r="N414" s="231"/>
    </row>
    <row r="415" spans="3:14" ht="15" customHeight="1" x14ac:dyDescent="0.2">
      <c r="C415" s="217"/>
      <c r="D415" s="217"/>
      <c r="E415" s="217"/>
      <c r="F415" s="217"/>
      <c r="G415" s="217"/>
      <c r="H415" s="234"/>
      <c r="I415" s="234"/>
      <c r="J415" s="217"/>
      <c r="L415" s="231"/>
      <c r="M415" s="231"/>
      <c r="N415" s="231"/>
    </row>
    <row r="416" spans="3:14" ht="15" customHeight="1" x14ac:dyDescent="0.2">
      <c r="C416" s="244" t="s">
        <v>420</v>
      </c>
      <c r="D416" s="217"/>
      <c r="E416" s="217"/>
      <c r="F416" s="217"/>
      <c r="G416" s="217"/>
      <c r="H416" s="234"/>
      <c r="I416" s="234"/>
      <c r="J416" s="217"/>
      <c r="L416" s="231"/>
      <c r="M416" s="231"/>
      <c r="N416" s="231"/>
    </row>
    <row r="417" spans="1:12" ht="15" customHeight="1" x14ac:dyDescent="0.2">
      <c r="C417" s="244"/>
      <c r="D417" s="217"/>
      <c r="E417" s="217"/>
      <c r="F417" s="217"/>
      <c r="G417" s="217"/>
      <c r="H417" s="234"/>
      <c r="I417" s="234"/>
      <c r="J417" s="217"/>
    </row>
    <row r="418" spans="1:12" ht="15" customHeight="1" x14ac:dyDescent="0.2">
      <c r="C418" s="244" t="s">
        <v>421</v>
      </c>
      <c r="D418" s="217"/>
      <c r="E418" s="217"/>
      <c r="F418" s="217"/>
      <c r="G418" s="217"/>
      <c r="H418" s="234"/>
      <c r="I418" s="234"/>
      <c r="J418" s="217"/>
    </row>
    <row r="419" spans="1:12" ht="15" customHeight="1" x14ac:dyDescent="0.2">
      <c r="C419" s="244"/>
      <c r="D419" s="217"/>
      <c r="E419" s="217"/>
      <c r="F419" s="217"/>
      <c r="G419" s="217"/>
      <c r="H419" s="234"/>
      <c r="I419" s="234"/>
      <c r="J419" s="217"/>
    </row>
    <row r="420" spans="1:12" ht="15" customHeight="1" x14ac:dyDescent="0.2">
      <c r="C420" s="244" t="s">
        <v>422</v>
      </c>
      <c r="D420" s="217"/>
      <c r="E420" s="217"/>
      <c r="F420" s="217"/>
      <c r="G420" s="217"/>
      <c r="H420" s="234"/>
      <c r="I420" s="234"/>
      <c r="J420" s="217"/>
    </row>
    <row r="421" spans="1:12" ht="15" customHeight="1" x14ac:dyDescent="0.2">
      <c r="C421" s="244"/>
      <c r="D421" s="217"/>
      <c r="E421" s="217"/>
      <c r="F421" s="217"/>
      <c r="G421" s="217"/>
      <c r="H421" s="234"/>
      <c r="I421" s="234"/>
      <c r="J421" s="217"/>
    </row>
    <row r="422" spans="1:12" ht="15" customHeight="1" x14ac:dyDescent="0.2">
      <c r="C422" s="244"/>
      <c r="D422" s="217"/>
      <c r="E422" s="217"/>
      <c r="F422" s="217"/>
      <c r="G422" s="217"/>
      <c r="H422" s="234"/>
      <c r="I422" s="234"/>
      <c r="J422" s="217"/>
    </row>
    <row r="423" spans="1:12" ht="15" customHeight="1" x14ac:dyDescent="0.2">
      <c r="C423" s="244"/>
      <c r="D423" s="217"/>
      <c r="E423" s="217"/>
      <c r="F423" s="217"/>
      <c r="G423" s="217"/>
      <c r="H423" s="234"/>
      <c r="I423" s="234"/>
      <c r="J423" s="217"/>
    </row>
    <row r="424" spans="1:12" ht="15" customHeight="1" x14ac:dyDescent="0.2">
      <c r="C424" s="244"/>
      <c r="D424" s="217"/>
      <c r="E424" s="217"/>
      <c r="F424" s="217"/>
      <c r="G424" s="217"/>
      <c r="H424" s="234"/>
      <c r="I424" s="234"/>
      <c r="J424" s="217"/>
    </row>
    <row r="425" spans="1:12" ht="14.25" customHeight="1" x14ac:dyDescent="0.2">
      <c r="C425" s="244" t="s">
        <v>423</v>
      </c>
      <c r="D425" s="217"/>
      <c r="E425" s="217"/>
      <c r="F425" s="217"/>
      <c r="G425" s="217"/>
      <c r="H425" s="234"/>
      <c r="I425" s="234"/>
      <c r="J425" s="217"/>
    </row>
    <row r="426" spans="1:12" ht="15" customHeight="1" x14ac:dyDescent="0.2">
      <c r="C426" s="3"/>
      <c r="D426" s="4"/>
      <c r="E426" s="4"/>
      <c r="F426" s="3"/>
      <c r="G426" s="3"/>
      <c r="H426" s="222" t="s">
        <v>424</v>
      </c>
      <c r="I426" s="222"/>
      <c r="J426" s="217"/>
    </row>
    <row r="427" spans="1:12" s="249" customFormat="1" ht="51.75" customHeight="1" x14ac:dyDescent="0.25">
      <c r="A427" s="250"/>
      <c r="B427" s="249" t="s">
        <v>425</v>
      </c>
      <c r="C427" s="249" t="s">
        <v>426</v>
      </c>
      <c r="D427" s="249" t="s">
        <v>427</v>
      </c>
      <c r="E427" s="249" t="s">
        <v>428</v>
      </c>
      <c r="K427" s="251"/>
    </row>
    <row r="428" spans="1:12" ht="15" customHeight="1" x14ac:dyDescent="0.2">
      <c r="A428" s="4">
        <v>1</v>
      </c>
      <c r="B428" s="91" t="str">
        <f t="shared" ref="B428:B436" si="68">IF(ISBLANK($A428), " ", IF(ISTEXT($A428), " ", IF($A428&lt;=2, "МСМК", " ")))</f>
        <v>МСМК</v>
      </c>
      <c r="C428" s="91" t="str">
        <f t="shared" ref="C428:C436" si="69">IF(ISBLANK($A428), " ", IF(ISTEXT($A428), " ", IF($A428&lt;=1, "МСМК", " ")))</f>
        <v>МСМК</v>
      </c>
      <c r="D428" s="91" t="str">
        <f t="shared" ref="D428:D436" si="70">IF(ISBLANK($A428), " ", IF(ISTEXT($A428), " ", IF($A428&lt;=3, "МС", " ")))</f>
        <v>МС</v>
      </c>
      <c r="E428" s="91" t="str">
        <f t="shared" ref="E428:E436" si="71">IF(ISBLANK($A428), " ", IF(ISTEXT($A428), " ", IF($A428&lt;=2, "МС", " ")))</f>
        <v>МС</v>
      </c>
      <c r="F428" s="3"/>
      <c r="G428" s="3"/>
      <c r="H428" s="225"/>
      <c r="I428" s="91"/>
      <c r="J428" s="4"/>
      <c r="K428" s="252"/>
      <c r="L428" s="253"/>
    </row>
    <row r="429" spans="1:12" ht="15" customHeight="1" x14ac:dyDescent="0.2">
      <c r="A429" s="4">
        <v>2</v>
      </c>
      <c r="B429" s="91" t="str">
        <f t="shared" si="68"/>
        <v>МСМК</v>
      </c>
      <c r="C429" s="91" t="str">
        <f t="shared" si="69"/>
        <v xml:space="preserve"> </v>
      </c>
      <c r="D429" s="91" t="str">
        <f t="shared" si="70"/>
        <v>МС</v>
      </c>
      <c r="E429" s="91" t="str">
        <f t="shared" si="71"/>
        <v>МС</v>
      </c>
      <c r="F429" s="3"/>
      <c r="G429" s="3"/>
      <c r="H429" s="225"/>
      <c r="I429" s="91"/>
      <c r="J429" s="4"/>
      <c r="K429" s="252"/>
      <c r="L429" s="253"/>
    </row>
    <row r="430" spans="1:12" ht="15" customHeight="1" x14ac:dyDescent="0.2">
      <c r="A430" s="4">
        <v>3</v>
      </c>
      <c r="B430" s="91" t="str">
        <f t="shared" si="68"/>
        <v xml:space="preserve"> </v>
      </c>
      <c r="C430" s="91" t="str">
        <f t="shared" si="69"/>
        <v xml:space="preserve"> </v>
      </c>
      <c r="D430" s="91" t="str">
        <f t="shared" si="70"/>
        <v>МС</v>
      </c>
      <c r="E430" s="91" t="str">
        <f t="shared" si="71"/>
        <v xml:space="preserve"> </v>
      </c>
      <c r="F430" s="3"/>
      <c r="G430" s="3"/>
      <c r="H430" s="225"/>
      <c r="I430" s="91"/>
      <c r="J430" s="4"/>
      <c r="K430" s="252"/>
      <c r="L430" s="253"/>
    </row>
    <row r="431" spans="1:12" ht="15" customHeight="1" x14ac:dyDescent="0.2">
      <c r="A431" s="4">
        <v>4</v>
      </c>
      <c r="B431" s="91" t="str">
        <f t="shared" si="68"/>
        <v xml:space="preserve"> </v>
      </c>
      <c r="C431" s="91" t="str">
        <f t="shared" si="69"/>
        <v xml:space="preserve"> </v>
      </c>
      <c r="D431" s="91" t="str">
        <f t="shared" si="70"/>
        <v xml:space="preserve"> </v>
      </c>
      <c r="E431" s="91" t="str">
        <f t="shared" si="71"/>
        <v xml:space="preserve"> </v>
      </c>
      <c r="F431" s="3"/>
      <c r="G431" s="3"/>
      <c r="H431" s="225"/>
      <c r="I431" s="91"/>
      <c r="J431" s="4"/>
      <c r="K431" s="252"/>
      <c r="L431" s="253"/>
    </row>
    <row r="432" spans="1:12" ht="15" customHeight="1" x14ac:dyDescent="0.2">
      <c r="A432" s="4">
        <v>5</v>
      </c>
      <c r="B432" s="91" t="str">
        <f t="shared" si="68"/>
        <v xml:space="preserve"> </v>
      </c>
      <c r="C432" s="91" t="str">
        <f t="shared" si="69"/>
        <v xml:space="preserve"> </v>
      </c>
      <c r="D432" s="91" t="str">
        <f t="shared" si="70"/>
        <v xml:space="preserve"> </v>
      </c>
      <c r="E432" s="91" t="str">
        <f t="shared" si="71"/>
        <v xml:space="preserve"> </v>
      </c>
      <c r="F432" s="3"/>
      <c r="G432" s="3"/>
      <c r="H432" s="225"/>
      <c r="I432" s="91"/>
      <c r="J432" s="4"/>
      <c r="K432" s="252"/>
      <c r="L432" s="253"/>
    </row>
    <row r="433" spans="1:19" ht="15" customHeight="1" x14ac:dyDescent="0.2">
      <c r="A433" s="4">
        <v>6</v>
      </c>
      <c r="B433" s="91" t="str">
        <f t="shared" si="68"/>
        <v xml:space="preserve"> </v>
      </c>
      <c r="C433" s="91" t="str">
        <f t="shared" si="69"/>
        <v xml:space="preserve"> </v>
      </c>
      <c r="D433" s="91" t="str">
        <f t="shared" si="70"/>
        <v xml:space="preserve"> </v>
      </c>
      <c r="E433" s="91" t="str">
        <f t="shared" si="71"/>
        <v xml:space="preserve"> </v>
      </c>
      <c r="F433" s="3"/>
      <c r="G433" s="3"/>
      <c r="H433" s="225"/>
      <c r="I433" s="91"/>
      <c r="J433" s="4"/>
      <c r="K433" s="252"/>
      <c r="L433" s="253"/>
    </row>
    <row r="434" spans="1:19" ht="15" customHeight="1" x14ac:dyDescent="0.2">
      <c r="A434" s="4">
        <v>7</v>
      </c>
      <c r="B434" s="91" t="str">
        <f t="shared" si="68"/>
        <v xml:space="preserve"> </v>
      </c>
      <c r="C434" s="91" t="str">
        <f t="shared" si="69"/>
        <v xml:space="preserve"> </v>
      </c>
      <c r="D434" s="91" t="str">
        <f t="shared" si="70"/>
        <v xml:space="preserve"> </v>
      </c>
      <c r="E434" s="91" t="str">
        <f t="shared" si="71"/>
        <v xml:space="preserve"> </v>
      </c>
      <c r="F434" s="3"/>
      <c r="G434" s="3"/>
      <c r="H434" s="225"/>
      <c r="I434" s="91"/>
      <c r="J434" s="4"/>
      <c r="K434" s="252"/>
      <c r="L434" s="253"/>
    </row>
    <row r="435" spans="1:19" ht="15" customHeight="1" x14ac:dyDescent="0.2">
      <c r="A435" s="4">
        <v>8</v>
      </c>
      <c r="B435" s="91" t="str">
        <f t="shared" si="68"/>
        <v xml:space="preserve"> </v>
      </c>
      <c r="C435" s="91" t="str">
        <f t="shared" si="69"/>
        <v xml:space="preserve"> </v>
      </c>
      <c r="D435" s="91" t="str">
        <f t="shared" si="70"/>
        <v xml:space="preserve"> </v>
      </c>
      <c r="E435" s="91" t="str">
        <f t="shared" si="71"/>
        <v xml:space="preserve"> </v>
      </c>
      <c r="F435" s="3"/>
      <c r="G435" s="3"/>
      <c r="H435" s="225"/>
      <c r="I435" s="91"/>
      <c r="J435" s="4"/>
      <c r="K435" s="252"/>
      <c r="L435" s="253"/>
    </row>
    <row r="436" spans="1:19" ht="14.25" customHeight="1" x14ac:dyDescent="0.2">
      <c r="A436" s="4">
        <v>9</v>
      </c>
      <c r="B436" s="91" t="str">
        <f t="shared" si="68"/>
        <v xml:space="preserve"> </v>
      </c>
      <c r="C436" s="91" t="str">
        <f t="shared" si="69"/>
        <v xml:space="preserve"> </v>
      </c>
      <c r="D436" s="91" t="str">
        <f t="shared" si="70"/>
        <v xml:space="preserve"> </v>
      </c>
      <c r="E436" s="91" t="str">
        <f t="shared" si="71"/>
        <v xml:space="preserve"> </v>
      </c>
      <c r="F436" s="217"/>
      <c r="G436" s="217"/>
      <c r="H436" s="234"/>
      <c r="I436" s="234"/>
      <c r="J436" s="217"/>
    </row>
    <row r="437" spans="1:19" ht="14.25" customHeight="1" x14ac:dyDescent="0.2">
      <c r="C437" s="244" t="s">
        <v>429</v>
      </c>
      <c r="D437" s="217"/>
      <c r="E437" s="217"/>
      <c r="F437" s="217"/>
      <c r="G437" s="217"/>
      <c r="H437" s="234"/>
      <c r="I437" s="234"/>
      <c r="J437" s="217"/>
    </row>
    <row r="438" spans="1:19" ht="14.25" customHeight="1" x14ac:dyDescent="0.2">
      <c r="C438" s="244" t="s">
        <v>430</v>
      </c>
      <c r="D438" s="217"/>
      <c r="E438" s="217"/>
      <c r="F438" s="217"/>
      <c r="G438" s="217"/>
      <c r="H438" s="234"/>
      <c r="I438" s="234"/>
      <c r="J438" s="217"/>
    </row>
    <row r="439" spans="1:19" ht="14.25" customHeight="1" x14ac:dyDescent="0.2">
      <c r="C439" s="244" t="s">
        <v>431</v>
      </c>
      <c r="D439" s="217"/>
      <c r="E439" s="217"/>
      <c r="F439" s="217"/>
      <c r="G439" s="217"/>
      <c r="H439" s="234"/>
      <c r="I439" s="234"/>
      <c r="J439" s="217"/>
    </row>
    <row r="440" spans="1:19" ht="14.25" customHeight="1" x14ac:dyDescent="0.2">
      <c r="C440" s="244" t="s">
        <v>432</v>
      </c>
      <c r="D440" s="217"/>
      <c r="E440" s="217"/>
      <c r="F440" s="217"/>
      <c r="G440" s="217"/>
      <c r="H440" s="234"/>
      <c r="I440" s="234"/>
      <c r="J440" s="217"/>
    </row>
    <row r="441" spans="1:19" x14ac:dyDescent="0.2">
      <c r="C441" s="244" t="s">
        <v>433</v>
      </c>
    </row>
    <row r="442" spans="1:19" x14ac:dyDescent="0.2">
      <c r="C442" s="244" t="s">
        <v>434</v>
      </c>
    </row>
    <row r="443" spans="1:19" x14ac:dyDescent="0.2">
      <c r="C443" s="244" t="s">
        <v>435</v>
      </c>
    </row>
    <row r="444" spans="1:19" x14ac:dyDescent="0.2">
      <c r="C444" s="244" t="s">
        <v>436</v>
      </c>
    </row>
    <row r="445" spans="1:19" x14ac:dyDescent="0.2">
      <c r="C445" s="244" t="s">
        <v>437</v>
      </c>
    </row>
    <row r="446" spans="1:19" s="249" customFormat="1" ht="83.25" customHeight="1" x14ac:dyDescent="0.25">
      <c r="A446" s="250"/>
      <c r="B446" s="249" t="s">
        <v>425</v>
      </c>
      <c r="C446" s="249" t="s">
        <v>426</v>
      </c>
      <c r="D446" s="249" t="s">
        <v>438</v>
      </c>
      <c r="E446" s="249" t="s">
        <v>439</v>
      </c>
      <c r="F446" s="249" t="s">
        <v>440</v>
      </c>
      <c r="G446" s="249" t="s">
        <v>441</v>
      </c>
      <c r="H446" s="249" t="s">
        <v>442</v>
      </c>
      <c r="I446" s="249" t="s">
        <v>443</v>
      </c>
      <c r="J446" s="249" t="s">
        <v>444</v>
      </c>
      <c r="K446" s="251" t="s">
        <v>445</v>
      </c>
      <c r="L446" s="249" t="s">
        <v>446</v>
      </c>
      <c r="M446" s="249" t="s">
        <v>447</v>
      </c>
      <c r="N446" s="249" t="s">
        <v>448</v>
      </c>
      <c r="O446" s="249" t="s">
        <v>449</v>
      </c>
      <c r="P446" s="249" t="s">
        <v>450</v>
      </c>
      <c r="Q446" s="249" t="s">
        <v>451</v>
      </c>
      <c r="R446" s="249" t="s">
        <v>452</v>
      </c>
      <c r="S446" s="249" t="s">
        <v>453</v>
      </c>
    </row>
    <row r="447" spans="1:19" ht="15" customHeight="1" x14ac:dyDescent="0.2">
      <c r="A447" s="4">
        <v>1</v>
      </c>
      <c r="B447" s="253" t="str">
        <f t="shared" ref="B447:B455" si="72">IF($A447&lt;7, "МСМК", " ")</f>
        <v>МСМК</v>
      </c>
      <c r="C447" s="253" t="str">
        <f t="shared" ref="C447:C455" si="73">IF($A447&lt;5, "МСМК", " ")</f>
        <v>МСМК</v>
      </c>
      <c r="D447" s="91" t="str">
        <f t="shared" ref="D447:D452" si="74">IF(ISBLANK($A447), " ", IF(ISTEXT($A447), " ", IF($A447&lt;=1, "МСМК", " ")))</f>
        <v>МСМК</v>
      </c>
      <c r="E447" s="91" t="str">
        <f t="shared" ref="E447:E456" si="75">IF(ISBLANK($A447), " ", IF(ISTEXT($A447), " ", IF($A447&lt;=6, "МС", " ")))</f>
        <v>МС</v>
      </c>
      <c r="F447" s="91" t="str">
        <f t="shared" ref="F447:F456" si="76">IF(ISBLANK($A447), " ", IF(ISTEXT($A447), " ", IF($A447&lt;=4, "МС", " ")))</f>
        <v>МС</v>
      </c>
      <c r="G447" s="91" t="str">
        <f t="shared" ref="G447:G456" si="77">IF(ISBLANK($A447), " ", IF(ISTEXT($A447), " ", IF($A447&lt;=2, "МС", IF($A447&lt;=6, "КМС", " "))))</f>
        <v>МС</v>
      </c>
      <c r="H447" s="91" t="s">
        <v>262</v>
      </c>
      <c r="I447" s="91" t="str">
        <f t="shared" ref="I447:I456" si="78">IF(ISBLANK($A447), " ", IF(ISTEXT($A447), " ", IF($A447&lt;=3, "МС", IF($A447&lt;=6, "КМС", " "))))</f>
        <v>МС</v>
      </c>
      <c r="J447" s="91" t="str">
        <f t="shared" ref="J447:J456" si="79">IF(ISBLANK($A447), " ", IF(ISTEXT($A447), " ", IF($A447&lt;=4, "КМС", " ")))</f>
        <v>КМС</v>
      </c>
      <c r="K447" s="254" t="str">
        <f t="shared" ref="K447:K456" si="80">IF(ISBLANK($A447), " ", IF(ISTEXT($A447), " ", IF($A447&lt;=2, "МС", IF($A447&lt;=4, "КМС", " "))))</f>
        <v>МС</v>
      </c>
      <c r="L447" s="91" t="str">
        <f t="shared" ref="L447:L455" si="81">IF(ISBLANK($A447), " ", IF(ISTEXT($A447), " ", IF($A447&lt;=1, "КМС", IF($A447&lt;=4, "I", " "))))</f>
        <v>КМС</v>
      </c>
      <c r="M447" s="91" t="str">
        <f t="shared" ref="M447:M456" si="82">IF(ISBLANK($A447), " ", IF(ISTEXT($A447), " ", IF($A447&lt;=2, "I", IF($A447&lt;=4, "II", IF($A447&lt;=6, "III", " ")))))</f>
        <v>I</v>
      </c>
      <c r="N447" s="91" t="str">
        <f t="shared" ref="N447:N452" si="83">IF(ISBLANK($A447), " ", IF(ISTEXT($A447), " ", IF($A447&lt;=1, "КМС", IF($A447&lt;=4, "I", " "))))</f>
        <v>КМС</v>
      </c>
      <c r="O447" s="91" t="str">
        <f t="shared" ref="O447:O457" si="84">IF(ISBLANK($A447), " ", IF(ISTEXT($A447), " ", IF($A447&lt;=2, "I", IF($A447&lt;=4, "II", IF($A447&lt;=6, "III", " ")))))</f>
        <v>I</v>
      </c>
      <c r="P447" s="91" t="str">
        <f t="shared" ref="P447:P455" si="85">IF(ISBLANK($A447), " ", IF(ISTEXT($A447), " ", IF($A447&lt;=1, "I", IF($A447&lt;=3, "II", IF($A447&lt;=6, "III", " ")))))</f>
        <v>I</v>
      </c>
      <c r="Q447" s="91" t="str">
        <f t="shared" ref="Q447:Q455" si="86">IF(ISBLANK($A447), " ", IF(ISTEXT($A447), " ", IF($A447&lt;=3, "II", IF($A447&lt;=5, "III", IF($A447&lt;=7, "I юн", " ")))))</f>
        <v>II</v>
      </c>
      <c r="R447" s="91" t="str">
        <f t="shared" ref="R447:R456" si="87">IF(ISBLANK($A447), " ", IF(ISTEXT($A447), " ", IF($A447&lt;=3, "III", IF($A447&lt;=6, "I юн", IF($A447&lt;=8, "II юн", " ")))))</f>
        <v>III</v>
      </c>
      <c r="S447" s="91" t="str">
        <f t="shared" ref="S447:S455" si="88">IF(ISBLANK($A447), " ", IF(ISTEXT($A447), " ", IF($A447&lt;=3, "I юн", IF($A447&lt;=6, "II юн", IF($A447&lt;=9, "III юн", " ")))))</f>
        <v>I юн</v>
      </c>
    </row>
    <row r="448" spans="1:19" ht="15" customHeight="1" x14ac:dyDescent="0.2">
      <c r="A448" s="4">
        <v>2</v>
      </c>
      <c r="B448" s="253" t="str">
        <f t="shared" si="72"/>
        <v>МСМК</v>
      </c>
      <c r="C448" s="253" t="str">
        <f t="shared" si="73"/>
        <v>МСМК</v>
      </c>
      <c r="D448" s="91" t="str">
        <f t="shared" si="74"/>
        <v xml:space="preserve"> </v>
      </c>
      <c r="E448" s="91" t="str">
        <f t="shared" si="75"/>
        <v>МС</v>
      </c>
      <c r="F448" s="91" t="str">
        <f t="shared" si="76"/>
        <v>МС</v>
      </c>
      <c r="G448" s="91" t="str">
        <f t="shared" si="77"/>
        <v>МС</v>
      </c>
      <c r="H448" s="91" t="s">
        <v>262</v>
      </c>
      <c r="I448" s="91" t="str">
        <f t="shared" si="78"/>
        <v>МС</v>
      </c>
      <c r="J448" s="91" t="str">
        <f t="shared" si="79"/>
        <v>КМС</v>
      </c>
      <c r="K448" s="254" t="str">
        <f t="shared" si="80"/>
        <v>МС</v>
      </c>
      <c r="L448" s="91" t="str">
        <f t="shared" si="81"/>
        <v>I</v>
      </c>
      <c r="M448" s="91" t="str">
        <f t="shared" si="82"/>
        <v>I</v>
      </c>
      <c r="N448" s="91" t="str">
        <f t="shared" si="83"/>
        <v>I</v>
      </c>
      <c r="O448" s="91" t="str">
        <f t="shared" si="84"/>
        <v>I</v>
      </c>
      <c r="P448" s="91" t="str">
        <f t="shared" si="85"/>
        <v>II</v>
      </c>
      <c r="Q448" s="91" t="str">
        <f t="shared" si="86"/>
        <v>II</v>
      </c>
      <c r="R448" s="91" t="str">
        <f t="shared" si="87"/>
        <v>III</v>
      </c>
      <c r="S448" s="91" t="str">
        <f t="shared" si="88"/>
        <v>I юн</v>
      </c>
    </row>
    <row r="449" spans="1:19" ht="15" customHeight="1" x14ac:dyDescent="0.2">
      <c r="A449" s="4">
        <v>3</v>
      </c>
      <c r="B449" s="253" t="str">
        <f t="shared" si="72"/>
        <v>МСМК</v>
      </c>
      <c r="C449" s="253" t="str">
        <f t="shared" si="73"/>
        <v>МСМК</v>
      </c>
      <c r="D449" s="91" t="str">
        <f t="shared" si="74"/>
        <v xml:space="preserve"> </v>
      </c>
      <c r="E449" s="91" t="str">
        <f t="shared" si="75"/>
        <v>МС</v>
      </c>
      <c r="F449" s="91" t="str">
        <f t="shared" si="76"/>
        <v>МС</v>
      </c>
      <c r="G449" s="91" t="str">
        <f t="shared" si="77"/>
        <v>КМС</v>
      </c>
      <c r="H449" s="91" t="s">
        <v>262</v>
      </c>
      <c r="I449" s="91" t="str">
        <f t="shared" si="78"/>
        <v>МС</v>
      </c>
      <c r="J449" s="91" t="str">
        <f t="shared" si="79"/>
        <v>КМС</v>
      </c>
      <c r="K449" s="254" t="str">
        <f t="shared" si="80"/>
        <v>КМС</v>
      </c>
      <c r="L449" s="91" t="str">
        <f t="shared" si="81"/>
        <v>I</v>
      </c>
      <c r="M449" s="91" t="str">
        <f t="shared" si="82"/>
        <v>II</v>
      </c>
      <c r="N449" s="91" t="str">
        <f t="shared" si="83"/>
        <v>I</v>
      </c>
      <c r="O449" s="91" t="str">
        <f t="shared" si="84"/>
        <v>II</v>
      </c>
      <c r="P449" s="91" t="str">
        <f t="shared" si="85"/>
        <v>II</v>
      </c>
      <c r="Q449" s="91" t="str">
        <f t="shared" si="86"/>
        <v>II</v>
      </c>
      <c r="R449" s="91" t="str">
        <f t="shared" si="87"/>
        <v>III</v>
      </c>
      <c r="S449" s="91" t="str">
        <f t="shared" si="88"/>
        <v>I юн</v>
      </c>
    </row>
    <row r="450" spans="1:19" ht="15" customHeight="1" x14ac:dyDescent="0.2">
      <c r="A450" s="4">
        <v>4</v>
      </c>
      <c r="B450" s="253" t="str">
        <f t="shared" si="72"/>
        <v>МСМК</v>
      </c>
      <c r="C450" s="253" t="str">
        <f t="shared" si="73"/>
        <v>МСМК</v>
      </c>
      <c r="D450" s="91" t="str">
        <f t="shared" si="74"/>
        <v xml:space="preserve"> </v>
      </c>
      <c r="E450" s="91" t="str">
        <f t="shared" si="75"/>
        <v>МС</v>
      </c>
      <c r="F450" s="91" t="str">
        <f t="shared" si="76"/>
        <v>МС</v>
      </c>
      <c r="G450" s="91" t="str">
        <f t="shared" si="77"/>
        <v>КМС</v>
      </c>
      <c r="H450" s="91" t="s">
        <v>262</v>
      </c>
      <c r="I450" s="91" t="str">
        <f t="shared" si="78"/>
        <v>КМС</v>
      </c>
      <c r="J450" s="91" t="str">
        <f t="shared" si="79"/>
        <v>КМС</v>
      </c>
      <c r="K450" s="254" t="str">
        <f t="shared" si="80"/>
        <v>КМС</v>
      </c>
      <c r="L450" s="91" t="str">
        <f t="shared" si="81"/>
        <v>I</v>
      </c>
      <c r="M450" s="91" t="str">
        <f t="shared" si="82"/>
        <v>II</v>
      </c>
      <c r="N450" s="91" t="str">
        <f t="shared" si="83"/>
        <v>I</v>
      </c>
      <c r="O450" s="91" t="str">
        <f t="shared" si="84"/>
        <v>II</v>
      </c>
      <c r="P450" s="91" t="str">
        <f t="shared" si="85"/>
        <v>III</v>
      </c>
      <c r="Q450" s="91" t="str">
        <f t="shared" si="86"/>
        <v>III</v>
      </c>
      <c r="R450" s="91" t="str">
        <f t="shared" si="87"/>
        <v>I юн</v>
      </c>
      <c r="S450" s="91" t="str">
        <f t="shared" si="88"/>
        <v>II юн</v>
      </c>
    </row>
    <row r="451" spans="1:19" ht="15" customHeight="1" x14ac:dyDescent="0.2">
      <c r="A451" s="4">
        <v>5</v>
      </c>
      <c r="B451" s="253" t="str">
        <f t="shared" si="72"/>
        <v>МСМК</v>
      </c>
      <c r="C451" s="253" t="str">
        <f t="shared" si="73"/>
        <v xml:space="preserve"> </v>
      </c>
      <c r="D451" s="91" t="str">
        <f t="shared" si="74"/>
        <v xml:space="preserve"> </v>
      </c>
      <c r="E451" s="91" t="str">
        <f t="shared" si="75"/>
        <v>МС</v>
      </c>
      <c r="F451" s="91" t="str">
        <f t="shared" si="76"/>
        <v xml:space="preserve"> </v>
      </c>
      <c r="G451" s="91" t="str">
        <f t="shared" si="77"/>
        <v>КМС</v>
      </c>
      <c r="H451" s="91" t="s">
        <v>79</v>
      </c>
      <c r="I451" s="91" t="str">
        <f t="shared" si="78"/>
        <v>КМС</v>
      </c>
      <c r="J451" s="91" t="str">
        <f t="shared" si="79"/>
        <v xml:space="preserve"> </v>
      </c>
      <c r="K451" s="254" t="str">
        <f t="shared" si="80"/>
        <v xml:space="preserve"> </v>
      </c>
      <c r="L451" s="91" t="str">
        <f t="shared" si="81"/>
        <v xml:space="preserve"> </v>
      </c>
      <c r="M451" s="91" t="str">
        <f t="shared" si="82"/>
        <v>III</v>
      </c>
      <c r="N451" s="91" t="str">
        <f t="shared" si="83"/>
        <v xml:space="preserve"> </v>
      </c>
      <c r="O451" s="91" t="str">
        <f t="shared" si="84"/>
        <v>III</v>
      </c>
      <c r="P451" s="91" t="str">
        <f t="shared" si="85"/>
        <v>III</v>
      </c>
      <c r="Q451" s="91" t="str">
        <f t="shared" si="86"/>
        <v>III</v>
      </c>
      <c r="R451" s="91" t="str">
        <f t="shared" si="87"/>
        <v>I юн</v>
      </c>
      <c r="S451" s="91" t="str">
        <f t="shared" si="88"/>
        <v>II юн</v>
      </c>
    </row>
    <row r="452" spans="1:19" ht="15" customHeight="1" x14ac:dyDescent="0.2">
      <c r="A452" s="4">
        <v>6</v>
      </c>
      <c r="B452" s="253" t="str">
        <f t="shared" si="72"/>
        <v>МСМК</v>
      </c>
      <c r="C452" s="253" t="str">
        <f t="shared" si="73"/>
        <v xml:space="preserve"> </v>
      </c>
      <c r="D452" s="91" t="str">
        <f t="shared" si="74"/>
        <v xml:space="preserve"> </v>
      </c>
      <c r="E452" s="91" t="str">
        <f t="shared" si="75"/>
        <v>МС</v>
      </c>
      <c r="F452" s="91" t="str">
        <f t="shared" si="76"/>
        <v xml:space="preserve"> </v>
      </c>
      <c r="G452" s="91" t="str">
        <f t="shared" si="77"/>
        <v>КМС</v>
      </c>
      <c r="H452" s="91" t="s">
        <v>79</v>
      </c>
      <c r="I452" s="91" t="str">
        <f t="shared" si="78"/>
        <v>КМС</v>
      </c>
      <c r="J452" s="91" t="str">
        <f t="shared" si="79"/>
        <v xml:space="preserve"> </v>
      </c>
      <c r="K452" s="254" t="str">
        <f t="shared" si="80"/>
        <v xml:space="preserve"> </v>
      </c>
      <c r="L452" s="91" t="str">
        <f t="shared" si="81"/>
        <v xml:space="preserve"> </v>
      </c>
      <c r="M452" s="91" t="str">
        <f t="shared" si="82"/>
        <v>III</v>
      </c>
      <c r="N452" s="91" t="str">
        <f t="shared" si="83"/>
        <v xml:space="preserve"> </v>
      </c>
      <c r="O452" s="91" t="str">
        <f t="shared" si="84"/>
        <v>III</v>
      </c>
      <c r="P452" s="91" t="str">
        <f t="shared" si="85"/>
        <v>III</v>
      </c>
      <c r="Q452" s="91" t="str">
        <f t="shared" si="86"/>
        <v>I юн</v>
      </c>
      <c r="R452" s="91" t="str">
        <f t="shared" si="87"/>
        <v>I юн</v>
      </c>
      <c r="S452" s="91" t="str">
        <f t="shared" si="88"/>
        <v>II юн</v>
      </c>
    </row>
    <row r="453" spans="1:19" ht="15" customHeight="1" x14ac:dyDescent="0.2">
      <c r="A453" s="4">
        <v>7</v>
      </c>
      <c r="B453" s="253" t="str">
        <f t="shared" si="72"/>
        <v xml:space="preserve"> </v>
      </c>
      <c r="C453" s="253" t="str">
        <f t="shared" si="73"/>
        <v xml:space="preserve"> </v>
      </c>
      <c r="D453" s="4"/>
      <c r="E453" s="91" t="str">
        <f t="shared" si="75"/>
        <v xml:space="preserve"> </v>
      </c>
      <c r="F453" s="91" t="str">
        <f t="shared" si="76"/>
        <v xml:space="preserve"> </v>
      </c>
      <c r="G453" s="91" t="str">
        <f t="shared" si="77"/>
        <v xml:space="preserve"> </v>
      </c>
      <c r="H453" s="91" t="s">
        <v>79</v>
      </c>
      <c r="I453" s="91" t="str">
        <f t="shared" si="78"/>
        <v xml:space="preserve"> </v>
      </c>
      <c r="J453" s="91" t="str">
        <f t="shared" si="79"/>
        <v xml:space="preserve"> </v>
      </c>
      <c r="K453" s="254" t="str">
        <f t="shared" si="80"/>
        <v xml:space="preserve"> </v>
      </c>
      <c r="L453" s="91" t="str">
        <f t="shared" si="81"/>
        <v xml:space="preserve"> </v>
      </c>
      <c r="M453" s="91" t="str">
        <f t="shared" si="82"/>
        <v xml:space="preserve"> </v>
      </c>
      <c r="N453" s="4"/>
      <c r="O453" s="91" t="str">
        <f t="shared" si="84"/>
        <v xml:space="preserve"> </v>
      </c>
      <c r="P453" s="91" t="str">
        <f t="shared" si="85"/>
        <v xml:space="preserve"> </v>
      </c>
      <c r="Q453" s="91" t="str">
        <f t="shared" si="86"/>
        <v>I юн</v>
      </c>
      <c r="R453" s="91" t="str">
        <f t="shared" si="87"/>
        <v>II юн</v>
      </c>
      <c r="S453" s="91" t="str">
        <f t="shared" si="88"/>
        <v>III юн</v>
      </c>
    </row>
    <row r="454" spans="1:19" ht="15" customHeight="1" x14ac:dyDescent="0.2">
      <c r="A454" s="4">
        <v>8</v>
      </c>
      <c r="B454" s="253" t="str">
        <f t="shared" si="72"/>
        <v xml:space="preserve"> </v>
      </c>
      <c r="C454" s="253" t="str">
        <f t="shared" si="73"/>
        <v xml:space="preserve"> </v>
      </c>
      <c r="D454" s="4"/>
      <c r="E454" s="91" t="str">
        <f t="shared" si="75"/>
        <v xml:space="preserve"> </v>
      </c>
      <c r="F454" s="91" t="str">
        <f t="shared" si="76"/>
        <v xml:space="preserve"> </v>
      </c>
      <c r="G454" s="91" t="str">
        <f t="shared" si="77"/>
        <v xml:space="preserve"> </v>
      </c>
      <c r="H454" s="91" t="s">
        <v>79</v>
      </c>
      <c r="I454" s="91" t="str">
        <f t="shared" si="78"/>
        <v xml:space="preserve"> </v>
      </c>
      <c r="J454" s="91" t="str">
        <f t="shared" si="79"/>
        <v xml:space="preserve"> </v>
      </c>
      <c r="K454" s="254" t="str">
        <f t="shared" si="80"/>
        <v xml:space="preserve"> </v>
      </c>
      <c r="L454" s="91" t="str">
        <f t="shared" si="81"/>
        <v xml:space="preserve"> </v>
      </c>
      <c r="M454" s="91" t="str">
        <f t="shared" si="82"/>
        <v xml:space="preserve"> </v>
      </c>
      <c r="N454" s="4"/>
      <c r="O454" s="91" t="str">
        <f t="shared" si="84"/>
        <v xml:space="preserve"> </v>
      </c>
      <c r="P454" s="91" t="str">
        <f t="shared" si="85"/>
        <v xml:space="preserve"> </v>
      </c>
      <c r="Q454" s="91" t="str">
        <f t="shared" si="86"/>
        <v xml:space="preserve"> </v>
      </c>
      <c r="R454" s="91" t="str">
        <f t="shared" si="87"/>
        <v>II юн</v>
      </c>
      <c r="S454" s="91" t="str">
        <f t="shared" si="88"/>
        <v>III юн</v>
      </c>
    </row>
    <row r="455" spans="1:19" ht="14.25" customHeight="1" x14ac:dyDescent="0.2">
      <c r="A455" s="4">
        <v>9</v>
      </c>
      <c r="B455" s="253" t="str">
        <f t="shared" si="72"/>
        <v xml:space="preserve"> </v>
      </c>
      <c r="C455" s="253" t="str">
        <f t="shared" si="73"/>
        <v xml:space="preserve"> </v>
      </c>
      <c r="D455" s="217"/>
      <c r="E455" s="91" t="str">
        <f t="shared" si="75"/>
        <v xml:space="preserve"> </v>
      </c>
      <c r="F455" s="91" t="str">
        <f t="shared" si="76"/>
        <v xml:space="preserve"> </v>
      </c>
      <c r="G455" s="91" t="str">
        <f t="shared" si="77"/>
        <v xml:space="preserve"> </v>
      </c>
      <c r="H455" s="91" t="s">
        <v>454</v>
      </c>
      <c r="I455" s="91" t="str">
        <f t="shared" si="78"/>
        <v xml:space="preserve"> </v>
      </c>
      <c r="J455" s="91" t="str">
        <f t="shared" si="79"/>
        <v xml:space="preserve"> </v>
      </c>
      <c r="K455" s="254" t="str">
        <f t="shared" si="80"/>
        <v xml:space="preserve"> </v>
      </c>
      <c r="L455" s="91" t="str">
        <f t="shared" si="81"/>
        <v xml:space="preserve"> </v>
      </c>
      <c r="M455" s="91" t="str">
        <f t="shared" si="82"/>
        <v xml:space="preserve"> </v>
      </c>
      <c r="N455" s="217"/>
      <c r="O455" s="91" t="str">
        <f t="shared" si="84"/>
        <v xml:space="preserve"> </v>
      </c>
      <c r="P455" s="91" t="str">
        <f t="shared" si="85"/>
        <v xml:space="preserve"> </v>
      </c>
      <c r="Q455" s="91" t="str">
        <f t="shared" si="86"/>
        <v xml:space="preserve"> </v>
      </c>
      <c r="R455" s="91" t="str">
        <f t="shared" si="87"/>
        <v xml:space="preserve"> </v>
      </c>
      <c r="S455" s="91" t="str">
        <f t="shared" si="88"/>
        <v>III юн</v>
      </c>
    </row>
    <row r="456" spans="1:19" x14ac:dyDescent="0.2">
      <c r="E456" s="91" t="str">
        <f t="shared" si="75"/>
        <v xml:space="preserve"> </v>
      </c>
      <c r="F456" s="91" t="str">
        <f t="shared" si="76"/>
        <v xml:space="preserve"> </v>
      </c>
      <c r="G456" s="91" t="str">
        <f t="shared" si="77"/>
        <v xml:space="preserve"> </v>
      </c>
      <c r="H456" s="91" t="s">
        <v>454</v>
      </c>
      <c r="I456" s="91" t="str">
        <f t="shared" si="78"/>
        <v xml:space="preserve"> </v>
      </c>
      <c r="J456" s="91" t="str">
        <f t="shared" si="79"/>
        <v xml:space="preserve"> </v>
      </c>
      <c r="K456" s="254" t="str">
        <f t="shared" si="80"/>
        <v xml:space="preserve"> </v>
      </c>
      <c r="L456" s="91" t="str">
        <f>IF(ISBLANK($A456), " ", IF(ISTEXT($A456), " ", IF($A456&lt;=2, "МС", IF($A456&lt;=4, "КМС", " "))))</f>
        <v xml:space="preserve"> </v>
      </c>
      <c r="M456" s="91" t="str">
        <f t="shared" si="82"/>
        <v xml:space="preserve"> </v>
      </c>
      <c r="O456" s="91" t="str">
        <f t="shared" si="84"/>
        <v xml:space="preserve"> </v>
      </c>
      <c r="R456" s="91" t="str">
        <f t="shared" si="87"/>
        <v xml:space="preserve"> </v>
      </c>
    </row>
    <row r="457" spans="1:19" ht="14.25" customHeight="1" x14ac:dyDescent="0.2">
      <c r="C457" s="244" t="s">
        <v>455</v>
      </c>
      <c r="D457" s="217"/>
      <c r="E457" s="217"/>
      <c r="F457" s="217"/>
      <c r="G457" s="217"/>
      <c r="H457" s="234"/>
      <c r="I457" s="234"/>
      <c r="J457" s="217"/>
      <c r="O457" s="91" t="str">
        <f t="shared" si="84"/>
        <v xml:space="preserve"> </v>
      </c>
    </row>
    <row r="458" spans="1:19" ht="14.25" customHeight="1" x14ac:dyDescent="0.2">
      <c r="C458" s="244" t="s">
        <v>456</v>
      </c>
      <c r="D458" s="217"/>
      <c r="E458" s="217"/>
      <c r="F458" s="217"/>
      <c r="G458" s="217"/>
      <c r="H458" s="234"/>
      <c r="I458" s="234"/>
      <c r="J458" s="217"/>
    </row>
    <row r="460" spans="1:19" x14ac:dyDescent="0.2">
      <c r="C460" s="244" t="s">
        <v>457</v>
      </c>
    </row>
    <row r="461" spans="1:19" x14ac:dyDescent="0.2">
      <c r="C461" s="244" t="s">
        <v>458</v>
      </c>
    </row>
    <row r="462" spans="1:19" x14ac:dyDescent="0.2">
      <c r="C462" s="244"/>
    </row>
    <row r="463" spans="1:19" x14ac:dyDescent="0.2">
      <c r="C463" s="244" t="s">
        <v>459</v>
      </c>
    </row>
    <row r="464" spans="1:19" x14ac:dyDescent="0.2">
      <c r="C464" s="244" t="s">
        <v>460</v>
      </c>
    </row>
    <row r="465" spans="3:3" x14ac:dyDescent="0.2">
      <c r="C465" s="244"/>
    </row>
    <row r="466" spans="3:3" x14ac:dyDescent="0.2">
      <c r="C466" s="244" t="s">
        <v>461</v>
      </c>
    </row>
    <row r="467" spans="3:3" x14ac:dyDescent="0.2">
      <c r="C467" s="244" t="s">
        <v>462</v>
      </c>
    </row>
    <row r="468" spans="3:3" x14ac:dyDescent="0.2">
      <c r="C468" s="244"/>
    </row>
    <row r="469" spans="3:3" x14ac:dyDescent="0.2">
      <c r="C469" s="244" t="s">
        <v>463</v>
      </c>
    </row>
    <row r="470" spans="3:3" x14ac:dyDescent="0.2">
      <c r="C470" s="244" t="s">
        <v>464</v>
      </c>
    </row>
    <row r="471" spans="3:3" x14ac:dyDescent="0.2">
      <c r="C471" s="244"/>
    </row>
    <row r="472" spans="3:3" x14ac:dyDescent="0.2">
      <c r="C472" s="244" t="s">
        <v>465</v>
      </c>
    </row>
    <row r="473" spans="3:3" x14ac:dyDescent="0.2">
      <c r="C473" s="244" t="s">
        <v>466</v>
      </c>
    </row>
    <row r="474" spans="3:3" x14ac:dyDescent="0.2">
      <c r="C474" s="244"/>
    </row>
    <row r="475" spans="3:3" x14ac:dyDescent="0.2">
      <c r="C475" s="244" t="s">
        <v>467</v>
      </c>
    </row>
    <row r="476" spans="3:3" x14ac:dyDescent="0.2">
      <c r="C476" s="244" t="s">
        <v>468</v>
      </c>
    </row>
    <row r="477" spans="3:3" x14ac:dyDescent="0.2">
      <c r="C477" s="244"/>
    </row>
    <row r="478" spans="3:3" x14ac:dyDescent="0.2">
      <c r="C478" s="244" t="s">
        <v>469</v>
      </c>
    </row>
    <row r="479" spans="3:3" x14ac:dyDescent="0.2">
      <c r="C479" s="244" t="s">
        <v>470</v>
      </c>
    </row>
    <row r="480" spans="3:3" x14ac:dyDescent="0.2">
      <c r="C480" s="244"/>
    </row>
    <row r="481" spans="3:3" x14ac:dyDescent="0.2">
      <c r="C481" s="244" t="s">
        <v>471</v>
      </c>
    </row>
    <row r="482" spans="3:3" x14ac:dyDescent="0.2">
      <c r="C482" s="244" t="s">
        <v>472</v>
      </c>
    </row>
    <row r="483" spans="3:3" x14ac:dyDescent="0.2">
      <c r="C483" s="244"/>
    </row>
    <row r="484" spans="3:3" x14ac:dyDescent="0.2">
      <c r="C484" s="244"/>
    </row>
    <row r="485" spans="3:3" x14ac:dyDescent="0.2">
      <c r="C485" s="244"/>
    </row>
    <row r="486" spans="3:3" x14ac:dyDescent="0.2">
      <c r="C486" s="244" t="s">
        <v>473</v>
      </c>
    </row>
    <row r="487" spans="3:3" x14ac:dyDescent="0.2">
      <c r="C487" s="244" t="s">
        <v>474</v>
      </c>
    </row>
    <row r="488" spans="3:3" x14ac:dyDescent="0.2">
      <c r="C488" s="244"/>
    </row>
    <row r="489" spans="3:3" x14ac:dyDescent="0.2">
      <c r="C489" s="244"/>
    </row>
    <row r="490" spans="3:3" x14ac:dyDescent="0.2">
      <c r="C490" s="244" t="s">
        <v>475</v>
      </c>
    </row>
    <row r="491" spans="3:3" x14ac:dyDescent="0.2">
      <c r="C491" s="244" t="s">
        <v>476</v>
      </c>
    </row>
    <row r="492" spans="3:3" x14ac:dyDescent="0.2">
      <c r="C492" s="244"/>
    </row>
    <row r="493" spans="3:3" x14ac:dyDescent="0.2">
      <c r="C493" s="244" t="s">
        <v>477</v>
      </c>
    </row>
    <row r="494" spans="3:3" x14ac:dyDescent="0.2">
      <c r="C494" s="244" t="s">
        <v>478</v>
      </c>
    </row>
    <row r="495" spans="3:3" x14ac:dyDescent="0.2">
      <c r="C495" s="244"/>
    </row>
    <row r="496" spans="3:3" x14ac:dyDescent="0.2">
      <c r="C496" s="244" t="s">
        <v>479</v>
      </c>
    </row>
    <row r="497" spans="3:3" x14ac:dyDescent="0.2">
      <c r="C497" s="244" t="s">
        <v>480</v>
      </c>
    </row>
    <row r="498" spans="3:3" x14ac:dyDescent="0.2">
      <c r="C498" s="244"/>
    </row>
    <row r="499" spans="3:3" x14ac:dyDescent="0.2">
      <c r="C499" s="244" t="s">
        <v>481</v>
      </c>
    </row>
    <row r="500" spans="3:3" x14ac:dyDescent="0.2">
      <c r="C500" s="244" t="s">
        <v>482</v>
      </c>
    </row>
    <row r="501" spans="3:3" x14ac:dyDescent="0.2">
      <c r="C501" s="244"/>
    </row>
    <row r="502" spans="3:3" x14ac:dyDescent="0.2">
      <c r="C502" s="244" t="s">
        <v>483</v>
      </c>
    </row>
    <row r="503" spans="3:3" x14ac:dyDescent="0.2">
      <c r="C503" s="244" t="s">
        <v>484</v>
      </c>
    </row>
    <row r="504" spans="3:3" x14ac:dyDescent="0.2">
      <c r="C504" s="244"/>
    </row>
    <row r="505" spans="3:3" x14ac:dyDescent="0.2">
      <c r="C505" s="244" t="s">
        <v>485</v>
      </c>
    </row>
    <row r="506" spans="3:3" x14ac:dyDescent="0.2">
      <c r="C506" s="244" t="s">
        <v>486</v>
      </c>
    </row>
    <row r="507" spans="3:3" x14ac:dyDescent="0.2">
      <c r="C507" s="244"/>
    </row>
    <row r="508" spans="3:3" x14ac:dyDescent="0.2">
      <c r="C508" s="244" t="s">
        <v>487</v>
      </c>
    </row>
    <row r="509" spans="3:3" x14ac:dyDescent="0.2">
      <c r="C509" s="244" t="s">
        <v>488</v>
      </c>
    </row>
  </sheetData>
  <mergeCells count="3">
    <mergeCell ref="H1:J1"/>
    <mergeCell ref="I2:J2"/>
    <mergeCell ref="M2:N2"/>
  </mergeCells>
  <pageMargins left="0.70000004768371582" right="0.70000004768371582" top="0.75" bottom="0.75" header="0.30000001192092896" footer="0.30000001192092896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/>
  </sheetViews>
  <sheetFormatPr defaultColWidth="9.140625" defaultRowHeight="15" x14ac:dyDescent="0.25"/>
  <sheetData>
    <row r="1" spans="1:2" ht="15" customHeight="1" x14ac:dyDescent="0.25">
      <c r="A1" s="255"/>
      <c r="B1" s="253">
        <v>50</v>
      </c>
    </row>
    <row r="2" spans="1:2" ht="15" customHeight="1" x14ac:dyDescent="0.25">
      <c r="A2" s="256"/>
      <c r="B2" s="253">
        <v>46</v>
      </c>
    </row>
    <row r="3" spans="1:2" ht="15" customHeight="1" x14ac:dyDescent="0.25">
      <c r="A3" s="255"/>
      <c r="B3" s="253">
        <v>42</v>
      </c>
    </row>
    <row r="4" spans="1:2" ht="15" customHeight="1" x14ac:dyDescent="0.25">
      <c r="A4" s="256"/>
      <c r="B4" s="253">
        <v>39</v>
      </c>
    </row>
    <row r="5" spans="1:2" ht="15" customHeight="1" x14ac:dyDescent="0.25">
      <c r="A5" s="255"/>
      <c r="B5" s="253">
        <v>36</v>
      </c>
    </row>
    <row r="6" spans="1:2" ht="15" customHeight="1" x14ac:dyDescent="0.25">
      <c r="A6" s="256"/>
      <c r="B6" s="253">
        <v>33</v>
      </c>
    </row>
    <row r="7" spans="1:2" ht="15" customHeight="1" x14ac:dyDescent="0.25">
      <c r="A7" s="256"/>
      <c r="B7" s="253">
        <v>30</v>
      </c>
    </row>
    <row r="8" spans="1:2" ht="15" customHeight="1" x14ac:dyDescent="0.25">
      <c r="A8" s="16"/>
      <c r="B8" s="253">
        <v>27</v>
      </c>
    </row>
    <row r="9" spans="1:2" ht="15" customHeight="1" x14ac:dyDescent="0.25">
      <c r="A9" s="256"/>
      <c r="B9" s="253">
        <v>24</v>
      </c>
    </row>
    <row r="10" spans="1:2" ht="15" customHeight="1" x14ac:dyDescent="0.25">
      <c r="A10" s="256"/>
      <c r="B10" s="253">
        <v>22</v>
      </c>
    </row>
    <row r="11" spans="1:2" ht="15" customHeight="1" x14ac:dyDescent="0.25">
      <c r="A11" s="256"/>
      <c r="B11" s="253">
        <v>20</v>
      </c>
    </row>
    <row r="12" spans="1:2" ht="15" customHeight="1" x14ac:dyDescent="0.25">
      <c r="A12" s="256"/>
      <c r="B12" s="253">
        <v>18</v>
      </c>
    </row>
    <row r="13" spans="1:2" ht="15" customHeight="1" x14ac:dyDescent="0.25">
      <c r="A13" s="256"/>
      <c r="B13" s="253">
        <v>16</v>
      </c>
    </row>
    <row r="14" spans="1:2" ht="15" customHeight="1" x14ac:dyDescent="0.25">
      <c r="A14" s="256"/>
      <c r="B14" s="253">
        <v>14</v>
      </c>
    </row>
    <row r="15" spans="1:2" ht="15" customHeight="1" x14ac:dyDescent="0.25">
      <c r="A15" s="256"/>
      <c r="B15" s="253">
        <v>12</v>
      </c>
    </row>
    <row r="16" spans="1:2" ht="15" customHeight="1" x14ac:dyDescent="0.25">
      <c r="A16" s="256"/>
      <c r="B16" s="253">
        <v>10</v>
      </c>
    </row>
    <row r="17" spans="1:2" ht="15" customHeight="1" x14ac:dyDescent="0.25">
      <c r="A17" s="256"/>
      <c r="B17" s="253">
        <v>8</v>
      </c>
    </row>
    <row r="18" spans="1:2" ht="15" customHeight="1" x14ac:dyDescent="0.25">
      <c r="A18" s="256"/>
      <c r="B18" s="253">
        <v>7</v>
      </c>
    </row>
    <row r="19" spans="1:2" ht="15" customHeight="1" x14ac:dyDescent="0.25">
      <c r="A19" s="256"/>
      <c r="B19" s="253">
        <v>6</v>
      </c>
    </row>
    <row r="20" spans="1:2" ht="15" customHeight="1" x14ac:dyDescent="0.25">
      <c r="A20" s="256"/>
      <c r="B20" s="253">
        <v>5</v>
      </c>
    </row>
    <row r="21" spans="1:2" ht="15" customHeight="1" x14ac:dyDescent="0.25">
      <c r="A21" s="18"/>
      <c r="B21" s="253">
        <v>4</v>
      </c>
    </row>
    <row r="22" spans="1:2" ht="15" customHeight="1" x14ac:dyDescent="0.25">
      <c r="A22" s="18"/>
      <c r="B22" s="253">
        <v>3</v>
      </c>
    </row>
    <row r="23" spans="1:2" ht="15" customHeight="1" x14ac:dyDescent="0.25">
      <c r="A23" s="257"/>
      <c r="B23" s="253">
        <v>2</v>
      </c>
    </row>
    <row r="24" spans="1:2" ht="15" customHeight="1" x14ac:dyDescent="0.25">
      <c r="A24" s="257"/>
      <c r="B24" s="253">
        <v>1</v>
      </c>
    </row>
  </sheetData>
  <pageMargins left="0.70000004768371582" right="0.70000004768371582" top="0.75" bottom="0.75" header="0.30000001192092896" footer="0.3000000119209289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85"/>
  <sheetViews>
    <sheetView workbookViewId="0"/>
  </sheetViews>
  <sheetFormatPr defaultColWidth="9.140625" defaultRowHeight="21" customHeight="1" x14ac:dyDescent="0.25"/>
  <cols>
    <col min="1" max="1" width="2.5703125" style="258" bestFit="1" customWidth="1"/>
    <col min="2" max="2" width="7.85546875" style="259" customWidth="1"/>
    <col min="3" max="3" width="24.42578125" style="259" customWidth="1"/>
    <col min="4" max="4" width="3.7109375" style="260" customWidth="1"/>
    <col min="5" max="5" width="7.7109375" style="261" customWidth="1"/>
    <col min="6" max="6" width="14.85546875" style="262" customWidth="1"/>
    <col min="7" max="7" width="4.85546875" style="263" customWidth="1"/>
    <col min="8" max="8" width="2.85546875" style="264" customWidth="1"/>
    <col min="9" max="9" width="11.42578125" style="265" customWidth="1"/>
    <col min="10" max="10" width="9.140625" style="266" customWidth="1"/>
    <col min="11" max="11" width="7.5703125" style="21" customWidth="1"/>
    <col min="12" max="22" width="1.28515625" style="259" customWidth="1"/>
    <col min="23" max="23" width="12.28515625" style="259" bestFit="1" customWidth="1"/>
    <col min="24" max="24" width="15.85546875" style="259" customWidth="1"/>
    <col min="25" max="25" width="9.140625" style="259" bestFit="1" customWidth="1"/>
    <col min="26" max="16384" width="9.140625" style="259"/>
  </cols>
  <sheetData>
    <row r="1" spans="1:11" ht="23.25" customHeight="1" x14ac:dyDescent="0.25">
      <c r="A1" s="267"/>
      <c r="B1" s="268"/>
      <c r="C1" s="269" t="s">
        <v>75</v>
      </c>
      <c r="D1" s="270"/>
      <c r="E1" s="271"/>
      <c r="F1" s="272"/>
      <c r="G1" s="273"/>
      <c r="H1" s="274"/>
      <c r="I1" s="275"/>
      <c r="J1" s="276"/>
      <c r="K1" s="277"/>
    </row>
    <row r="2" spans="1:11" ht="23.25" customHeight="1" x14ac:dyDescent="0.25">
      <c r="A2" s="267"/>
      <c r="B2" s="268"/>
      <c r="C2" s="269"/>
      <c r="D2" s="270"/>
      <c r="E2" s="271" t="s">
        <v>489</v>
      </c>
      <c r="F2" s="272"/>
      <c r="G2" s="273"/>
      <c r="H2" s="274"/>
      <c r="I2" s="275"/>
      <c r="J2" s="276"/>
      <c r="K2" s="277"/>
    </row>
    <row r="3" spans="1:11" ht="23.25" customHeight="1" x14ac:dyDescent="0.25">
      <c r="A3" s="267">
        <v>1</v>
      </c>
      <c r="B3" s="268" t="s">
        <v>82</v>
      </c>
      <c r="C3" s="269" t="s">
        <v>83</v>
      </c>
      <c r="D3" s="270"/>
      <c r="E3" s="271">
        <v>40567</v>
      </c>
      <c r="F3" s="272" t="s">
        <v>78</v>
      </c>
      <c r="G3" s="273"/>
      <c r="H3" s="267">
        <v>1</v>
      </c>
      <c r="I3" s="275"/>
      <c r="J3" s="276"/>
      <c r="K3" s="277"/>
    </row>
    <row r="4" spans="1:11" ht="23.25" customHeight="1" x14ac:dyDescent="0.25">
      <c r="A4" s="267">
        <v>2</v>
      </c>
      <c r="B4" s="268" t="s">
        <v>82</v>
      </c>
      <c r="C4" s="269" t="s">
        <v>103</v>
      </c>
      <c r="D4" s="270"/>
      <c r="E4" s="271">
        <v>40604</v>
      </c>
      <c r="F4" s="272" t="s">
        <v>81</v>
      </c>
      <c r="G4" s="273"/>
      <c r="H4" s="267">
        <v>2</v>
      </c>
      <c r="I4" s="275"/>
      <c r="J4" s="276"/>
      <c r="K4" s="277"/>
    </row>
    <row r="5" spans="1:11" ht="23.25" customHeight="1" x14ac:dyDescent="0.25">
      <c r="A5" s="267">
        <v>3</v>
      </c>
      <c r="B5" s="268" t="s">
        <v>94</v>
      </c>
      <c r="C5" s="269" t="s">
        <v>102</v>
      </c>
      <c r="D5" s="270"/>
      <c r="E5" s="271">
        <v>40693</v>
      </c>
      <c r="F5" s="272" t="s">
        <v>81</v>
      </c>
      <c r="G5" s="273"/>
      <c r="H5" s="267">
        <v>3</v>
      </c>
      <c r="I5" s="275"/>
      <c r="J5" s="276"/>
      <c r="K5" s="277"/>
    </row>
    <row r="6" spans="1:11" ht="23.25" customHeight="1" x14ac:dyDescent="0.25">
      <c r="A6" s="267">
        <v>4</v>
      </c>
      <c r="B6" s="268" t="s">
        <v>82</v>
      </c>
      <c r="C6" s="269" t="s">
        <v>104</v>
      </c>
      <c r="D6" s="270"/>
      <c r="E6" s="271">
        <v>40855</v>
      </c>
      <c r="F6" s="272" t="s">
        <v>81</v>
      </c>
      <c r="G6" s="273"/>
      <c r="H6" s="267">
        <v>4</v>
      </c>
      <c r="I6" s="275"/>
      <c r="J6" s="276"/>
      <c r="K6" s="277"/>
    </row>
    <row r="7" spans="1:11" ht="22.5" customHeight="1" x14ac:dyDescent="0.25">
      <c r="A7" s="267">
        <v>5</v>
      </c>
      <c r="B7" s="268" t="s">
        <v>100</v>
      </c>
      <c r="C7" s="269" t="s">
        <v>101</v>
      </c>
      <c r="D7" s="270"/>
      <c r="E7" s="271">
        <v>40684</v>
      </c>
      <c r="F7" s="272" t="s">
        <v>87</v>
      </c>
      <c r="G7" s="273"/>
      <c r="H7" s="267">
        <v>5</v>
      </c>
      <c r="I7" s="275"/>
      <c r="J7" s="276"/>
      <c r="K7" s="277"/>
    </row>
    <row r="8" spans="1:11" ht="22.5" customHeight="1" x14ac:dyDescent="0.25">
      <c r="A8" s="267">
        <v>6</v>
      </c>
      <c r="B8" s="268" t="s">
        <v>100</v>
      </c>
      <c r="C8" s="269" t="s">
        <v>121</v>
      </c>
      <c r="D8" s="270"/>
      <c r="E8" s="271">
        <v>40927</v>
      </c>
      <c r="F8" s="272" t="s">
        <v>87</v>
      </c>
      <c r="G8" s="273"/>
      <c r="H8" s="267">
        <v>6</v>
      </c>
      <c r="I8" s="275"/>
      <c r="J8" s="276"/>
      <c r="K8" s="277"/>
    </row>
    <row r="9" spans="1:11" ht="22.5" customHeight="1" x14ac:dyDescent="0.25">
      <c r="A9" s="267"/>
      <c r="B9" s="268"/>
      <c r="C9" s="269"/>
      <c r="D9" s="270"/>
      <c r="E9" s="271"/>
      <c r="F9" s="272"/>
      <c r="G9" s="273"/>
      <c r="H9" s="267"/>
      <c r="I9" s="275"/>
      <c r="J9" s="276"/>
      <c r="K9" s="277"/>
    </row>
    <row r="10" spans="1:11" ht="22.5" customHeight="1" x14ac:dyDescent="0.25">
      <c r="A10" s="267"/>
      <c r="B10" s="268"/>
      <c r="C10" s="269"/>
      <c r="D10" s="270"/>
      <c r="E10" s="271" t="s">
        <v>490</v>
      </c>
      <c r="F10" s="272"/>
      <c r="G10" s="273"/>
      <c r="H10" s="267"/>
      <c r="I10" s="275"/>
      <c r="J10" s="276"/>
      <c r="K10" s="277"/>
    </row>
    <row r="11" spans="1:11" ht="22.5" customHeight="1" x14ac:dyDescent="0.25">
      <c r="A11" s="267">
        <v>1</v>
      </c>
      <c r="B11" s="268" t="s">
        <v>84</v>
      </c>
      <c r="C11" s="269" t="s">
        <v>91</v>
      </c>
      <c r="D11" s="270"/>
      <c r="E11" s="271">
        <v>40641</v>
      </c>
      <c r="F11" s="272" t="s">
        <v>92</v>
      </c>
      <c r="G11" s="273"/>
      <c r="H11" s="267">
        <v>1</v>
      </c>
      <c r="I11" s="275"/>
      <c r="J11" s="276"/>
      <c r="K11" s="277"/>
    </row>
    <row r="12" spans="1:11" ht="22.5" customHeight="1" x14ac:dyDescent="0.25">
      <c r="A12" s="267">
        <v>2</v>
      </c>
      <c r="B12" s="268" t="s">
        <v>94</v>
      </c>
      <c r="C12" s="269" t="s">
        <v>97</v>
      </c>
      <c r="D12" s="270"/>
      <c r="E12" s="271">
        <v>40738</v>
      </c>
      <c r="F12" s="272" t="s">
        <v>98</v>
      </c>
      <c r="G12" s="273"/>
      <c r="H12" s="267">
        <v>2</v>
      </c>
      <c r="I12" s="275"/>
      <c r="J12" s="276"/>
      <c r="K12" s="277"/>
    </row>
    <row r="13" spans="1:11" ht="22.5" customHeight="1" x14ac:dyDescent="0.25">
      <c r="A13" s="267">
        <v>3</v>
      </c>
      <c r="B13" s="268" t="s">
        <v>84</v>
      </c>
      <c r="C13" s="269" t="s">
        <v>96</v>
      </c>
      <c r="D13" s="270"/>
      <c r="E13" s="271">
        <v>40858</v>
      </c>
      <c r="F13" s="272" t="s">
        <v>92</v>
      </c>
      <c r="G13" s="273"/>
      <c r="H13" s="267">
        <v>3</v>
      </c>
      <c r="I13" s="275"/>
      <c r="J13" s="276"/>
      <c r="K13" s="277"/>
    </row>
    <row r="14" spans="1:11" ht="22.5" customHeight="1" x14ac:dyDescent="0.25">
      <c r="A14" s="267">
        <v>4</v>
      </c>
      <c r="B14" s="268" t="s">
        <v>88</v>
      </c>
      <c r="C14" s="269" t="s">
        <v>89</v>
      </c>
      <c r="D14" s="270"/>
      <c r="E14" s="271">
        <v>40654</v>
      </c>
      <c r="F14" s="272" t="s">
        <v>90</v>
      </c>
      <c r="G14" s="273"/>
      <c r="H14" s="267">
        <v>4</v>
      </c>
      <c r="I14" s="275"/>
      <c r="J14" s="276"/>
      <c r="K14" s="277"/>
    </row>
    <row r="15" spans="1:11" ht="22.5" customHeight="1" x14ac:dyDescent="0.25">
      <c r="A15" s="267">
        <v>5</v>
      </c>
      <c r="B15" s="268" t="s">
        <v>94</v>
      </c>
      <c r="C15" s="269" t="s">
        <v>95</v>
      </c>
      <c r="D15" s="270"/>
      <c r="E15" s="271">
        <v>40635</v>
      </c>
      <c r="F15" s="272" t="s">
        <v>78</v>
      </c>
      <c r="G15" s="273"/>
      <c r="H15" s="267">
        <v>5</v>
      </c>
      <c r="I15" s="275"/>
      <c r="J15" s="276"/>
      <c r="K15" s="277"/>
    </row>
    <row r="16" spans="1:11" ht="22.5" customHeight="1" x14ac:dyDescent="0.25">
      <c r="A16" s="267">
        <v>6</v>
      </c>
      <c r="B16" s="268" t="s">
        <v>88</v>
      </c>
      <c r="C16" s="269" t="s">
        <v>99</v>
      </c>
      <c r="D16" s="270"/>
      <c r="E16" s="271">
        <v>40801</v>
      </c>
      <c r="F16" s="272" t="s">
        <v>90</v>
      </c>
      <c r="G16" s="273"/>
      <c r="H16" s="267">
        <v>6</v>
      </c>
      <c r="I16" s="275"/>
      <c r="J16" s="276"/>
      <c r="K16" s="277"/>
    </row>
    <row r="17" spans="1:19" ht="22.5" customHeight="1" x14ac:dyDescent="0.25">
      <c r="A17" s="267"/>
      <c r="B17" s="268"/>
      <c r="C17" s="269"/>
      <c r="D17" s="270"/>
      <c r="E17" s="271" t="s">
        <v>491</v>
      </c>
      <c r="F17" s="272"/>
      <c r="G17" s="273"/>
      <c r="H17" s="267"/>
      <c r="I17" s="275"/>
      <c r="J17" s="276"/>
      <c r="K17" s="277"/>
    </row>
    <row r="18" spans="1:19" ht="22.5" customHeight="1" x14ac:dyDescent="0.25">
      <c r="A18" s="267">
        <v>1</v>
      </c>
      <c r="B18" s="268" t="s">
        <v>84</v>
      </c>
      <c r="C18" s="269" t="s">
        <v>85</v>
      </c>
      <c r="D18" s="270"/>
      <c r="E18" s="271">
        <v>40691</v>
      </c>
      <c r="F18" s="272" t="s">
        <v>78</v>
      </c>
      <c r="G18" s="273"/>
      <c r="H18" s="267">
        <v>1</v>
      </c>
      <c r="I18" s="275"/>
      <c r="J18" s="276"/>
      <c r="K18" s="277"/>
    </row>
    <row r="19" spans="1:19" ht="22.5" customHeight="1" x14ac:dyDescent="0.25">
      <c r="A19" s="267">
        <v>2</v>
      </c>
      <c r="B19" s="268" t="s">
        <v>79</v>
      </c>
      <c r="C19" s="269" t="s">
        <v>80</v>
      </c>
      <c r="D19" s="270"/>
      <c r="E19" s="271">
        <v>40743</v>
      </c>
      <c r="F19" s="272" t="s">
        <v>81</v>
      </c>
      <c r="G19" s="273"/>
      <c r="H19" s="267">
        <v>2</v>
      </c>
      <c r="I19" s="275"/>
      <c r="J19" s="276"/>
      <c r="K19" s="277"/>
    </row>
    <row r="20" spans="1:19" ht="22.5" customHeight="1" x14ac:dyDescent="0.25">
      <c r="A20" s="267">
        <v>3</v>
      </c>
      <c r="B20" s="268" t="s">
        <v>79</v>
      </c>
      <c r="C20" s="269" t="s">
        <v>492</v>
      </c>
      <c r="D20" s="270"/>
      <c r="E20" s="271">
        <v>40716</v>
      </c>
      <c r="F20" s="272" t="s">
        <v>87</v>
      </c>
      <c r="G20" s="273"/>
      <c r="H20" s="267">
        <v>3</v>
      </c>
      <c r="I20" s="275"/>
      <c r="J20" s="276"/>
      <c r="K20" s="277"/>
    </row>
    <row r="21" spans="1:19" ht="22.5" customHeight="1" x14ac:dyDescent="0.25">
      <c r="A21" s="267">
        <v>4</v>
      </c>
      <c r="B21" s="268" t="s">
        <v>76</v>
      </c>
      <c r="C21" s="269" t="s">
        <v>77</v>
      </c>
      <c r="D21" s="270"/>
      <c r="E21" s="271">
        <v>40571</v>
      </c>
      <c r="F21" s="272" t="s">
        <v>78</v>
      </c>
      <c r="G21" s="273"/>
      <c r="H21" s="267">
        <v>4</v>
      </c>
      <c r="I21" s="275"/>
      <c r="J21" s="276"/>
      <c r="K21" s="277"/>
    </row>
    <row r="22" spans="1:19" ht="22.5" customHeight="1" x14ac:dyDescent="0.25">
      <c r="A22" s="267">
        <v>5</v>
      </c>
      <c r="B22" s="268" t="s">
        <v>84</v>
      </c>
      <c r="C22" s="269" t="s">
        <v>86</v>
      </c>
      <c r="D22" s="270"/>
      <c r="E22" s="271">
        <v>40845</v>
      </c>
      <c r="F22" s="272" t="s">
        <v>87</v>
      </c>
      <c r="G22" s="273"/>
      <c r="H22" s="267">
        <v>5</v>
      </c>
      <c r="I22" s="275"/>
      <c r="J22" s="276"/>
      <c r="K22" s="277"/>
    </row>
    <row r="23" spans="1:19" ht="22.5" customHeight="1" x14ac:dyDescent="0.25">
      <c r="A23" s="267">
        <v>6</v>
      </c>
      <c r="B23" s="268" t="s">
        <v>84</v>
      </c>
      <c r="C23" s="269" t="s">
        <v>93</v>
      </c>
      <c r="D23" s="270"/>
      <c r="E23" s="271">
        <v>40868</v>
      </c>
      <c r="F23" s="272" t="s">
        <v>92</v>
      </c>
      <c r="G23" s="273"/>
      <c r="H23" s="267">
        <v>6</v>
      </c>
      <c r="I23" s="275"/>
      <c r="J23" s="276"/>
      <c r="K23" s="277"/>
    </row>
    <row r="24" spans="1:19" ht="22.5" customHeight="1" x14ac:dyDescent="0.25">
      <c r="A24" s="267"/>
      <c r="B24" s="268"/>
      <c r="C24" s="269" t="s">
        <v>105</v>
      </c>
      <c r="D24" s="270"/>
      <c r="E24" s="271"/>
      <c r="F24" s="272"/>
      <c r="G24" s="273"/>
      <c r="H24" s="267"/>
      <c r="I24" s="275"/>
      <c r="J24" s="276"/>
      <c r="K24" s="277"/>
    </row>
    <row r="25" spans="1:19" ht="22.5" customHeight="1" x14ac:dyDescent="0.25">
      <c r="A25" s="267"/>
      <c r="B25" s="268"/>
      <c r="C25" s="269"/>
      <c r="D25" s="270"/>
      <c r="E25" s="271" t="s">
        <v>493</v>
      </c>
      <c r="F25" s="272"/>
      <c r="G25" s="273"/>
      <c r="H25" s="267"/>
      <c r="I25" s="275"/>
      <c r="J25" s="276"/>
      <c r="K25" s="277"/>
    </row>
    <row r="26" spans="1:19" ht="22.5" customHeight="1" x14ac:dyDescent="0.25">
      <c r="A26" s="267">
        <v>1</v>
      </c>
      <c r="B26" s="268" t="s">
        <v>100</v>
      </c>
      <c r="C26" s="269" t="s">
        <v>494</v>
      </c>
      <c r="D26" s="270"/>
      <c r="E26" s="271">
        <v>41074</v>
      </c>
      <c r="F26" s="272" t="s">
        <v>87</v>
      </c>
      <c r="G26" s="273"/>
      <c r="H26" s="267">
        <v>1</v>
      </c>
      <c r="I26" s="275"/>
      <c r="J26" s="276"/>
      <c r="K26" s="277"/>
    </row>
    <row r="27" spans="1:19" ht="22.5" customHeight="1" x14ac:dyDescent="0.25">
      <c r="A27" s="267">
        <v>2</v>
      </c>
      <c r="B27" s="268" t="s">
        <v>94</v>
      </c>
      <c r="C27" s="269" t="s">
        <v>111</v>
      </c>
      <c r="D27" s="270"/>
      <c r="E27" s="271">
        <v>41159</v>
      </c>
      <c r="F27" s="272" t="s">
        <v>112</v>
      </c>
      <c r="G27" s="273"/>
      <c r="H27" s="267">
        <v>2</v>
      </c>
      <c r="I27" s="275"/>
      <c r="J27" s="276"/>
      <c r="K27" s="277"/>
    </row>
    <row r="28" spans="1:19" ht="22.5" customHeight="1" x14ac:dyDescent="0.25">
      <c r="A28" s="267">
        <v>3</v>
      </c>
      <c r="B28" s="268" t="s">
        <v>117</v>
      </c>
      <c r="C28" s="269" t="s">
        <v>118</v>
      </c>
      <c r="D28" s="270"/>
      <c r="E28" s="271">
        <v>41136</v>
      </c>
      <c r="F28" s="272" t="s">
        <v>92</v>
      </c>
      <c r="G28" s="273"/>
      <c r="H28" s="267">
        <v>3</v>
      </c>
      <c r="I28" s="275"/>
      <c r="J28" s="276"/>
      <c r="K28" s="277"/>
      <c r="S28" s="278"/>
    </row>
    <row r="29" spans="1:19" ht="20.25" customHeight="1" x14ac:dyDescent="0.25">
      <c r="A29" s="267">
        <v>4</v>
      </c>
      <c r="B29" s="268" t="s">
        <v>94</v>
      </c>
      <c r="C29" s="269" t="s">
        <v>114</v>
      </c>
      <c r="D29" s="270"/>
      <c r="E29" s="271">
        <v>41067</v>
      </c>
      <c r="F29" s="272" t="s">
        <v>110</v>
      </c>
      <c r="G29" s="273"/>
      <c r="H29" s="267">
        <v>4</v>
      </c>
      <c r="I29" s="275"/>
      <c r="J29" s="276"/>
      <c r="K29" s="277"/>
    </row>
    <row r="30" spans="1:19" ht="20.25" customHeight="1" x14ac:dyDescent="0.25">
      <c r="A30" s="267">
        <v>5</v>
      </c>
      <c r="B30" s="268" t="s">
        <v>94</v>
      </c>
      <c r="C30" s="269" t="s">
        <v>119</v>
      </c>
      <c r="D30" s="270"/>
      <c r="E30" s="271">
        <v>41187</v>
      </c>
      <c r="F30" s="272" t="s">
        <v>92</v>
      </c>
      <c r="G30" s="273"/>
      <c r="H30" s="267">
        <v>5</v>
      </c>
      <c r="I30" s="275"/>
      <c r="J30" s="276"/>
      <c r="K30" s="277"/>
    </row>
    <row r="31" spans="1:19" ht="20.25" customHeight="1" x14ac:dyDescent="0.25">
      <c r="A31" s="267">
        <v>6</v>
      </c>
      <c r="B31" s="268" t="s">
        <v>117</v>
      </c>
      <c r="C31" s="269" t="s">
        <v>120</v>
      </c>
      <c r="D31" s="270"/>
      <c r="E31" s="271">
        <v>41136</v>
      </c>
      <c r="F31" s="272" t="s">
        <v>92</v>
      </c>
      <c r="G31" s="273"/>
      <c r="H31" s="267">
        <v>6</v>
      </c>
      <c r="I31" s="275"/>
      <c r="J31" s="276"/>
      <c r="K31" s="277"/>
    </row>
    <row r="32" spans="1:19" ht="79.900000000000006" customHeight="1" x14ac:dyDescent="0.25">
      <c r="A32" s="267"/>
      <c r="B32" s="268"/>
      <c r="C32" s="269"/>
      <c r="D32" s="270"/>
      <c r="E32" s="271"/>
      <c r="F32" s="272"/>
      <c r="G32" s="273"/>
      <c r="H32" s="267"/>
      <c r="I32" s="275"/>
      <c r="J32" s="276"/>
      <c r="K32" s="277"/>
    </row>
    <row r="33" spans="1:11" ht="20.25" customHeight="1" x14ac:dyDescent="0.25">
      <c r="A33" s="267"/>
      <c r="B33" s="268"/>
      <c r="C33" s="269"/>
      <c r="D33" s="270"/>
      <c r="E33" s="271" t="s">
        <v>495</v>
      </c>
      <c r="F33" s="272"/>
      <c r="G33" s="273"/>
      <c r="H33" s="267"/>
      <c r="I33" s="275"/>
      <c r="J33" s="276"/>
      <c r="K33" s="277"/>
    </row>
    <row r="34" spans="1:11" ht="20.25" customHeight="1" x14ac:dyDescent="0.25">
      <c r="A34" s="267">
        <v>1</v>
      </c>
      <c r="B34" s="268" t="s">
        <v>88</v>
      </c>
      <c r="C34" s="269" t="s">
        <v>113</v>
      </c>
      <c r="D34" s="270"/>
      <c r="E34" s="271">
        <v>41186</v>
      </c>
      <c r="F34" s="272" t="s">
        <v>90</v>
      </c>
      <c r="G34" s="273"/>
      <c r="H34" s="267">
        <v>1</v>
      </c>
      <c r="I34" s="275"/>
      <c r="J34" s="276"/>
      <c r="K34" s="277"/>
    </row>
    <row r="35" spans="1:11" ht="20.25" customHeight="1" x14ac:dyDescent="0.25">
      <c r="A35" s="267">
        <v>2</v>
      </c>
      <c r="B35" s="268" t="s">
        <v>76</v>
      </c>
      <c r="C35" s="269" t="s">
        <v>107</v>
      </c>
      <c r="D35" s="270"/>
      <c r="E35" s="271">
        <v>40997</v>
      </c>
      <c r="F35" s="272" t="s">
        <v>87</v>
      </c>
      <c r="G35" s="273"/>
      <c r="H35" s="267">
        <v>2</v>
      </c>
      <c r="I35" s="275"/>
      <c r="J35" s="276"/>
      <c r="K35" s="277"/>
    </row>
    <row r="36" spans="1:11" ht="20.25" customHeight="1" x14ac:dyDescent="0.25">
      <c r="A36" s="267">
        <v>3</v>
      </c>
      <c r="B36" s="268" t="s">
        <v>76</v>
      </c>
      <c r="C36" s="269" t="s">
        <v>106</v>
      </c>
      <c r="D36" s="270"/>
      <c r="E36" s="271">
        <v>41010</v>
      </c>
      <c r="F36" s="272" t="s">
        <v>87</v>
      </c>
      <c r="G36" s="273"/>
      <c r="H36" s="267">
        <v>3</v>
      </c>
      <c r="I36" s="275"/>
      <c r="J36" s="276"/>
      <c r="K36" s="277"/>
    </row>
    <row r="37" spans="1:11" ht="20.25" customHeight="1" x14ac:dyDescent="0.25">
      <c r="A37" s="267">
        <v>4</v>
      </c>
      <c r="B37" s="268" t="s">
        <v>76</v>
      </c>
      <c r="C37" s="269" t="s">
        <v>108</v>
      </c>
      <c r="D37" s="270"/>
      <c r="E37" s="271">
        <v>41165</v>
      </c>
      <c r="F37" s="272" t="s">
        <v>87</v>
      </c>
      <c r="G37" s="273"/>
      <c r="H37" s="267">
        <v>4</v>
      </c>
      <c r="I37" s="275"/>
      <c r="J37" s="276"/>
      <c r="K37" s="277"/>
    </row>
    <row r="38" spans="1:11" ht="20.25" customHeight="1" x14ac:dyDescent="0.25">
      <c r="A38" s="267">
        <v>5</v>
      </c>
      <c r="B38" s="268" t="s">
        <v>84</v>
      </c>
      <c r="C38" s="269" t="s">
        <v>109</v>
      </c>
      <c r="D38" s="270"/>
      <c r="E38" s="271">
        <v>40988</v>
      </c>
      <c r="F38" s="272" t="s">
        <v>110</v>
      </c>
      <c r="G38" s="273"/>
      <c r="H38" s="267">
        <v>5</v>
      </c>
      <c r="I38" s="275"/>
      <c r="J38" s="276"/>
      <c r="K38" s="277"/>
    </row>
    <row r="39" spans="1:11" ht="20.25" customHeight="1" x14ac:dyDescent="0.25">
      <c r="A39" s="267">
        <v>6</v>
      </c>
      <c r="B39" s="268" t="s">
        <v>94</v>
      </c>
      <c r="C39" s="269" t="s">
        <v>115</v>
      </c>
      <c r="D39" s="270"/>
      <c r="E39" s="271">
        <v>41155</v>
      </c>
      <c r="F39" s="272" t="s">
        <v>87</v>
      </c>
      <c r="G39" s="273"/>
      <c r="H39" s="267">
        <v>6</v>
      </c>
      <c r="I39" s="275"/>
      <c r="J39" s="276"/>
      <c r="K39" s="277"/>
    </row>
    <row r="40" spans="1:11" ht="20.25" customHeight="1" x14ac:dyDescent="0.25">
      <c r="A40" s="267"/>
      <c r="B40" s="268"/>
      <c r="C40" s="269"/>
      <c r="D40" s="270"/>
      <c r="E40" s="271"/>
      <c r="F40" s="272"/>
      <c r="G40" s="273"/>
      <c r="H40" s="267"/>
      <c r="I40" s="275"/>
      <c r="J40" s="276"/>
      <c r="K40" s="277"/>
    </row>
    <row r="41" spans="1:11" ht="20.25" customHeight="1" x14ac:dyDescent="0.25">
      <c r="A41" s="267"/>
      <c r="B41" s="268"/>
      <c r="C41" s="269" t="s">
        <v>122</v>
      </c>
      <c r="D41" s="270"/>
      <c r="E41" s="271"/>
      <c r="F41" s="272"/>
      <c r="G41" s="273"/>
      <c r="H41" s="267"/>
      <c r="I41" s="275"/>
      <c r="J41" s="276"/>
      <c r="K41" s="277"/>
    </row>
    <row r="42" spans="1:11" ht="20.25" customHeight="1" x14ac:dyDescent="0.25">
      <c r="A42" s="267"/>
      <c r="B42" s="268"/>
      <c r="C42" s="269"/>
      <c r="D42" s="270"/>
      <c r="E42" s="271" t="s">
        <v>496</v>
      </c>
      <c r="F42" s="272"/>
      <c r="G42" s="273"/>
      <c r="H42" s="267"/>
      <c r="I42" s="275"/>
      <c r="J42" s="276"/>
      <c r="K42" s="277"/>
    </row>
    <row r="43" spans="1:11" ht="20.25" customHeight="1" x14ac:dyDescent="0.25">
      <c r="A43" s="267">
        <v>1</v>
      </c>
      <c r="B43" s="268" t="s">
        <v>82</v>
      </c>
      <c r="C43" s="269" t="s">
        <v>497</v>
      </c>
      <c r="D43" s="270"/>
      <c r="E43" s="271">
        <v>41609</v>
      </c>
      <c r="F43" s="272" t="s">
        <v>87</v>
      </c>
      <c r="G43" s="273"/>
      <c r="H43" s="267">
        <v>1</v>
      </c>
      <c r="I43" s="275"/>
      <c r="J43" s="276"/>
      <c r="K43" s="277"/>
    </row>
    <row r="44" spans="1:11" ht="19.5" x14ac:dyDescent="0.25">
      <c r="A44" s="267">
        <v>2</v>
      </c>
      <c r="B44" s="268" t="s">
        <v>82</v>
      </c>
      <c r="C44" s="269" t="s">
        <v>130</v>
      </c>
      <c r="D44" s="270"/>
      <c r="E44" s="271">
        <v>41470</v>
      </c>
      <c r="F44" s="272" t="s">
        <v>92</v>
      </c>
      <c r="G44" s="273"/>
      <c r="H44" s="267">
        <v>2</v>
      </c>
      <c r="I44" s="275"/>
      <c r="J44" s="276"/>
      <c r="K44" s="277"/>
    </row>
    <row r="45" spans="1:11" ht="19.5" x14ac:dyDescent="0.25">
      <c r="A45" s="267">
        <v>3</v>
      </c>
      <c r="B45" s="268" t="s">
        <v>82</v>
      </c>
      <c r="C45" s="269" t="s">
        <v>128</v>
      </c>
      <c r="D45" s="270"/>
      <c r="E45" s="271">
        <v>41470</v>
      </c>
      <c r="F45" s="272" t="s">
        <v>92</v>
      </c>
      <c r="G45" s="273"/>
      <c r="H45" s="267">
        <v>3</v>
      </c>
      <c r="I45" s="275"/>
      <c r="J45" s="276"/>
      <c r="K45" s="277"/>
    </row>
    <row r="46" spans="1:11" ht="19.5" x14ac:dyDescent="0.25">
      <c r="A46" s="267">
        <v>4</v>
      </c>
      <c r="B46" s="268" t="s">
        <v>82</v>
      </c>
      <c r="C46" s="269" t="s">
        <v>498</v>
      </c>
      <c r="D46" s="270"/>
      <c r="E46" s="271">
        <v>41498</v>
      </c>
      <c r="F46" s="272" t="s">
        <v>87</v>
      </c>
      <c r="G46" s="273"/>
      <c r="H46" s="267">
        <v>4</v>
      </c>
      <c r="I46" s="275"/>
      <c r="J46" s="276"/>
      <c r="K46" s="277"/>
    </row>
    <row r="47" spans="1:11" ht="19.5" x14ac:dyDescent="0.25">
      <c r="A47" s="267">
        <v>5</v>
      </c>
      <c r="B47" s="268" t="s">
        <v>82</v>
      </c>
      <c r="C47" s="269" t="s">
        <v>129</v>
      </c>
      <c r="D47" s="270"/>
      <c r="E47" s="271">
        <v>41609</v>
      </c>
      <c r="F47" s="272" t="s">
        <v>87</v>
      </c>
      <c r="G47" s="273"/>
      <c r="H47" s="267">
        <v>5</v>
      </c>
      <c r="I47" s="275"/>
      <c r="J47" s="276"/>
      <c r="K47" s="277"/>
    </row>
    <row r="48" spans="1:11" ht="19.5" x14ac:dyDescent="0.25">
      <c r="A48" s="267">
        <v>6</v>
      </c>
      <c r="B48" s="268" t="s">
        <v>82</v>
      </c>
      <c r="C48" s="269" t="s">
        <v>116</v>
      </c>
      <c r="D48" s="270"/>
      <c r="E48" s="271">
        <v>41162</v>
      </c>
      <c r="F48" s="272" t="s">
        <v>78</v>
      </c>
      <c r="G48" s="273"/>
      <c r="H48" s="267">
        <v>6</v>
      </c>
      <c r="I48" s="275"/>
      <c r="J48" s="276"/>
      <c r="K48" s="277"/>
    </row>
    <row r="49" spans="1:11" ht="19.5" x14ac:dyDescent="0.25">
      <c r="A49" s="267"/>
      <c r="B49" s="268"/>
      <c r="C49" s="269"/>
      <c r="D49" s="270"/>
      <c r="E49" s="271" t="s">
        <v>499</v>
      </c>
      <c r="F49" s="272"/>
      <c r="G49" s="273"/>
      <c r="H49" s="267"/>
      <c r="I49" s="275"/>
      <c r="J49" s="276"/>
      <c r="K49" s="277"/>
    </row>
    <row r="50" spans="1:11" ht="19.5" x14ac:dyDescent="0.25">
      <c r="A50" s="267">
        <v>1</v>
      </c>
      <c r="B50" s="268" t="s">
        <v>100</v>
      </c>
      <c r="C50" s="269" t="s">
        <v>224</v>
      </c>
      <c r="D50" s="270"/>
      <c r="E50" s="271">
        <v>41487</v>
      </c>
      <c r="F50" s="272" t="s">
        <v>87</v>
      </c>
      <c r="G50" s="273"/>
      <c r="H50" s="267">
        <v>1</v>
      </c>
      <c r="I50" s="275"/>
      <c r="J50" s="276"/>
      <c r="K50" s="277"/>
    </row>
    <row r="51" spans="1:11" ht="19.5" x14ac:dyDescent="0.25">
      <c r="A51" s="267">
        <v>2</v>
      </c>
      <c r="B51" s="268" t="s">
        <v>84</v>
      </c>
      <c r="C51" s="269" t="s">
        <v>124</v>
      </c>
      <c r="D51" s="270"/>
      <c r="E51" s="271">
        <v>41346</v>
      </c>
      <c r="F51" s="272" t="s">
        <v>112</v>
      </c>
      <c r="G51" s="273"/>
      <c r="H51" s="267">
        <v>2</v>
      </c>
      <c r="I51" s="275"/>
      <c r="J51" s="276"/>
      <c r="K51" s="277"/>
    </row>
    <row r="52" spans="1:11" ht="19.5" x14ac:dyDescent="0.25">
      <c r="A52" s="267">
        <v>3</v>
      </c>
      <c r="B52" s="268" t="s">
        <v>79</v>
      </c>
      <c r="C52" s="269" t="s">
        <v>123</v>
      </c>
      <c r="D52" s="270"/>
      <c r="E52" s="271">
        <v>41526</v>
      </c>
      <c r="F52" s="272" t="s">
        <v>90</v>
      </c>
      <c r="G52" s="273"/>
      <c r="H52" s="267">
        <v>3</v>
      </c>
      <c r="I52" s="275"/>
      <c r="J52" s="276"/>
      <c r="K52" s="277"/>
    </row>
    <row r="53" spans="1:11" ht="19.5" x14ac:dyDescent="0.25">
      <c r="A53" s="267">
        <v>4</v>
      </c>
      <c r="B53" s="268" t="s">
        <v>94</v>
      </c>
      <c r="C53" s="269" t="s">
        <v>126</v>
      </c>
      <c r="D53" s="270"/>
      <c r="E53" s="271">
        <v>41306</v>
      </c>
      <c r="F53" s="272" t="s">
        <v>92</v>
      </c>
      <c r="G53" s="273"/>
      <c r="H53" s="267">
        <v>4</v>
      </c>
      <c r="I53" s="275"/>
      <c r="J53" s="276"/>
      <c r="K53" s="277"/>
    </row>
    <row r="54" spans="1:11" ht="19.5" x14ac:dyDescent="0.25">
      <c r="A54" s="267">
        <v>5</v>
      </c>
      <c r="B54" s="268" t="s">
        <v>94</v>
      </c>
      <c r="C54" s="269" t="s">
        <v>125</v>
      </c>
      <c r="D54" s="270"/>
      <c r="E54" s="271">
        <v>41347</v>
      </c>
      <c r="F54" s="272" t="s">
        <v>110</v>
      </c>
      <c r="G54" s="273"/>
      <c r="H54" s="267">
        <v>5</v>
      </c>
      <c r="I54" s="275"/>
      <c r="J54" s="276"/>
      <c r="K54" s="277"/>
    </row>
    <row r="55" spans="1:11" ht="19.5" x14ac:dyDescent="0.25">
      <c r="A55" s="267">
        <v>6</v>
      </c>
      <c r="B55" s="268" t="s">
        <v>117</v>
      </c>
      <c r="C55" s="269" t="s">
        <v>127</v>
      </c>
      <c r="D55" s="270"/>
      <c r="E55" s="271">
        <v>41576</v>
      </c>
      <c r="F55" s="272" t="s">
        <v>78</v>
      </c>
      <c r="G55" s="273"/>
      <c r="H55" s="267">
        <v>6</v>
      </c>
      <c r="I55" s="275"/>
      <c r="J55" s="276"/>
      <c r="K55" s="277"/>
    </row>
    <row r="56" spans="1:11" ht="19.5" x14ac:dyDescent="0.25">
      <c r="A56" s="267"/>
      <c r="B56" s="268"/>
      <c r="C56" s="269" t="s">
        <v>131</v>
      </c>
      <c r="D56" s="270"/>
      <c r="E56" s="271"/>
      <c r="F56" s="272"/>
      <c r="G56" s="273"/>
      <c r="H56" s="267"/>
      <c r="I56" s="275"/>
      <c r="J56" s="276"/>
      <c r="K56" s="277"/>
    </row>
    <row r="57" spans="1:11" ht="19.5" x14ac:dyDescent="0.25">
      <c r="A57" s="267"/>
      <c r="B57" s="268"/>
      <c r="C57" s="269"/>
      <c r="D57" s="270"/>
      <c r="E57" s="271" t="s">
        <v>500</v>
      </c>
      <c r="F57" s="272"/>
      <c r="G57" s="273"/>
      <c r="H57" s="267"/>
      <c r="I57" s="275"/>
      <c r="J57" s="276"/>
      <c r="K57" s="277"/>
    </row>
    <row r="58" spans="1:11" ht="19.5" x14ac:dyDescent="0.25">
      <c r="A58" s="267">
        <v>1</v>
      </c>
      <c r="B58" s="268" t="s">
        <v>82</v>
      </c>
      <c r="C58" s="269" t="s">
        <v>142</v>
      </c>
      <c r="D58" s="270"/>
      <c r="E58" s="271">
        <v>40613</v>
      </c>
      <c r="F58" s="272" t="s">
        <v>92</v>
      </c>
      <c r="G58" s="273"/>
      <c r="H58" s="267">
        <v>1</v>
      </c>
      <c r="I58" s="275"/>
      <c r="J58" s="276"/>
      <c r="K58" s="277"/>
    </row>
    <row r="59" spans="1:11" ht="19.5" x14ac:dyDescent="0.25">
      <c r="A59" s="267">
        <v>2</v>
      </c>
      <c r="B59" s="268" t="s">
        <v>82</v>
      </c>
      <c r="C59" s="269" t="s">
        <v>147</v>
      </c>
      <c r="D59" s="270"/>
      <c r="E59" s="271">
        <v>40844</v>
      </c>
      <c r="F59" s="272" t="s">
        <v>81</v>
      </c>
      <c r="G59" s="273"/>
      <c r="H59" s="267">
        <v>2</v>
      </c>
      <c r="I59" s="275"/>
      <c r="J59" s="276"/>
      <c r="K59" s="277"/>
    </row>
    <row r="60" spans="1:11" ht="19.5" x14ac:dyDescent="0.25">
      <c r="A60" s="267">
        <v>3</v>
      </c>
      <c r="B60" s="268" t="s">
        <v>100</v>
      </c>
      <c r="C60" s="269" t="s">
        <v>149</v>
      </c>
      <c r="D60" s="270"/>
      <c r="E60" s="271">
        <v>40691</v>
      </c>
      <c r="F60" s="272" t="s">
        <v>87</v>
      </c>
      <c r="G60" s="273"/>
      <c r="H60" s="267">
        <v>3</v>
      </c>
      <c r="I60" s="275"/>
      <c r="J60" s="276"/>
      <c r="K60" s="277"/>
    </row>
    <row r="61" spans="1:11" ht="19.5" x14ac:dyDescent="0.25">
      <c r="A61" s="267">
        <v>4</v>
      </c>
      <c r="B61" s="268" t="s">
        <v>82</v>
      </c>
      <c r="C61" s="269" t="s">
        <v>148</v>
      </c>
      <c r="D61" s="270"/>
      <c r="E61" s="271">
        <v>40818</v>
      </c>
      <c r="F61" s="272" t="s">
        <v>92</v>
      </c>
      <c r="G61" s="273"/>
      <c r="H61" s="267">
        <v>4</v>
      </c>
      <c r="I61" s="275"/>
      <c r="J61" s="276"/>
      <c r="K61" s="277"/>
    </row>
    <row r="62" spans="1:11" ht="19.5" x14ac:dyDescent="0.25">
      <c r="A62" s="267">
        <v>5</v>
      </c>
      <c r="B62" s="268" t="s">
        <v>84</v>
      </c>
      <c r="C62" s="269" t="s">
        <v>152</v>
      </c>
      <c r="D62" s="270"/>
      <c r="E62" s="271">
        <v>40668</v>
      </c>
      <c r="F62" s="272" t="s">
        <v>92</v>
      </c>
      <c r="G62" s="273"/>
      <c r="H62" s="267">
        <v>5</v>
      </c>
      <c r="I62" s="275"/>
      <c r="J62" s="276"/>
      <c r="K62" s="277"/>
    </row>
    <row r="63" spans="1:11" ht="19.5" x14ac:dyDescent="0.25">
      <c r="A63" s="267">
        <v>6</v>
      </c>
      <c r="B63" s="268" t="s">
        <v>82</v>
      </c>
      <c r="C63" s="269" t="s">
        <v>153</v>
      </c>
      <c r="D63" s="270"/>
      <c r="E63" s="271">
        <v>40856</v>
      </c>
      <c r="F63" s="272" t="s">
        <v>87</v>
      </c>
      <c r="G63" s="273"/>
      <c r="H63" s="267">
        <v>6</v>
      </c>
      <c r="I63" s="275"/>
      <c r="J63" s="276"/>
      <c r="K63" s="277"/>
    </row>
    <row r="64" spans="1:11" ht="19.5" x14ac:dyDescent="0.25">
      <c r="A64" s="267"/>
      <c r="B64" s="268"/>
      <c r="C64" s="269"/>
      <c r="D64" s="270"/>
      <c r="E64" s="271" t="s">
        <v>501</v>
      </c>
      <c r="F64" s="272"/>
      <c r="G64" s="273"/>
      <c r="H64" s="267"/>
      <c r="I64" s="275"/>
      <c r="J64" s="276"/>
      <c r="K64" s="277"/>
    </row>
    <row r="65" spans="1:11" ht="19.5" x14ac:dyDescent="0.25">
      <c r="A65" s="267">
        <v>1</v>
      </c>
      <c r="B65" s="268" t="s">
        <v>82</v>
      </c>
      <c r="C65" s="269" t="s">
        <v>150</v>
      </c>
      <c r="D65" s="270"/>
      <c r="E65" s="271">
        <v>40730</v>
      </c>
      <c r="F65" s="272" t="s">
        <v>87</v>
      </c>
      <c r="G65" s="273"/>
      <c r="H65" s="267">
        <v>1</v>
      </c>
      <c r="I65" s="275"/>
      <c r="J65" s="276"/>
      <c r="K65" s="277"/>
    </row>
    <row r="66" spans="1:11" ht="19.5" x14ac:dyDescent="0.25">
      <c r="A66" s="267">
        <v>2</v>
      </c>
      <c r="B66" s="268" t="s">
        <v>84</v>
      </c>
      <c r="C66" s="269" t="s">
        <v>141</v>
      </c>
      <c r="D66" s="270"/>
      <c r="E66" s="271">
        <v>40874</v>
      </c>
      <c r="F66" s="272" t="s">
        <v>92</v>
      </c>
      <c r="G66" s="273"/>
      <c r="H66" s="267">
        <v>2</v>
      </c>
      <c r="I66" s="275"/>
      <c r="J66" s="276"/>
      <c r="K66" s="277"/>
    </row>
    <row r="67" spans="1:11" ht="19.5" x14ac:dyDescent="0.25">
      <c r="A67" s="267">
        <v>3</v>
      </c>
      <c r="B67" s="268" t="s">
        <v>82</v>
      </c>
      <c r="C67" s="269" t="s">
        <v>140</v>
      </c>
      <c r="D67" s="270"/>
      <c r="E67" s="271">
        <v>40551</v>
      </c>
      <c r="F67" s="272" t="s">
        <v>92</v>
      </c>
      <c r="G67" s="273"/>
      <c r="H67" s="267">
        <v>3</v>
      </c>
      <c r="I67" s="275"/>
      <c r="J67" s="276"/>
      <c r="K67" s="277"/>
    </row>
    <row r="68" spans="1:11" ht="19.5" x14ac:dyDescent="0.25">
      <c r="A68" s="267">
        <v>4</v>
      </c>
      <c r="B68" s="268" t="s">
        <v>100</v>
      </c>
      <c r="C68" s="269" t="s">
        <v>146</v>
      </c>
      <c r="D68" s="270"/>
      <c r="E68" s="271">
        <v>40697</v>
      </c>
      <c r="F68" s="272" t="s">
        <v>92</v>
      </c>
      <c r="G68" s="273"/>
      <c r="H68" s="267">
        <v>4</v>
      </c>
      <c r="I68" s="275"/>
      <c r="J68" s="276"/>
      <c r="K68" s="277"/>
    </row>
    <row r="69" spans="1:11" ht="19.5" x14ac:dyDescent="0.25">
      <c r="A69" s="267">
        <v>5</v>
      </c>
      <c r="B69" s="268" t="s">
        <v>158</v>
      </c>
      <c r="C69" s="269" t="s">
        <v>502</v>
      </c>
      <c r="D69" s="270"/>
      <c r="E69" s="271">
        <v>40861</v>
      </c>
      <c r="F69" s="272" t="s">
        <v>92</v>
      </c>
      <c r="G69" s="273"/>
      <c r="H69" s="267">
        <v>5</v>
      </c>
      <c r="I69" s="275"/>
      <c r="J69" s="276"/>
      <c r="K69" s="277"/>
    </row>
    <row r="70" spans="1:11" ht="19.5" x14ac:dyDescent="0.25">
      <c r="A70" s="267">
        <v>6</v>
      </c>
      <c r="B70" s="268" t="s">
        <v>117</v>
      </c>
      <c r="C70" s="269" t="s">
        <v>151</v>
      </c>
      <c r="D70" s="270"/>
      <c r="E70" s="271">
        <v>40562</v>
      </c>
      <c r="F70" s="272" t="s">
        <v>81</v>
      </c>
      <c r="G70" s="273"/>
      <c r="H70" s="267">
        <v>6</v>
      </c>
      <c r="I70" s="275"/>
      <c r="J70" s="276"/>
      <c r="K70" s="277"/>
    </row>
    <row r="71" spans="1:11" ht="19.5" x14ac:dyDescent="0.25">
      <c r="A71" s="267"/>
      <c r="B71" s="268"/>
      <c r="C71" s="269"/>
      <c r="D71" s="270"/>
      <c r="E71" s="271" t="s">
        <v>503</v>
      </c>
      <c r="F71" s="272"/>
      <c r="G71" s="273"/>
      <c r="H71" s="267"/>
      <c r="I71" s="275"/>
      <c r="J71" s="276"/>
      <c r="K71" s="277"/>
    </row>
    <row r="72" spans="1:11" ht="19.5" x14ac:dyDescent="0.25">
      <c r="A72" s="267">
        <v>1</v>
      </c>
      <c r="B72" s="268" t="s">
        <v>100</v>
      </c>
      <c r="C72" s="269" t="s">
        <v>139</v>
      </c>
      <c r="D72" s="270"/>
      <c r="E72" s="271">
        <v>40908</v>
      </c>
      <c r="F72" s="272" t="s">
        <v>87</v>
      </c>
      <c r="G72" s="273"/>
      <c r="H72" s="267">
        <v>1</v>
      </c>
      <c r="I72" s="275"/>
      <c r="J72" s="276"/>
      <c r="K72" s="277"/>
    </row>
    <row r="73" spans="1:11" ht="19.5" x14ac:dyDescent="0.25">
      <c r="A73" s="267">
        <v>2</v>
      </c>
      <c r="B73" s="268" t="s">
        <v>84</v>
      </c>
      <c r="C73" s="269" t="s">
        <v>137</v>
      </c>
      <c r="D73" s="270"/>
      <c r="E73" s="271">
        <v>40703</v>
      </c>
      <c r="F73" s="272" t="s">
        <v>110</v>
      </c>
      <c r="G73" s="273"/>
      <c r="H73" s="267">
        <v>2</v>
      </c>
      <c r="I73" s="275"/>
      <c r="J73" s="276"/>
      <c r="K73" s="277"/>
    </row>
    <row r="74" spans="1:11" ht="19.5" x14ac:dyDescent="0.25">
      <c r="A74" s="267">
        <v>3</v>
      </c>
      <c r="B74" s="268" t="s">
        <v>88</v>
      </c>
      <c r="C74" s="269" t="s">
        <v>144</v>
      </c>
      <c r="D74" s="270"/>
      <c r="E74" s="271">
        <v>40612</v>
      </c>
      <c r="F74" s="272" t="s">
        <v>90</v>
      </c>
      <c r="G74" s="273"/>
      <c r="H74" s="267">
        <v>3</v>
      </c>
      <c r="I74" s="275"/>
      <c r="J74" s="276"/>
      <c r="K74" s="277"/>
    </row>
    <row r="75" spans="1:11" ht="19.5" x14ac:dyDescent="0.25">
      <c r="A75" s="267">
        <v>4</v>
      </c>
      <c r="B75" s="268" t="s">
        <v>94</v>
      </c>
      <c r="C75" s="269" t="s">
        <v>145</v>
      </c>
      <c r="D75" s="270"/>
      <c r="E75" s="271">
        <v>40778</v>
      </c>
      <c r="F75" s="272" t="s">
        <v>78</v>
      </c>
      <c r="G75" s="273"/>
      <c r="H75" s="267">
        <v>4</v>
      </c>
      <c r="I75" s="275"/>
      <c r="J75" s="276"/>
      <c r="K75" s="277"/>
    </row>
    <row r="76" spans="1:11" ht="19.5" x14ac:dyDescent="0.25">
      <c r="A76" s="267">
        <v>5</v>
      </c>
      <c r="B76" s="268" t="s">
        <v>94</v>
      </c>
      <c r="C76" s="269" t="s">
        <v>138</v>
      </c>
      <c r="D76" s="270"/>
      <c r="E76" s="271">
        <v>40828</v>
      </c>
      <c r="F76" s="272" t="s">
        <v>110</v>
      </c>
      <c r="G76" s="273"/>
      <c r="H76" s="267">
        <v>5</v>
      </c>
      <c r="I76" s="275"/>
      <c r="J76" s="276"/>
      <c r="K76" s="277"/>
    </row>
    <row r="77" spans="1:11" ht="19.5" x14ac:dyDescent="0.25">
      <c r="A77" s="267">
        <v>6</v>
      </c>
      <c r="B77" s="268" t="s">
        <v>82</v>
      </c>
      <c r="C77" s="269" t="s">
        <v>143</v>
      </c>
      <c r="D77" s="270"/>
      <c r="E77" s="271">
        <v>40835</v>
      </c>
      <c r="F77" s="272" t="s">
        <v>92</v>
      </c>
      <c r="G77" s="273"/>
      <c r="H77" s="267">
        <v>6</v>
      </c>
      <c r="I77" s="275"/>
      <c r="J77" s="276"/>
      <c r="K77" s="277"/>
    </row>
    <row r="78" spans="1:11" ht="19.5" x14ac:dyDescent="0.25">
      <c r="A78" s="267"/>
      <c r="B78" s="268"/>
      <c r="C78" s="269"/>
      <c r="D78" s="270"/>
      <c r="E78" s="271"/>
      <c r="F78" s="272"/>
      <c r="G78" s="273"/>
      <c r="H78" s="267"/>
      <c r="I78" s="275"/>
      <c r="J78" s="276"/>
      <c r="K78" s="277"/>
    </row>
    <row r="79" spans="1:11" ht="19.5" x14ac:dyDescent="0.25">
      <c r="A79" s="267"/>
      <c r="B79" s="268"/>
      <c r="C79" s="269"/>
      <c r="D79" s="270"/>
      <c r="E79" s="271" t="s">
        <v>504</v>
      </c>
      <c r="F79" s="272"/>
      <c r="G79" s="273"/>
      <c r="H79" s="267"/>
      <c r="I79" s="275"/>
      <c r="J79" s="276"/>
      <c r="K79" s="277"/>
    </row>
    <row r="80" spans="1:11" ht="19.5" x14ac:dyDescent="0.25">
      <c r="A80" s="267">
        <v>1</v>
      </c>
      <c r="B80" s="268" t="s">
        <v>84</v>
      </c>
      <c r="C80" s="269" t="s">
        <v>63</v>
      </c>
      <c r="D80" s="270"/>
      <c r="E80" s="271">
        <v>40745</v>
      </c>
      <c r="F80" s="272" t="s">
        <v>78</v>
      </c>
      <c r="G80" s="273"/>
      <c r="H80" s="267">
        <v>1</v>
      </c>
      <c r="I80" s="275"/>
      <c r="J80" s="276"/>
      <c r="K80" s="277"/>
    </row>
    <row r="81" spans="1:11" ht="19.5" x14ac:dyDescent="0.25">
      <c r="A81" s="267">
        <v>2</v>
      </c>
      <c r="B81" s="268" t="s">
        <v>84</v>
      </c>
      <c r="C81" s="269" t="s">
        <v>135</v>
      </c>
      <c r="D81" s="270"/>
      <c r="E81" s="271">
        <v>40563</v>
      </c>
      <c r="F81" s="272" t="s">
        <v>92</v>
      </c>
      <c r="G81" s="273"/>
      <c r="H81" s="267">
        <v>2</v>
      </c>
      <c r="I81" s="275"/>
      <c r="J81" s="276"/>
      <c r="K81" s="277"/>
    </row>
    <row r="82" spans="1:11" ht="19.5" x14ac:dyDescent="0.25">
      <c r="A82" s="267">
        <v>3</v>
      </c>
      <c r="B82" s="268" t="s">
        <v>84</v>
      </c>
      <c r="C82" s="269" t="s">
        <v>133</v>
      </c>
      <c r="D82" s="270"/>
      <c r="E82" s="271">
        <v>40660</v>
      </c>
      <c r="F82" s="272" t="s">
        <v>78</v>
      </c>
      <c r="G82" s="273"/>
      <c r="H82" s="267">
        <v>3</v>
      </c>
      <c r="I82" s="275"/>
      <c r="J82" s="276"/>
      <c r="K82" s="277"/>
    </row>
    <row r="83" spans="1:11" ht="19.5" x14ac:dyDescent="0.25">
      <c r="A83" s="267">
        <v>4</v>
      </c>
      <c r="B83" s="268" t="s">
        <v>84</v>
      </c>
      <c r="C83" s="269" t="s">
        <v>132</v>
      </c>
      <c r="D83" s="270"/>
      <c r="E83" s="271">
        <v>40569</v>
      </c>
      <c r="F83" s="272" t="s">
        <v>92</v>
      </c>
      <c r="G83" s="273"/>
      <c r="H83" s="267">
        <v>4</v>
      </c>
      <c r="I83" s="275"/>
      <c r="J83" s="276"/>
      <c r="K83" s="277"/>
    </row>
    <row r="84" spans="1:11" ht="19.5" x14ac:dyDescent="0.25">
      <c r="A84" s="267">
        <v>5</v>
      </c>
      <c r="B84" s="268" t="s">
        <v>84</v>
      </c>
      <c r="C84" s="269" t="s">
        <v>136</v>
      </c>
      <c r="D84" s="270"/>
      <c r="E84" s="271">
        <v>40624</v>
      </c>
      <c r="F84" s="272" t="s">
        <v>92</v>
      </c>
      <c r="G84" s="273"/>
      <c r="H84" s="267">
        <v>5</v>
      </c>
      <c r="I84" s="275"/>
      <c r="J84" s="276"/>
      <c r="K84" s="277"/>
    </row>
    <row r="85" spans="1:11" ht="19.5" x14ac:dyDescent="0.25">
      <c r="A85" s="267">
        <v>6</v>
      </c>
      <c r="B85" s="268" t="s">
        <v>84</v>
      </c>
      <c r="C85" s="269" t="s">
        <v>134</v>
      </c>
      <c r="D85" s="270"/>
      <c r="E85" s="271">
        <v>40686</v>
      </c>
      <c r="F85" s="272" t="s">
        <v>78</v>
      </c>
      <c r="G85" s="273"/>
      <c r="H85" s="267">
        <v>6</v>
      </c>
      <c r="I85" s="275"/>
      <c r="J85" s="276"/>
      <c r="K85" s="277"/>
    </row>
    <row r="86" spans="1:11" ht="19.5" x14ac:dyDescent="0.25">
      <c r="A86" s="267"/>
      <c r="B86" s="268"/>
      <c r="C86" s="269" t="s">
        <v>154</v>
      </c>
      <c r="D86" s="270"/>
      <c r="E86" s="271"/>
      <c r="F86" s="272"/>
      <c r="G86" s="273"/>
      <c r="H86" s="267"/>
      <c r="I86" s="275"/>
      <c r="J86" s="276"/>
      <c r="K86" s="277"/>
    </row>
    <row r="87" spans="1:11" ht="19.5" x14ac:dyDescent="0.25">
      <c r="A87" s="267"/>
      <c r="B87" s="268"/>
      <c r="C87" s="269"/>
      <c r="D87" s="270"/>
      <c r="E87" s="271" t="s">
        <v>505</v>
      </c>
      <c r="F87" s="272"/>
      <c r="G87" s="273"/>
      <c r="H87" s="267"/>
      <c r="I87" s="275"/>
      <c r="J87" s="276"/>
      <c r="K87" s="277"/>
    </row>
    <row r="88" spans="1:11" ht="19.5" x14ac:dyDescent="0.25">
      <c r="A88" s="267">
        <v>1</v>
      </c>
      <c r="B88" s="268" t="s">
        <v>82</v>
      </c>
      <c r="C88" s="269" t="s">
        <v>170</v>
      </c>
      <c r="D88" s="270"/>
      <c r="E88" s="271">
        <v>41147</v>
      </c>
      <c r="F88" s="272" t="s">
        <v>92</v>
      </c>
      <c r="G88" s="273"/>
      <c r="H88" s="267">
        <v>1</v>
      </c>
      <c r="I88" s="275"/>
      <c r="J88" s="276"/>
      <c r="K88" s="277"/>
    </row>
    <row r="89" spans="1:11" ht="19.5" x14ac:dyDescent="0.25">
      <c r="A89" s="267">
        <v>2</v>
      </c>
      <c r="B89" s="268" t="s">
        <v>82</v>
      </c>
      <c r="C89" s="269" t="s">
        <v>506</v>
      </c>
      <c r="D89" s="270"/>
      <c r="E89" s="271">
        <v>40941</v>
      </c>
      <c r="F89" s="272" t="s">
        <v>81</v>
      </c>
      <c r="G89" s="273"/>
      <c r="H89" s="267">
        <v>2</v>
      </c>
      <c r="I89" s="275"/>
      <c r="J89" s="276"/>
      <c r="K89" s="277"/>
    </row>
    <row r="90" spans="1:11" ht="19.5" x14ac:dyDescent="0.25">
      <c r="A90" s="267">
        <v>3</v>
      </c>
      <c r="B90" s="268" t="s">
        <v>117</v>
      </c>
      <c r="C90" s="269" t="s">
        <v>164</v>
      </c>
      <c r="D90" s="270"/>
      <c r="E90" s="271">
        <v>41088</v>
      </c>
      <c r="F90" s="272" t="s">
        <v>87</v>
      </c>
      <c r="G90" s="273"/>
      <c r="H90" s="267">
        <v>3</v>
      </c>
      <c r="I90" s="275"/>
      <c r="J90" s="276"/>
      <c r="K90" s="277"/>
    </row>
    <row r="91" spans="1:11" ht="19.5" x14ac:dyDescent="0.25">
      <c r="A91" s="267">
        <v>4</v>
      </c>
      <c r="B91" s="268" t="s">
        <v>82</v>
      </c>
      <c r="C91" s="269" t="s">
        <v>167</v>
      </c>
      <c r="D91" s="270"/>
      <c r="E91" s="271">
        <v>41124</v>
      </c>
      <c r="F91" s="272" t="s">
        <v>92</v>
      </c>
      <c r="G91" s="273"/>
      <c r="H91" s="267">
        <v>4</v>
      </c>
      <c r="I91" s="275"/>
      <c r="J91" s="276"/>
      <c r="K91" s="277"/>
    </row>
    <row r="92" spans="1:11" ht="19.5" x14ac:dyDescent="0.25">
      <c r="A92" s="267">
        <v>5</v>
      </c>
      <c r="B92" s="268" t="s">
        <v>82</v>
      </c>
      <c r="C92" s="269" t="s">
        <v>169</v>
      </c>
      <c r="D92" s="270"/>
      <c r="E92" s="271">
        <v>41261</v>
      </c>
      <c r="F92" s="272" t="s">
        <v>92</v>
      </c>
      <c r="G92" s="273"/>
      <c r="H92" s="267">
        <v>5</v>
      </c>
      <c r="I92" s="275"/>
      <c r="J92" s="276"/>
      <c r="K92" s="277"/>
    </row>
    <row r="93" spans="1:11" ht="19.5" x14ac:dyDescent="0.25">
      <c r="A93" s="267">
        <v>6</v>
      </c>
      <c r="B93" s="268" t="s">
        <v>82</v>
      </c>
      <c r="C93" s="269" t="s">
        <v>507</v>
      </c>
      <c r="D93" s="270"/>
      <c r="E93" s="271">
        <v>40358</v>
      </c>
      <c r="F93" s="272" t="s">
        <v>81</v>
      </c>
      <c r="G93" s="273"/>
      <c r="H93" s="267">
        <v>6</v>
      </c>
      <c r="I93" s="275"/>
      <c r="J93" s="276"/>
      <c r="K93" s="277"/>
    </row>
    <row r="94" spans="1:11" ht="19.5" x14ac:dyDescent="0.25">
      <c r="A94" s="267"/>
      <c r="B94" s="268"/>
      <c r="C94" s="269"/>
      <c r="D94" s="270"/>
      <c r="E94" s="271" t="s">
        <v>508</v>
      </c>
      <c r="F94" s="272"/>
      <c r="G94" s="273"/>
      <c r="H94" s="267"/>
      <c r="I94" s="275"/>
      <c r="J94" s="276"/>
      <c r="K94" s="277"/>
    </row>
    <row r="95" spans="1:11" ht="19.5" x14ac:dyDescent="0.25">
      <c r="A95" s="267">
        <v>1</v>
      </c>
      <c r="B95" s="268" t="s">
        <v>117</v>
      </c>
      <c r="C95" s="269" t="s">
        <v>166</v>
      </c>
      <c r="D95" s="270"/>
      <c r="E95" s="271">
        <v>41210</v>
      </c>
      <c r="F95" s="272" t="s">
        <v>87</v>
      </c>
      <c r="G95" s="273"/>
      <c r="H95" s="267">
        <v>1</v>
      </c>
      <c r="I95" s="275"/>
      <c r="J95" s="276"/>
      <c r="K95" s="277"/>
    </row>
    <row r="96" spans="1:11" ht="19.5" x14ac:dyDescent="0.25">
      <c r="A96" s="267">
        <v>2</v>
      </c>
      <c r="B96" s="268" t="s">
        <v>100</v>
      </c>
      <c r="C96" s="269" t="s">
        <v>156</v>
      </c>
      <c r="D96" s="270"/>
      <c r="E96" s="271">
        <v>41166</v>
      </c>
      <c r="F96" s="272" t="s">
        <v>112</v>
      </c>
      <c r="G96" s="273"/>
      <c r="H96" s="267">
        <v>2</v>
      </c>
      <c r="I96" s="275"/>
      <c r="J96" s="276"/>
      <c r="K96" s="277"/>
    </row>
    <row r="97" spans="1:11" ht="19.5" x14ac:dyDescent="0.25">
      <c r="A97" s="267">
        <v>3</v>
      </c>
      <c r="B97" s="268" t="s">
        <v>158</v>
      </c>
      <c r="C97" s="269" t="s">
        <v>159</v>
      </c>
      <c r="D97" s="270"/>
      <c r="E97" s="271">
        <v>41130</v>
      </c>
      <c r="F97" s="272" t="s">
        <v>87</v>
      </c>
      <c r="G97" s="273"/>
      <c r="H97" s="267">
        <v>3</v>
      </c>
      <c r="I97" s="275"/>
      <c r="J97" s="276"/>
      <c r="K97" s="277"/>
    </row>
    <row r="98" spans="1:11" ht="19.5" x14ac:dyDescent="0.25">
      <c r="A98" s="267">
        <v>4</v>
      </c>
      <c r="B98" s="268" t="s">
        <v>82</v>
      </c>
      <c r="C98" s="269" t="s">
        <v>157</v>
      </c>
      <c r="D98" s="270"/>
      <c r="E98" s="271">
        <v>41139</v>
      </c>
      <c r="F98" s="272" t="s">
        <v>92</v>
      </c>
      <c r="G98" s="273"/>
      <c r="H98" s="267">
        <v>4</v>
      </c>
      <c r="I98" s="275"/>
      <c r="J98" s="276"/>
      <c r="K98" s="277"/>
    </row>
    <row r="99" spans="1:11" ht="19.5" x14ac:dyDescent="0.25">
      <c r="A99" s="267">
        <v>5</v>
      </c>
      <c r="B99" s="268" t="s">
        <v>100</v>
      </c>
      <c r="C99" s="269" t="s">
        <v>160</v>
      </c>
      <c r="D99" s="270"/>
      <c r="E99" s="271">
        <v>41200</v>
      </c>
      <c r="F99" s="272" t="s">
        <v>110</v>
      </c>
      <c r="G99" s="273"/>
      <c r="H99" s="267">
        <v>5</v>
      </c>
      <c r="I99" s="275"/>
      <c r="J99" s="276"/>
      <c r="K99" s="277"/>
    </row>
    <row r="100" spans="1:11" ht="19.5" x14ac:dyDescent="0.25">
      <c r="A100" s="267">
        <v>6</v>
      </c>
      <c r="B100" s="268" t="s">
        <v>158</v>
      </c>
      <c r="C100" s="269" t="s">
        <v>168</v>
      </c>
      <c r="D100" s="270"/>
      <c r="E100" s="271">
        <v>41114</v>
      </c>
      <c r="F100" s="272" t="s">
        <v>87</v>
      </c>
      <c r="G100" s="273"/>
      <c r="H100" s="267">
        <v>6</v>
      </c>
      <c r="I100" s="275"/>
      <c r="J100" s="276"/>
      <c r="K100" s="277"/>
    </row>
    <row r="101" spans="1:11" ht="19.5" x14ac:dyDescent="0.25">
      <c r="A101" s="267"/>
      <c r="B101" s="268"/>
      <c r="C101" s="269"/>
      <c r="D101" s="270"/>
      <c r="E101" s="271" t="s">
        <v>509</v>
      </c>
      <c r="F101" s="272"/>
      <c r="G101" s="273"/>
      <c r="H101" s="267"/>
      <c r="I101" s="275"/>
      <c r="J101" s="276"/>
      <c r="K101" s="277"/>
    </row>
    <row r="102" spans="1:11" ht="19.5" x14ac:dyDescent="0.25">
      <c r="A102" s="267">
        <v>1</v>
      </c>
      <c r="B102" s="268" t="s">
        <v>117</v>
      </c>
      <c r="C102" s="269" t="s">
        <v>165</v>
      </c>
      <c r="D102" s="270"/>
      <c r="E102" s="271">
        <v>41059</v>
      </c>
      <c r="F102" s="272" t="s">
        <v>78</v>
      </c>
      <c r="G102" s="273"/>
      <c r="H102" s="267">
        <v>1</v>
      </c>
      <c r="I102" s="275"/>
      <c r="J102" s="276"/>
      <c r="K102" s="277"/>
    </row>
    <row r="103" spans="1:11" ht="19.5" x14ac:dyDescent="0.25">
      <c r="A103" s="267">
        <v>2</v>
      </c>
      <c r="B103" s="268" t="s">
        <v>117</v>
      </c>
      <c r="C103" s="269" t="s">
        <v>228</v>
      </c>
      <c r="D103" s="270"/>
      <c r="E103" s="271">
        <v>41021</v>
      </c>
      <c r="F103" s="272" t="s">
        <v>78</v>
      </c>
      <c r="G103" s="273"/>
      <c r="H103" s="267">
        <v>2</v>
      </c>
      <c r="I103" s="275"/>
      <c r="J103" s="276"/>
      <c r="K103" s="277"/>
    </row>
    <row r="104" spans="1:11" ht="19.5" x14ac:dyDescent="0.25">
      <c r="A104" s="267">
        <v>3</v>
      </c>
      <c r="B104" s="268" t="s">
        <v>100</v>
      </c>
      <c r="C104" s="269" t="s">
        <v>155</v>
      </c>
      <c r="D104" s="270"/>
      <c r="E104" s="271">
        <v>40970</v>
      </c>
      <c r="F104" s="272" t="s">
        <v>87</v>
      </c>
      <c r="G104" s="273"/>
      <c r="H104" s="267">
        <v>3</v>
      </c>
      <c r="I104" s="275"/>
      <c r="J104" s="276"/>
      <c r="K104" s="277"/>
    </row>
    <row r="105" spans="1:11" ht="19.5" x14ac:dyDescent="0.25">
      <c r="A105" s="267">
        <v>4</v>
      </c>
      <c r="B105" s="268" t="s">
        <v>88</v>
      </c>
      <c r="C105" s="269" t="s">
        <v>163</v>
      </c>
      <c r="D105" s="270"/>
      <c r="E105" s="271">
        <v>41135</v>
      </c>
      <c r="F105" s="272" t="s">
        <v>90</v>
      </c>
      <c r="G105" s="273"/>
      <c r="H105" s="267">
        <v>4</v>
      </c>
      <c r="I105" s="275"/>
      <c r="J105" s="276"/>
      <c r="K105" s="277"/>
    </row>
    <row r="106" spans="1:11" ht="19.5" x14ac:dyDescent="0.25">
      <c r="A106" s="267">
        <v>5</v>
      </c>
      <c r="B106" s="268" t="s">
        <v>100</v>
      </c>
      <c r="C106" s="269" t="s">
        <v>162</v>
      </c>
      <c r="D106" s="270"/>
      <c r="E106" s="271">
        <v>41126</v>
      </c>
      <c r="F106" s="272" t="s">
        <v>78</v>
      </c>
      <c r="G106" s="273"/>
      <c r="H106" s="267">
        <v>5</v>
      </c>
      <c r="I106" s="275"/>
      <c r="J106" s="276"/>
      <c r="K106" s="277"/>
    </row>
    <row r="107" spans="1:11" ht="19.5" x14ac:dyDescent="0.25">
      <c r="A107" s="267">
        <v>6</v>
      </c>
      <c r="B107" s="268" t="s">
        <v>117</v>
      </c>
      <c r="C107" s="269" t="s">
        <v>161</v>
      </c>
      <c r="D107" s="270"/>
      <c r="E107" s="271">
        <v>41258</v>
      </c>
      <c r="F107" s="272" t="s">
        <v>81</v>
      </c>
      <c r="G107" s="273"/>
      <c r="H107" s="267">
        <v>6</v>
      </c>
      <c r="I107" s="275"/>
      <c r="J107" s="276"/>
      <c r="K107" s="277"/>
    </row>
    <row r="108" spans="1:11" ht="19.5" x14ac:dyDescent="0.25">
      <c r="A108" s="267"/>
      <c r="B108" s="268"/>
      <c r="C108" s="269"/>
      <c r="D108" s="270"/>
      <c r="E108" s="271"/>
      <c r="F108" s="272"/>
      <c r="G108" s="273"/>
      <c r="H108" s="267"/>
      <c r="I108" s="275"/>
      <c r="J108" s="276"/>
      <c r="K108" s="277"/>
    </row>
    <row r="109" spans="1:11" ht="19.5" x14ac:dyDescent="0.25">
      <c r="A109" s="267"/>
      <c r="B109" s="268"/>
      <c r="C109" s="269" t="s">
        <v>171</v>
      </c>
      <c r="D109" s="270"/>
      <c r="E109" s="271"/>
      <c r="F109" s="272"/>
      <c r="G109" s="273"/>
      <c r="H109" s="267"/>
      <c r="I109" s="275"/>
      <c r="J109" s="276"/>
      <c r="K109" s="277"/>
    </row>
    <row r="110" spans="1:11" ht="19.5" x14ac:dyDescent="0.25">
      <c r="A110" s="267"/>
      <c r="B110" s="268"/>
      <c r="C110" s="269"/>
      <c r="D110" s="270"/>
      <c r="E110" s="271" t="s">
        <v>510</v>
      </c>
      <c r="F110" s="272"/>
      <c r="G110" s="273"/>
      <c r="H110" s="267"/>
      <c r="I110" s="275"/>
      <c r="J110" s="276"/>
      <c r="K110" s="277"/>
    </row>
    <row r="111" spans="1:11" ht="19.5" x14ac:dyDescent="0.25">
      <c r="A111" s="267">
        <v>1</v>
      </c>
      <c r="B111" s="268" t="s">
        <v>82</v>
      </c>
      <c r="C111" s="269" t="s">
        <v>511</v>
      </c>
      <c r="D111" s="270"/>
      <c r="E111" s="271">
        <v>41516</v>
      </c>
      <c r="F111" s="272" t="s">
        <v>87</v>
      </c>
      <c r="G111" s="273"/>
      <c r="H111" s="267">
        <v>1</v>
      </c>
      <c r="I111" s="275"/>
      <c r="J111" s="276"/>
      <c r="K111" s="277"/>
    </row>
    <row r="112" spans="1:11" ht="19.5" x14ac:dyDescent="0.25">
      <c r="A112" s="267">
        <v>2</v>
      </c>
      <c r="B112" s="268" t="s">
        <v>82</v>
      </c>
      <c r="C112" s="269" t="s">
        <v>191</v>
      </c>
      <c r="D112" s="270"/>
      <c r="E112" s="271">
        <v>41281</v>
      </c>
      <c r="F112" s="272" t="s">
        <v>92</v>
      </c>
      <c r="G112" s="273"/>
      <c r="H112" s="267">
        <v>2</v>
      </c>
      <c r="I112" s="275"/>
      <c r="J112" s="276"/>
      <c r="K112" s="277"/>
    </row>
    <row r="113" spans="1:11" ht="19.5" x14ac:dyDescent="0.25">
      <c r="A113" s="267">
        <v>3</v>
      </c>
      <c r="B113" s="268" t="s">
        <v>82</v>
      </c>
      <c r="C113" s="269" t="s">
        <v>188</v>
      </c>
      <c r="D113" s="270"/>
      <c r="E113" s="271">
        <v>41306</v>
      </c>
      <c r="F113" s="272" t="s">
        <v>87</v>
      </c>
      <c r="G113" s="273"/>
      <c r="H113" s="267">
        <v>3</v>
      </c>
      <c r="I113" s="275"/>
      <c r="J113" s="276"/>
      <c r="K113" s="277"/>
    </row>
    <row r="114" spans="1:11" ht="19.5" x14ac:dyDescent="0.25">
      <c r="A114" s="267">
        <v>4</v>
      </c>
      <c r="B114" s="268" t="s">
        <v>82</v>
      </c>
      <c r="C114" s="269" t="s">
        <v>512</v>
      </c>
      <c r="D114" s="270"/>
      <c r="E114" s="271">
        <v>41351</v>
      </c>
      <c r="F114" s="272" t="s">
        <v>92</v>
      </c>
      <c r="G114" s="273"/>
      <c r="H114" s="267">
        <v>4</v>
      </c>
      <c r="I114" s="275"/>
      <c r="J114" s="276"/>
      <c r="K114" s="277"/>
    </row>
    <row r="115" spans="1:11" ht="19.5" x14ac:dyDescent="0.25">
      <c r="A115" s="267">
        <v>5</v>
      </c>
      <c r="B115" s="268" t="s">
        <v>82</v>
      </c>
      <c r="C115" s="269" t="s">
        <v>193</v>
      </c>
      <c r="D115" s="270"/>
      <c r="E115" s="271">
        <v>41634</v>
      </c>
      <c r="F115" s="272" t="s">
        <v>87</v>
      </c>
      <c r="G115" s="273"/>
      <c r="H115" s="267">
        <v>5</v>
      </c>
      <c r="I115" s="275"/>
      <c r="J115" s="276"/>
      <c r="K115" s="277"/>
    </row>
    <row r="116" spans="1:11" ht="19.5" x14ac:dyDescent="0.25">
      <c r="A116" s="267">
        <v>6</v>
      </c>
      <c r="B116" s="268" t="s">
        <v>82</v>
      </c>
      <c r="C116" s="269" t="s">
        <v>189</v>
      </c>
      <c r="D116" s="270"/>
      <c r="E116" s="271">
        <v>41285</v>
      </c>
      <c r="F116" s="272" t="s">
        <v>87</v>
      </c>
      <c r="G116" s="273"/>
      <c r="H116" s="267">
        <v>6</v>
      </c>
      <c r="I116" s="275"/>
      <c r="J116" s="276"/>
      <c r="K116" s="277"/>
    </row>
    <row r="117" spans="1:11" ht="19.5" x14ac:dyDescent="0.25">
      <c r="A117" s="267"/>
      <c r="B117" s="268"/>
      <c r="C117" s="269"/>
      <c r="D117" s="270"/>
      <c r="E117" s="271"/>
      <c r="F117" s="272"/>
      <c r="G117" s="273"/>
      <c r="H117" s="267"/>
      <c r="I117" s="275"/>
      <c r="J117" s="276"/>
      <c r="K117" s="277"/>
    </row>
    <row r="118" spans="1:11" ht="19.5" x14ac:dyDescent="0.25">
      <c r="A118" s="267"/>
      <c r="B118" s="268"/>
      <c r="C118" s="269"/>
      <c r="D118" s="270"/>
      <c r="E118" s="271" t="s">
        <v>513</v>
      </c>
      <c r="F118" s="272"/>
      <c r="G118" s="273"/>
      <c r="H118" s="267"/>
      <c r="I118" s="275"/>
      <c r="J118" s="276"/>
      <c r="K118" s="277"/>
    </row>
    <row r="119" spans="1:11" ht="19.5" x14ac:dyDescent="0.25">
      <c r="A119" s="267">
        <v>1</v>
      </c>
      <c r="B119" s="268" t="s">
        <v>82</v>
      </c>
      <c r="C119" s="269" t="s">
        <v>514</v>
      </c>
      <c r="D119" s="270"/>
      <c r="E119" s="271">
        <v>41599</v>
      </c>
      <c r="F119" s="272" t="s">
        <v>92</v>
      </c>
      <c r="G119" s="273"/>
      <c r="H119" s="267">
        <v>1</v>
      </c>
      <c r="I119" s="275"/>
      <c r="J119" s="276"/>
      <c r="K119" s="277"/>
    </row>
    <row r="120" spans="1:11" ht="19.5" x14ac:dyDescent="0.25">
      <c r="A120" s="267">
        <v>2</v>
      </c>
      <c r="B120" s="268" t="s">
        <v>158</v>
      </c>
      <c r="C120" s="269" t="s">
        <v>195</v>
      </c>
      <c r="D120" s="270"/>
      <c r="E120" s="271">
        <v>41552</v>
      </c>
      <c r="F120" s="272" t="s">
        <v>87</v>
      </c>
      <c r="G120" s="273"/>
      <c r="H120" s="267">
        <v>2</v>
      </c>
      <c r="I120" s="275"/>
      <c r="J120" s="276"/>
      <c r="K120" s="277"/>
    </row>
    <row r="121" spans="1:11" ht="19.5" x14ac:dyDescent="0.25">
      <c r="A121" s="267">
        <v>3</v>
      </c>
      <c r="B121" s="268" t="s">
        <v>117</v>
      </c>
      <c r="C121" s="269" t="s">
        <v>186</v>
      </c>
      <c r="D121" s="270"/>
      <c r="E121" s="271">
        <v>41418</v>
      </c>
      <c r="F121" s="272" t="s">
        <v>87</v>
      </c>
      <c r="G121" s="273"/>
      <c r="H121" s="267">
        <v>3</v>
      </c>
      <c r="I121" s="275"/>
      <c r="J121" s="276"/>
      <c r="K121" s="277"/>
    </row>
    <row r="122" spans="1:11" ht="19.5" x14ac:dyDescent="0.25">
      <c r="A122" s="267">
        <v>4</v>
      </c>
      <c r="B122" s="268" t="s">
        <v>158</v>
      </c>
      <c r="C122" s="269" t="s">
        <v>197</v>
      </c>
      <c r="D122" s="270"/>
      <c r="E122" s="271">
        <v>41463</v>
      </c>
      <c r="F122" s="272" t="s">
        <v>87</v>
      </c>
      <c r="G122" s="273"/>
      <c r="H122" s="267">
        <v>4</v>
      </c>
      <c r="I122" s="275"/>
      <c r="J122" s="276"/>
      <c r="K122" s="277"/>
    </row>
    <row r="123" spans="1:11" ht="19.5" x14ac:dyDescent="0.25">
      <c r="A123" s="267">
        <v>5</v>
      </c>
      <c r="B123" s="268" t="s">
        <v>82</v>
      </c>
      <c r="C123" s="269" t="s">
        <v>194</v>
      </c>
      <c r="D123" s="270"/>
      <c r="E123" s="271">
        <v>41583</v>
      </c>
      <c r="F123" s="272" t="s">
        <v>92</v>
      </c>
      <c r="G123" s="273"/>
      <c r="H123" s="267">
        <v>5</v>
      </c>
      <c r="I123" s="275"/>
      <c r="J123" s="276"/>
      <c r="K123" s="277"/>
    </row>
    <row r="124" spans="1:11" ht="19.5" x14ac:dyDescent="0.25">
      <c r="A124" s="267">
        <v>6</v>
      </c>
      <c r="B124" s="268" t="s">
        <v>82</v>
      </c>
      <c r="C124" s="269" t="s">
        <v>190</v>
      </c>
      <c r="D124" s="270"/>
      <c r="E124" s="271">
        <v>41562</v>
      </c>
      <c r="F124" s="272" t="s">
        <v>92</v>
      </c>
      <c r="G124" s="273"/>
      <c r="H124" s="267">
        <v>6</v>
      </c>
      <c r="I124" s="275"/>
      <c r="J124" s="276"/>
      <c r="K124" s="277"/>
    </row>
    <row r="125" spans="1:11" ht="19.5" x14ac:dyDescent="0.25">
      <c r="A125" s="267"/>
      <c r="B125" s="268"/>
      <c r="C125" s="269"/>
      <c r="D125" s="270"/>
      <c r="E125" s="271"/>
      <c r="F125" s="272"/>
      <c r="G125" s="273"/>
      <c r="H125" s="267"/>
      <c r="I125" s="275"/>
      <c r="J125" s="276"/>
      <c r="K125" s="277"/>
    </row>
    <row r="126" spans="1:11" ht="19.5" x14ac:dyDescent="0.25">
      <c r="A126" s="267"/>
      <c r="B126" s="268"/>
      <c r="C126" s="269"/>
      <c r="D126" s="270"/>
      <c r="E126" s="271" t="s">
        <v>515</v>
      </c>
      <c r="F126" s="272"/>
      <c r="G126" s="273"/>
      <c r="H126" s="267"/>
      <c r="I126" s="275"/>
      <c r="J126" s="276"/>
      <c r="K126" s="277"/>
    </row>
    <row r="127" spans="1:11" ht="19.5" x14ac:dyDescent="0.25">
      <c r="A127" s="267">
        <v>1</v>
      </c>
      <c r="B127" s="268" t="s">
        <v>117</v>
      </c>
      <c r="C127" s="269" t="s">
        <v>184</v>
      </c>
      <c r="D127" s="270"/>
      <c r="E127" s="271">
        <v>41553</v>
      </c>
      <c r="F127" s="272" t="s">
        <v>87</v>
      </c>
      <c r="G127" s="273"/>
      <c r="H127" s="267">
        <v>1</v>
      </c>
      <c r="I127" s="275"/>
      <c r="J127" s="276"/>
      <c r="K127" s="277"/>
    </row>
    <row r="128" spans="1:11" ht="19.5" x14ac:dyDescent="0.25">
      <c r="A128" s="267">
        <v>2</v>
      </c>
      <c r="B128" s="268" t="s">
        <v>82</v>
      </c>
      <c r="C128" s="269" t="s">
        <v>185</v>
      </c>
      <c r="D128" s="270"/>
      <c r="E128" s="271">
        <v>41335</v>
      </c>
      <c r="F128" s="272" t="s">
        <v>92</v>
      </c>
      <c r="G128" s="273"/>
      <c r="H128" s="267">
        <v>2</v>
      </c>
      <c r="I128" s="275"/>
      <c r="J128" s="276"/>
      <c r="K128" s="277"/>
    </row>
    <row r="129" spans="1:11" ht="19.5" x14ac:dyDescent="0.25">
      <c r="A129" s="267">
        <v>3</v>
      </c>
      <c r="B129" s="268" t="s">
        <v>82</v>
      </c>
      <c r="C129" s="269" t="s">
        <v>516</v>
      </c>
      <c r="D129" s="270"/>
      <c r="E129" s="271">
        <v>41457</v>
      </c>
      <c r="F129" s="272" t="s">
        <v>92</v>
      </c>
      <c r="G129" s="273"/>
      <c r="H129" s="267">
        <v>3</v>
      </c>
      <c r="I129" s="275"/>
      <c r="J129" s="276"/>
      <c r="K129" s="277"/>
    </row>
    <row r="130" spans="1:11" ht="19.5" x14ac:dyDescent="0.25">
      <c r="A130" s="267">
        <v>4</v>
      </c>
      <c r="B130" s="268" t="s">
        <v>82</v>
      </c>
      <c r="C130" s="269" t="s">
        <v>192</v>
      </c>
      <c r="D130" s="270"/>
      <c r="E130" s="271">
        <v>41505</v>
      </c>
      <c r="F130" s="272" t="s">
        <v>81</v>
      </c>
      <c r="G130" s="273"/>
      <c r="H130" s="267">
        <v>4</v>
      </c>
      <c r="I130" s="275"/>
      <c r="J130" s="276"/>
      <c r="K130" s="277"/>
    </row>
    <row r="131" spans="1:11" ht="19.5" x14ac:dyDescent="0.25">
      <c r="A131" s="267">
        <v>5</v>
      </c>
      <c r="B131" s="268" t="s">
        <v>100</v>
      </c>
      <c r="C131" s="269" t="s">
        <v>183</v>
      </c>
      <c r="D131" s="270"/>
      <c r="E131" s="271">
        <v>41539</v>
      </c>
      <c r="F131" s="272" t="s">
        <v>87</v>
      </c>
      <c r="G131" s="273"/>
      <c r="H131" s="267">
        <v>5</v>
      </c>
      <c r="I131" s="275"/>
      <c r="J131" s="276"/>
      <c r="K131" s="277"/>
    </row>
    <row r="132" spans="1:11" ht="19.5" x14ac:dyDescent="0.25">
      <c r="A132" s="267">
        <v>6</v>
      </c>
      <c r="B132" s="268" t="s">
        <v>117</v>
      </c>
      <c r="C132" s="269" t="s">
        <v>187</v>
      </c>
      <c r="D132" s="270"/>
      <c r="E132" s="271">
        <v>41607</v>
      </c>
      <c r="F132" s="272" t="s">
        <v>112</v>
      </c>
      <c r="G132" s="273"/>
      <c r="H132" s="267">
        <v>6</v>
      </c>
      <c r="I132" s="275"/>
      <c r="J132" s="276"/>
      <c r="K132" s="277"/>
    </row>
    <row r="133" spans="1:11" ht="19.5" x14ac:dyDescent="0.25">
      <c r="A133" s="267"/>
      <c r="B133" s="268"/>
      <c r="C133" s="269"/>
      <c r="D133" s="270"/>
      <c r="E133" s="271"/>
      <c r="F133" s="272"/>
      <c r="G133" s="273"/>
      <c r="H133" s="267"/>
      <c r="I133" s="275"/>
      <c r="J133" s="276"/>
      <c r="K133" s="277"/>
    </row>
    <row r="134" spans="1:11" ht="19.5" x14ac:dyDescent="0.25">
      <c r="A134" s="267"/>
      <c r="B134" s="268"/>
      <c r="C134" s="269"/>
      <c r="D134" s="270"/>
      <c r="E134" s="271" t="s">
        <v>517</v>
      </c>
      <c r="F134" s="272"/>
      <c r="G134" s="273"/>
      <c r="H134" s="267"/>
      <c r="I134" s="275"/>
      <c r="J134" s="276"/>
      <c r="K134" s="277"/>
    </row>
    <row r="135" spans="1:11" ht="19.5" x14ac:dyDescent="0.25">
      <c r="A135" s="267">
        <v>1</v>
      </c>
      <c r="B135" s="268" t="s">
        <v>100</v>
      </c>
      <c r="C135" s="269" t="s">
        <v>181</v>
      </c>
      <c r="D135" s="270"/>
      <c r="E135" s="271">
        <v>41415</v>
      </c>
      <c r="F135" s="272" t="s">
        <v>87</v>
      </c>
      <c r="G135" s="273"/>
      <c r="H135" s="267">
        <v>1</v>
      </c>
      <c r="I135" s="275"/>
      <c r="J135" s="276"/>
      <c r="K135" s="277"/>
    </row>
    <row r="136" spans="1:11" ht="19.5" x14ac:dyDescent="0.25">
      <c r="A136" s="267">
        <v>2</v>
      </c>
      <c r="B136" s="268" t="s">
        <v>100</v>
      </c>
      <c r="C136" s="269" t="s">
        <v>174</v>
      </c>
      <c r="D136" s="270"/>
      <c r="E136" s="271">
        <v>41305</v>
      </c>
      <c r="F136" s="272" t="s">
        <v>112</v>
      </c>
      <c r="G136" s="273"/>
      <c r="H136" s="267">
        <v>2</v>
      </c>
      <c r="I136" s="275"/>
      <c r="J136" s="276"/>
      <c r="K136" s="277"/>
    </row>
    <row r="137" spans="1:11" ht="19.5" x14ac:dyDescent="0.25">
      <c r="A137" s="267">
        <v>3</v>
      </c>
      <c r="B137" s="268" t="s">
        <v>94</v>
      </c>
      <c r="C137" s="269" t="s">
        <v>177</v>
      </c>
      <c r="D137" s="270"/>
      <c r="E137" s="271">
        <v>41521</v>
      </c>
      <c r="F137" s="272" t="s">
        <v>112</v>
      </c>
      <c r="G137" s="273"/>
      <c r="H137" s="267">
        <v>3</v>
      </c>
      <c r="I137" s="275"/>
      <c r="J137" s="276"/>
      <c r="K137" s="277"/>
    </row>
    <row r="138" spans="1:11" ht="19.5" x14ac:dyDescent="0.25">
      <c r="A138" s="267">
        <v>4</v>
      </c>
      <c r="B138" s="268" t="s">
        <v>100</v>
      </c>
      <c r="C138" s="269" t="s">
        <v>180</v>
      </c>
      <c r="D138" s="270"/>
      <c r="E138" s="271">
        <v>41478</v>
      </c>
      <c r="F138" s="272" t="s">
        <v>81</v>
      </c>
      <c r="G138" s="273"/>
      <c r="H138" s="267">
        <v>4</v>
      </c>
      <c r="I138" s="275"/>
      <c r="J138" s="276"/>
      <c r="K138" s="277"/>
    </row>
    <row r="139" spans="1:11" ht="19.5" x14ac:dyDescent="0.25">
      <c r="A139" s="267">
        <v>5</v>
      </c>
      <c r="B139" s="268" t="s">
        <v>117</v>
      </c>
      <c r="C139" s="269" t="s">
        <v>179</v>
      </c>
      <c r="D139" s="270"/>
      <c r="E139" s="271">
        <v>41473</v>
      </c>
      <c r="F139" s="272" t="s">
        <v>87</v>
      </c>
      <c r="G139" s="273"/>
      <c r="H139" s="267">
        <v>5</v>
      </c>
      <c r="I139" s="275"/>
      <c r="J139" s="276"/>
      <c r="K139" s="277"/>
    </row>
    <row r="140" spans="1:11" ht="19.5" x14ac:dyDescent="0.25">
      <c r="A140" s="267">
        <v>6</v>
      </c>
      <c r="B140" s="268" t="s">
        <v>88</v>
      </c>
      <c r="C140" s="269" t="s">
        <v>518</v>
      </c>
      <c r="D140" s="270"/>
      <c r="E140" s="271">
        <v>41306</v>
      </c>
      <c r="F140" s="272" t="s">
        <v>90</v>
      </c>
      <c r="G140" s="273"/>
      <c r="H140" s="267">
        <v>6</v>
      </c>
      <c r="I140" s="275"/>
      <c r="J140" s="276"/>
      <c r="K140" s="277"/>
    </row>
    <row r="141" spans="1:11" ht="85.9" customHeight="1" x14ac:dyDescent="0.25">
      <c r="A141" s="267"/>
      <c r="B141" s="268"/>
      <c r="C141" s="269"/>
      <c r="D141" s="270"/>
      <c r="E141" s="271"/>
      <c r="F141" s="272"/>
      <c r="G141" s="273"/>
      <c r="H141" s="267"/>
      <c r="I141" s="275"/>
      <c r="J141" s="276"/>
      <c r="K141" s="277"/>
    </row>
    <row r="142" spans="1:11" ht="19.5" x14ac:dyDescent="0.25">
      <c r="A142" s="267"/>
      <c r="B142" s="268"/>
      <c r="C142" s="269"/>
      <c r="D142" s="270"/>
      <c r="E142" s="271" t="s">
        <v>519</v>
      </c>
      <c r="F142" s="272"/>
      <c r="G142" s="273"/>
      <c r="H142" s="267"/>
      <c r="I142" s="275"/>
      <c r="J142" s="276"/>
      <c r="K142" s="277"/>
    </row>
    <row r="143" spans="1:11" ht="19.5" x14ac:dyDescent="0.25">
      <c r="A143" s="267">
        <v>1</v>
      </c>
      <c r="B143" s="268" t="s">
        <v>94</v>
      </c>
      <c r="C143" s="269" t="s">
        <v>175</v>
      </c>
      <c r="D143" s="270"/>
      <c r="E143" s="271">
        <v>41376</v>
      </c>
      <c r="F143" s="272" t="s">
        <v>110</v>
      </c>
      <c r="G143" s="273"/>
      <c r="H143" s="267">
        <v>1</v>
      </c>
      <c r="I143" s="275"/>
      <c r="J143" s="276"/>
      <c r="K143" s="277"/>
    </row>
    <row r="144" spans="1:11" ht="19.5" x14ac:dyDescent="0.25">
      <c r="A144" s="267">
        <v>2</v>
      </c>
      <c r="B144" s="268" t="s">
        <v>100</v>
      </c>
      <c r="C144" s="269" t="s">
        <v>172</v>
      </c>
      <c r="D144" s="270"/>
      <c r="E144" s="271">
        <v>41375</v>
      </c>
      <c r="F144" s="272" t="s">
        <v>78</v>
      </c>
      <c r="G144" s="273"/>
      <c r="H144" s="267">
        <v>2</v>
      </c>
      <c r="I144" s="275"/>
      <c r="J144" s="276"/>
      <c r="K144" s="277"/>
    </row>
    <row r="145" spans="1:11" ht="19.5" x14ac:dyDescent="0.25">
      <c r="A145" s="267">
        <v>3</v>
      </c>
      <c r="B145" s="268" t="s">
        <v>88</v>
      </c>
      <c r="C145" s="269" t="s">
        <v>178</v>
      </c>
      <c r="D145" s="270"/>
      <c r="E145" s="271">
        <v>41363</v>
      </c>
      <c r="F145" s="272" t="s">
        <v>90</v>
      </c>
      <c r="G145" s="273"/>
      <c r="H145" s="267">
        <v>3</v>
      </c>
      <c r="I145" s="275"/>
      <c r="J145" s="276"/>
      <c r="K145" s="277"/>
    </row>
    <row r="146" spans="1:11" ht="19.5" x14ac:dyDescent="0.25">
      <c r="A146" s="267">
        <v>4</v>
      </c>
      <c r="B146" s="268" t="s">
        <v>84</v>
      </c>
      <c r="C146" s="269" t="s">
        <v>173</v>
      </c>
      <c r="D146" s="270"/>
      <c r="E146" s="271">
        <v>41455</v>
      </c>
      <c r="F146" s="272" t="s">
        <v>78</v>
      </c>
      <c r="G146" s="273"/>
      <c r="H146" s="267">
        <v>4</v>
      </c>
      <c r="I146" s="275"/>
      <c r="J146" s="276"/>
      <c r="K146" s="277"/>
    </row>
    <row r="147" spans="1:11" ht="19.5" x14ac:dyDescent="0.25">
      <c r="A147" s="267">
        <v>5</v>
      </c>
      <c r="B147" s="268" t="s">
        <v>88</v>
      </c>
      <c r="C147" s="269" t="s">
        <v>520</v>
      </c>
      <c r="D147" s="270"/>
      <c r="E147" s="271">
        <v>41344</v>
      </c>
      <c r="F147" s="272" t="s">
        <v>90</v>
      </c>
      <c r="G147" s="273"/>
      <c r="H147" s="267">
        <v>5</v>
      </c>
      <c r="I147" s="275"/>
      <c r="J147" s="276"/>
      <c r="K147" s="277"/>
    </row>
    <row r="148" spans="1:11" ht="19.5" x14ac:dyDescent="0.25">
      <c r="A148" s="267">
        <v>6</v>
      </c>
      <c r="B148" s="268" t="s">
        <v>100</v>
      </c>
      <c r="C148" s="269" t="s">
        <v>176</v>
      </c>
      <c r="D148" s="270"/>
      <c r="E148" s="271">
        <v>41633</v>
      </c>
      <c r="F148" s="272" t="s">
        <v>78</v>
      </c>
      <c r="G148" s="273"/>
      <c r="H148" s="267">
        <v>6</v>
      </c>
      <c r="I148" s="275"/>
      <c r="J148" s="276"/>
      <c r="K148" s="277"/>
    </row>
    <row r="149" spans="1:11" ht="19.5" x14ac:dyDescent="0.25">
      <c r="A149" s="267"/>
      <c r="B149" s="268"/>
      <c r="C149" s="269"/>
      <c r="D149" s="270"/>
      <c r="E149" s="271"/>
      <c r="F149" s="272"/>
      <c r="G149" s="273"/>
      <c r="H149" s="267"/>
      <c r="I149" s="275"/>
      <c r="J149" s="276"/>
      <c r="K149" s="277"/>
    </row>
    <row r="150" spans="1:11" ht="19.5" x14ac:dyDescent="0.25">
      <c r="A150" s="267"/>
      <c r="B150" s="268"/>
      <c r="C150" s="269" t="s">
        <v>198</v>
      </c>
      <c r="D150" s="270"/>
      <c r="E150" s="271"/>
      <c r="F150" s="272"/>
      <c r="G150" s="273"/>
      <c r="H150" s="267"/>
      <c r="I150" s="275"/>
      <c r="J150" s="276"/>
      <c r="K150" s="277"/>
    </row>
    <row r="151" spans="1:11" ht="19.5" x14ac:dyDescent="0.25">
      <c r="A151" s="267"/>
      <c r="B151" s="268"/>
      <c r="C151" s="269"/>
      <c r="D151" s="270"/>
      <c r="E151" s="271" t="s">
        <v>521</v>
      </c>
      <c r="F151" s="272"/>
      <c r="G151" s="273"/>
      <c r="H151" s="267"/>
      <c r="I151" s="275"/>
      <c r="J151" s="276"/>
      <c r="K151" s="277"/>
    </row>
    <row r="152" spans="1:11" ht="19.5" x14ac:dyDescent="0.25">
      <c r="A152" s="267">
        <v>1</v>
      </c>
      <c r="B152" s="268" t="s">
        <v>94</v>
      </c>
      <c r="C152" s="269" t="s">
        <v>95</v>
      </c>
      <c r="D152" s="270"/>
      <c r="E152" s="271">
        <v>40635</v>
      </c>
      <c r="F152" s="272" t="s">
        <v>78</v>
      </c>
      <c r="G152" s="273"/>
      <c r="H152" s="267">
        <v>1</v>
      </c>
      <c r="I152" s="275"/>
      <c r="J152" s="276"/>
      <c r="K152" s="277"/>
    </row>
    <row r="153" spans="1:11" ht="19.5" x14ac:dyDescent="0.25">
      <c r="A153" s="267">
        <v>2</v>
      </c>
      <c r="B153" s="268" t="s">
        <v>84</v>
      </c>
      <c r="C153" s="269" t="s">
        <v>201</v>
      </c>
      <c r="D153" s="270"/>
      <c r="E153" s="271">
        <v>40854</v>
      </c>
      <c r="F153" s="272" t="s">
        <v>110</v>
      </c>
      <c r="G153" s="273"/>
      <c r="H153" s="267">
        <v>2</v>
      </c>
      <c r="I153" s="275"/>
      <c r="J153" s="276"/>
      <c r="K153" s="277"/>
    </row>
    <row r="154" spans="1:11" ht="19.5" x14ac:dyDescent="0.25">
      <c r="A154" s="267">
        <v>3</v>
      </c>
      <c r="B154" s="268" t="s">
        <v>79</v>
      </c>
      <c r="C154" s="269" t="s">
        <v>80</v>
      </c>
      <c r="D154" s="270"/>
      <c r="E154" s="271">
        <v>40743</v>
      </c>
      <c r="F154" s="272" t="s">
        <v>81</v>
      </c>
      <c r="G154" s="273"/>
      <c r="H154" s="267">
        <v>3</v>
      </c>
      <c r="I154" s="275"/>
      <c r="J154" s="276"/>
      <c r="K154" s="277"/>
    </row>
    <row r="155" spans="1:11" ht="19.5" x14ac:dyDescent="0.25">
      <c r="A155" s="267">
        <v>4</v>
      </c>
      <c r="B155" s="268" t="s">
        <v>79</v>
      </c>
      <c r="C155" s="269" t="s">
        <v>199</v>
      </c>
      <c r="D155" s="270"/>
      <c r="E155" s="271">
        <v>40731</v>
      </c>
      <c r="F155" s="272" t="s">
        <v>78</v>
      </c>
      <c r="G155" s="273"/>
      <c r="H155" s="267">
        <v>4</v>
      </c>
      <c r="I155" s="275"/>
      <c r="J155" s="276"/>
      <c r="K155" s="277"/>
    </row>
    <row r="156" spans="1:11" ht="19.5" x14ac:dyDescent="0.25">
      <c r="A156" s="267">
        <v>5</v>
      </c>
      <c r="B156" s="268" t="s">
        <v>84</v>
      </c>
      <c r="C156" s="269" t="s">
        <v>200</v>
      </c>
      <c r="D156" s="270"/>
      <c r="E156" s="271">
        <v>40734</v>
      </c>
      <c r="F156" s="272" t="s">
        <v>78</v>
      </c>
      <c r="G156" s="273"/>
      <c r="H156" s="267">
        <v>5</v>
      </c>
      <c r="I156" s="275"/>
      <c r="J156" s="276"/>
      <c r="K156" s="277"/>
    </row>
    <row r="157" spans="1:11" ht="19.5" x14ac:dyDescent="0.25">
      <c r="A157" s="267">
        <v>6</v>
      </c>
      <c r="B157" s="268" t="s">
        <v>88</v>
      </c>
      <c r="C157" s="269" t="s">
        <v>99</v>
      </c>
      <c r="D157" s="270"/>
      <c r="E157" s="271">
        <v>40801</v>
      </c>
      <c r="F157" s="272" t="s">
        <v>90</v>
      </c>
      <c r="G157" s="273"/>
      <c r="H157" s="267">
        <v>6</v>
      </c>
      <c r="I157" s="275"/>
      <c r="J157" s="276"/>
      <c r="K157" s="277"/>
    </row>
    <row r="158" spans="1:11" ht="19.5" x14ac:dyDescent="0.25">
      <c r="A158" s="267"/>
      <c r="B158" s="268"/>
      <c r="C158" s="269"/>
      <c r="D158" s="270"/>
      <c r="E158" s="271"/>
      <c r="F158" s="272"/>
      <c r="G158" s="273"/>
      <c r="H158" s="267"/>
      <c r="I158" s="275"/>
      <c r="J158" s="276"/>
      <c r="K158" s="277"/>
    </row>
    <row r="159" spans="1:11" ht="19.5" x14ac:dyDescent="0.25">
      <c r="A159" s="267"/>
      <c r="B159" s="268"/>
      <c r="C159" s="269" t="s">
        <v>202</v>
      </c>
      <c r="D159" s="270"/>
      <c r="E159" s="271"/>
      <c r="F159" s="272"/>
      <c r="G159" s="273"/>
      <c r="H159" s="267"/>
      <c r="I159" s="275"/>
      <c r="J159" s="276"/>
      <c r="K159" s="277"/>
    </row>
    <row r="160" spans="1:11" ht="19.5" x14ac:dyDescent="0.25">
      <c r="A160" s="267"/>
      <c r="B160" s="268"/>
      <c r="C160" s="269"/>
      <c r="D160" s="270"/>
      <c r="E160" s="271" t="s">
        <v>522</v>
      </c>
      <c r="F160" s="272"/>
      <c r="G160" s="273"/>
      <c r="H160" s="267"/>
      <c r="I160" s="275"/>
      <c r="J160" s="276"/>
      <c r="K160" s="277"/>
    </row>
    <row r="161" spans="1:11" ht="19.5" x14ac:dyDescent="0.25">
      <c r="A161" s="267">
        <v>1</v>
      </c>
      <c r="B161" s="268"/>
      <c r="C161" s="269"/>
      <c r="D161" s="270"/>
      <c r="E161" s="271"/>
      <c r="F161" s="272"/>
      <c r="G161" s="273"/>
      <c r="H161" s="267">
        <v>1</v>
      </c>
      <c r="I161" s="275"/>
      <c r="J161" s="276"/>
      <c r="K161" s="277"/>
    </row>
    <row r="162" spans="1:11" ht="19.5" x14ac:dyDescent="0.25">
      <c r="A162" s="267">
        <v>2</v>
      </c>
      <c r="B162" s="268"/>
      <c r="C162" s="269"/>
      <c r="D162" s="270"/>
      <c r="E162" s="271"/>
      <c r="F162" s="272"/>
      <c r="G162" s="273"/>
      <c r="H162" s="267">
        <v>2</v>
      </c>
      <c r="I162" s="275"/>
      <c r="J162" s="276"/>
      <c r="K162" s="277"/>
    </row>
    <row r="163" spans="1:11" ht="19.5" x14ac:dyDescent="0.25">
      <c r="A163" s="267">
        <v>3</v>
      </c>
      <c r="B163" s="268" t="s">
        <v>84</v>
      </c>
      <c r="C163" s="269" t="s">
        <v>203</v>
      </c>
      <c r="D163" s="270"/>
      <c r="E163" s="271">
        <v>41064</v>
      </c>
      <c r="F163" s="272" t="s">
        <v>78</v>
      </c>
      <c r="G163" s="273"/>
      <c r="H163" s="267">
        <v>3</v>
      </c>
      <c r="I163" s="275"/>
      <c r="J163" s="276"/>
      <c r="K163" s="277"/>
    </row>
    <row r="164" spans="1:11" ht="19.5" x14ac:dyDescent="0.25">
      <c r="A164" s="267">
        <v>4</v>
      </c>
      <c r="B164" s="268" t="s">
        <v>76</v>
      </c>
      <c r="C164" s="269" t="s">
        <v>39</v>
      </c>
      <c r="D164" s="270"/>
      <c r="E164" s="271">
        <v>41177</v>
      </c>
      <c r="F164" s="272" t="s">
        <v>112</v>
      </c>
      <c r="G164" s="273"/>
      <c r="H164" s="267">
        <v>4</v>
      </c>
      <c r="I164" s="275"/>
      <c r="J164" s="276"/>
      <c r="K164" s="277"/>
    </row>
    <row r="165" spans="1:11" ht="19.5" x14ac:dyDescent="0.25">
      <c r="A165" s="267">
        <v>5</v>
      </c>
      <c r="B165" s="268" t="s">
        <v>84</v>
      </c>
      <c r="C165" s="269" t="s">
        <v>204</v>
      </c>
      <c r="D165" s="270"/>
      <c r="E165" s="271">
        <v>41262</v>
      </c>
      <c r="F165" s="272" t="s">
        <v>98</v>
      </c>
      <c r="G165" s="273"/>
      <c r="H165" s="267">
        <v>5</v>
      </c>
      <c r="I165" s="275"/>
      <c r="J165" s="276"/>
      <c r="K165" s="277"/>
    </row>
    <row r="166" spans="1:11" ht="19.5" x14ac:dyDescent="0.25">
      <c r="A166" s="267">
        <v>6</v>
      </c>
      <c r="B166" s="268"/>
      <c r="C166" s="269"/>
      <c r="D166" s="270"/>
      <c r="E166" s="271"/>
      <c r="F166" s="272"/>
      <c r="G166" s="273"/>
      <c r="H166" s="267">
        <v>6</v>
      </c>
      <c r="I166" s="275"/>
      <c r="J166" s="276"/>
      <c r="K166" s="277"/>
    </row>
    <row r="167" spans="1:11" ht="19.5" x14ac:dyDescent="0.25">
      <c r="A167" s="267"/>
      <c r="B167" s="268"/>
      <c r="C167" s="269" t="s">
        <v>205</v>
      </c>
      <c r="D167" s="270"/>
      <c r="E167" s="271"/>
      <c r="F167" s="272"/>
      <c r="G167" s="273"/>
      <c r="H167" s="267"/>
      <c r="I167" s="275"/>
      <c r="J167" s="276"/>
      <c r="K167" s="277"/>
    </row>
    <row r="168" spans="1:11" ht="19.5" x14ac:dyDescent="0.25">
      <c r="A168" s="267"/>
      <c r="B168" s="268"/>
      <c r="C168" s="269"/>
      <c r="D168" s="270"/>
      <c r="E168" s="271" t="s">
        <v>523</v>
      </c>
      <c r="F168" s="272"/>
      <c r="G168" s="273"/>
      <c r="H168" s="267"/>
      <c r="I168" s="275"/>
      <c r="J168" s="276"/>
      <c r="K168" s="277"/>
    </row>
    <row r="169" spans="1:11" ht="19.5" x14ac:dyDescent="0.25">
      <c r="A169" s="267">
        <v>1</v>
      </c>
      <c r="B169" s="268" t="s">
        <v>94</v>
      </c>
      <c r="C169" s="269" t="s">
        <v>209</v>
      </c>
      <c r="D169" s="270"/>
      <c r="E169" s="271">
        <v>41284</v>
      </c>
      <c r="F169" s="272" t="s">
        <v>98</v>
      </c>
      <c r="G169" s="273"/>
      <c r="H169" s="267">
        <v>1</v>
      </c>
      <c r="I169" s="275"/>
      <c r="J169" s="276"/>
      <c r="K169" s="277"/>
    </row>
    <row r="170" spans="1:11" ht="19.5" x14ac:dyDescent="0.25">
      <c r="A170" s="267">
        <v>2</v>
      </c>
      <c r="B170" s="268" t="s">
        <v>84</v>
      </c>
      <c r="C170" s="269" t="s">
        <v>208</v>
      </c>
      <c r="D170" s="270"/>
      <c r="E170" s="271">
        <v>41550</v>
      </c>
      <c r="F170" s="272" t="s">
        <v>78</v>
      </c>
      <c r="G170" s="273"/>
      <c r="H170" s="267">
        <v>2</v>
      </c>
      <c r="I170" s="275"/>
      <c r="J170" s="276"/>
      <c r="K170" s="277"/>
    </row>
    <row r="171" spans="1:11" ht="19.5" x14ac:dyDescent="0.25">
      <c r="A171" s="267">
        <v>3</v>
      </c>
      <c r="B171" s="268" t="s">
        <v>79</v>
      </c>
      <c r="C171" s="269" t="s">
        <v>123</v>
      </c>
      <c r="D171" s="270"/>
      <c r="E171" s="271">
        <v>41526</v>
      </c>
      <c r="F171" s="272" t="s">
        <v>90</v>
      </c>
      <c r="G171" s="273"/>
      <c r="H171" s="267">
        <v>3</v>
      </c>
      <c r="I171" s="275"/>
      <c r="J171" s="276"/>
      <c r="K171" s="277"/>
    </row>
    <row r="172" spans="1:11" ht="19.5" x14ac:dyDescent="0.25">
      <c r="A172" s="267">
        <v>4</v>
      </c>
      <c r="B172" s="268" t="s">
        <v>76</v>
      </c>
      <c r="C172" s="269" t="s">
        <v>206</v>
      </c>
      <c r="D172" s="270"/>
      <c r="E172" s="271">
        <v>41296</v>
      </c>
      <c r="F172" s="272" t="s">
        <v>112</v>
      </c>
      <c r="G172" s="273"/>
      <c r="H172" s="267">
        <v>4</v>
      </c>
      <c r="I172" s="275"/>
      <c r="J172" s="276"/>
      <c r="K172" s="277"/>
    </row>
    <row r="173" spans="1:11" ht="19.5" x14ac:dyDescent="0.25">
      <c r="A173" s="267">
        <v>5</v>
      </c>
      <c r="B173" s="268" t="s">
        <v>84</v>
      </c>
      <c r="C173" s="269" t="s">
        <v>207</v>
      </c>
      <c r="D173" s="270"/>
      <c r="E173" s="271">
        <v>41626</v>
      </c>
      <c r="F173" s="272" t="s">
        <v>112</v>
      </c>
      <c r="G173" s="273"/>
      <c r="H173" s="267">
        <v>5</v>
      </c>
      <c r="I173" s="275"/>
      <c r="J173" s="276"/>
      <c r="K173" s="277"/>
    </row>
    <row r="174" spans="1:11" ht="19.5" x14ac:dyDescent="0.25">
      <c r="A174" s="267">
        <v>6</v>
      </c>
      <c r="B174" s="268" t="s">
        <v>117</v>
      </c>
      <c r="C174" s="269" t="s">
        <v>127</v>
      </c>
      <c r="D174" s="270"/>
      <c r="E174" s="271">
        <v>41576</v>
      </c>
      <c r="F174" s="272" t="s">
        <v>78</v>
      </c>
      <c r="G174" s="273"/>
      <c r="H174" s="267">
        <v>6</v>
      </c>
      <c r="I174" s="275"/>
      <c r="J174" s="276"/>
      <c r="K174" s="277"/>
    </row>
    <row r="175" spans="1:11" ht="84.6" customHeight="1" x14ac:dyDescent="0.25">
      <c r="A175" s="267"/>
      <c r="B175" s="268"/>
      <c r="C175" s="269"/>
      <c r="D175" s="270"/>
      <c r="E175" s="271"/>
      <c r="F175" s="272"/>
      <c r="G175" s="273"/>
      <c r="H175" s="267"/>
      <c r="I175" s="275"/>
      <c r="J175" s="276"/>
      <c r="K175" s="277"/>
    </row>
    <row r="176" spans="1:11" ht="19.5" x14ac:dyDescent="0.25">
      <c r="A176" s="267"/>
      <c r="B176" s="268"/>
      <c r="C176" s="269" t="s">
        <v>524</v>
      </c>
      <c r="D176" s="270"/>
      <c r="E176" s="271"/>
      <c r="F176" s="272"/>
      <c r="G176" s="273"/>
      <c r="H176" s="267"/>
      <c r="I176" s="275"/>
      <c r="J176" s="276"/>
      <c r="K176" s="277"/>
    </row>
    <row r="177" spans="1:11" ht="19.5" x14ac:dyDescent="0.25">
      <c r="A177" s="267"/>
      <c r="B177" s="268"/>
      <c r="C177" s="269"/>
      <c r="D177" s="270"/>
      <c r="E177" s="271" t="s">
        <v>525</v>
      </c>
      <c r="F177" s="272"/>
      <c r="G177" s="273"/>
      <c r="H177" s="267"/>
      <c r="I177" s="275"/>
      <c r="J177" s="276"/>
      <c r="K177" s="277"/>
    </row>
    <row r="178" spans="1:11" ht="19.5" x14ac:dyDescent="0.25">
      <c r="A178" s="267">
        <v>1</v>
      </c>
      <c r="B178" s="268"/>
      <c r="C178" s="269"/>
      <c r="D178" s="270"/>
      <c r="E178" s="271"/>
      <c r="F178" s="272"/>
      <c r="G178" s="273"/>
      <c r="H178" s="267">
        <v>1</v>
      </c>
      <c r="I178" s="275"/>
      <c r="J178" s="276"/>
      <c r="K178" s="277"/>
    </row>
    <row r="179" spans="1:11" ht="19.5" x14ac:dyDescent="0.25">
      <c r="A179" s="267">
        <v>2</v>
      </c>
      <c r="B179" s="268" t="s">
        <v>94</v>
      </c>
      <c r="C179" s="269" t="s">
        <v>526</v>
      </c>
      <c r="D179" s="270"/>
      <c r="E179" s="271">
        <v>40636</v>
      </c>
      <c r="F179" s="272" t="s">
        <v>78</v>
      </c>
      <c r="G179" s="273"/>
      <c r="H179" s="267">
        <v>2</v>
      </c>
      <c r="I179" s="275"/>
      <c r="J179" s="276"/>
      <c r="K179" s="277"/>
    </row>
    <row r="180" spans="1:11" ht="19.5" x14ac:dyDescent="0.25">
      <c r="A180" s="267">
        <v>3</v>
      </c>
      <c r="B180" s="268" t="s">
        <v>94</v>
      </c>
      <c r="C180" s="269" t="s">
        <v>211</v>
      </c>
      <c r="D180" s="270"/>
      <c r="E180" s="271">
        <v>40867</v>
      </c>
      <c r="F180" s="272" t="s">
        <v>78</v>
      </c>
      <c r="G180" s="273"/>
      <c r="H180" s="267">
        <v>3</v>
      </c>
      <c r="I180" s="275"/>
      <c r="J180" s="276"/>
      <c r="K180" s="277"/>
    </row>
    <row r="181" spans="1:11" ht="19.5" x14ac:dyDescent="0.25">
      <c r="A181" s="267">
        <v>4</v>
      </c>
      <c r="B181" s="268" t="s">
        <v>84</v>
      </c>
      <c r="C181" s="269" t="s">
        <v>213</v>
      </c>
      <c r="D181" s="270"/>
      <c r="E181" s="271">
        <v>40986</v>
      </c>
      <c r="F181" s="272" t="s">
        <v>78</v>
      </c>
      <c r="G181" s="273"/>
      <c r="H181" s="267">
        <v>4</v>
      </c>
      <c r="I181" s="275"/>
      <c r="J181" s="276"/>
      <c r="K181" s="277"/>
    </row>
    <row r="182" spans="1:11" ht="19.5" x14ac:dyDescent="0.25">
      <c r="A182" s="267">
        <v>5</v>
      </c>
      <c r="B182" s="268" t="s">
        <v>84</v>
      </c>
      <c r="C182" s="269" t="s">
        <v>214</v>
      </c>
      <c r="D182" s="270"/>
      <c r="E182" s="271">
        <v>41061</v>
      </c>
      <c r="F182" s="272" t="s">
        <v>78</v>
      </c>
      <c r="G182" s="273"/>
      <c r="H182" s="267">
        <v>5</v>
      </c>
      <c r="I182" s="275"/>
      <c r="J182" s="276"/>
      <c r="K182" s="277"/>
    </row>
    <row r="183" spans="1:11" ht="19.5" x14ac:dyDescent="0.25">
      <c r="A183" s="267">
        <v>6</v>
      </c>
      <c r="B183" s="268"/>
      <c r="C183" s="269"/>
      <c r="D183" s="270"/>
      <c r="E183" s="271"/>
      <c r="F183" s="272"/>
      <c r="G183" s="273"/>
      <c r="H183" s="267">
        <v>6</v>
      </c>
      <c r="I183" s="275"/>
      <c r="J183" s="276"/>
      <c r="K183" s="277"/>
    </row>
    <row r="184" spans="1:11" ht="19.5" x14ac:dyDescent="0.25">
      <c r="A184" s="267"/>
      <c r="B184" s="268"/>
      <c r="C184" s="269" t="s">
        <v>215</v>
      </c>
      <c r="D184" s="270"/>
      <c r="E184" s="271"/>
      <c r="F184" s="272"/>
      <c r="G184" s="273"/>
      <c r="H184" s="267"/>
      <c r="I184" s="275"/>
      <c r="J184" s="276"/>
      <c r="K184" s="277"/>
    </row>
    <row r="185" spans="1:11" ht="19.5" x14ac:dyDescent="0.25">
      <c r="A185" s="267"/>
      <c r="B185" s="268"/>
      <c r="C185" s="269"/>
      <c r="D185" s="270"/>
      <c r="E185" s="271" t="s">
        <v>527</v>
      </c>
      <c r="F185" s="272"/>
      <c r="G185" s="273"/>
      <c r="H185" s="267"/>
      <c r="I185" s="275"/>
      <c r="J185" s="276"/>
      <c r="K185" s="277"/>
    </row>
    <row r="186" spans="1:11" ht="19.5" x14ac:dyDescent="0.25">
      <c r="A186" s="267">
        <v>1</v>
      </c>
      <c r="B186" s="268"/>
      <c r="C186" s="269"/>
      <c r="D186" s="270"/>
      <c r="E186" s="271"/>
      <c r="F186" s="272"/>
      <c r="G186" s="273"/>
      <c r="H186" s="267">
        <v>1</v>
      </c>
      <c r="I186" s="275"/>
      <c r="J186" s="276"/>
      <c r="K186" s="277"/>
    </row>
    <row r="187" spans="1:11" ht="19.5" x14ac:dyDescent="0.25">
      <c r="A187" s="267">
        <v>2</v>
      </c>
      <c r="B187" s="268" t="s">
        <v>100</v>
      </c>
      <c r="C187" s="269" t="s">
        <v>182</v>
      </c>
      <c r="D187" s="270"/>
      <c r="E187" s="271">
        <v>41488</v>
      </c>
      <c r="F187" s="272" t="s">
        <v>78</v>
      </c>
      <c r="G187" s="273"/>
      <c r="H187" s="267">
        <v>2</v>
      </c>
      <c r="I187" s="275"/>
      <c r="J187" s="276"/>
      <c r="K187" s="277"/>
    </row>
    <row r="188" spans="1:11" ht="19.5" x14ac:dyDescent="0.25">
      <c r="A188" s="267">
        <v>3</v>
      </c>
      <c r="B188" s="268" t="s">
        <v>88</v>
      </c>
      <c r="C188" s="269" t="s">
        <v>217</v>
      </c>
      <c r="D188" s="270"/>
      <c r="E188" s="271">
        <v>41452</v>
      </c>
      <c r="F188" s="272" t="s">
        <v>90</v>
      </c>
      <c r="G188" s="273"/>
      <c r="H188" s="267">
        <v>3</v>
      </c>
      <c r="I188" s="275"/>
      <c r="J188" s="276"/>
      <c r="K188" s="277"/>
    </row>
    <row r="189" spans="1:11" ht="19.5" x14ac:dyDescent="0.25">
      <c r="A189" s="267">
        <v>4</v>
      </c>
      <c r="B189" s="268" t="s">
        <v>100</v>
      </c>
      <c r="C189" s="269" t="s">
        <v>216</v>
      </c>
      <c r="D189" s="270"/>
      <c r="E189" s="271">
        <v>41584</v>
      </c>
      <c r="F189" s="272" t="s">
        <v>98</v>
      </c>
      <c r="G189" s="273"/>
      <c r="H189" s="267">
        <v>4</v>
      </c>
      <c r="I189" s="275"/>
      <c r="J189" s="276"/>
      <c r="K189" s="277"/>
    </row>
    <row r="190" spans="1:11" ht="19.5" x14ac:dyDescent="0.25">
      <c r="A190" s="267">
        <v>5</v>
      </c>
      <c r="B190" s="268" t="s">
        <v>100</v>
      </c>
      <c r="C190" s="269" t="s">
        <v>174</v>
      </c>
      <c r="D190" s="270"/>
      <c r="E190" s="271">
        <v>41305</v>
      </c>
      <c r="F190" s="272" t="s">
        <v>112</v>
      </c>
      <c r="G190" s="273"/>
      <c r="H190" s="267">
        <v>5</v>
      </c>
      <c r="I190" s="275"/>
      <c r="J190" s="276"/>
      <c r="K190" s="277"/>
    </row>
    <row r="191" spans="1:11" ht="19.5" x14ac:dyDescent="0.25">
      <c r="A191" s="267">
        <v>6</v>
      </c>
      <c r="B191" s="268"/>
      <c r="C191" s="269"/>
      <c r="D191" s="270"/>
      <c r="E191" s="271"/>
      <c r="F191" s="272"/>
      <c r="G191" s="273"/>
      <c r="H191" s="267">
        <v>6</v>
      </c>
      <c r="I191" s="275"/>
      <c r="J191" s="276"/>
      <c r="K191" s="277"/>
    </row>
    <row r="192" spans="1:11" ht="19.5" x14ac:dyDescent="0.25">
      <c r="A192" s="267"/>
      <c r="B192" s="268"/>
      <c r="C192" s="269" t="s">
        <v>218</v>
      </c>
      <c r="D192" s="270"/>
      <c r="E192" s="271"/>
      <c r="F192" s="272"/>
      <c r="G192" s="273"/>
      <c r="H192" s="267"/>
      <c r="I192" s="275"/>
      <c r="J192" s="276"/>
      <c r="K192" s="277"/>
    </row>
    <row r="193" spans="1:11" ht="19.5" x14ac:dyDescent="0.25">
      <c r="A193" s="267"/>
      <c r="B193" s="268"/>
      <c r="C193" s="269"/>
      <c r="D193" s="270"/>
      <c r="E193" s="271" t="s">
        <v>528</v>
      </c>
      <c r="F193" s="272"/>
      <c r="G193" s="273"/>
      <c r="H193" s="267"/>
      <c r="I193" s="275"/>
      <c r="J193" s="276"/>
      <c r="K193" s="277"/>
    </row>
    <row r="194" spans="1:11" ht="19.5" x14ac:dyDescent="0.25">
      <c r="A194" s="267">
        <v>1</v>
      </c>
      <c r="B194" s="268" t="s">
        <v>82</v>
      </c>
      <c r="C194" s="269" t="s">
        <v>104</v>
      </c>
      <c r="D194" s="270"/>
      <c r="E194" s="271">
        <v>40855</v>
      </c>
      <c r="F194" s="272" t="s">
        <v>81</v>
      </c>
      <c r="G194" s="273"/>
      <c r="H194" s="267">
        <v>1</v>
      </c>
      <c r="I194" s="275"/>
      <c r="J194" s="276"/>
      <c r="K194" s="277"/>
    </row>
    <row r="195" spans="1:11" ht="19.5" x14ac:dyDescent="0.25">
      <c r="A195" s="267">
        <v>2</v>
      </c>
      <c r="B195" s="268" t="s">
        <v>82</v>
      </c>
      <c r="C195" s="269" t="s">
        <v>103</v>
      </c>
      <c r="D195" s="270"/>
      <c r="E195" s="271">
        <v>40604</v>
      </c>
      <c r="F195" s="272" t="s">
        <v>81</v>
      </c>
      <c r="G195" s="273"/>
      <c r="H195" s="267">
        <v>2</v>
      </c>
      <c r="I195" s="275"/>
      <c r="J195" s="276"/>
      <c r="K195" s="277"/>
    </row>
    <row r="196" spans="1:11" ht="19.5" x14ac:dyDescent="0.25">
      <c r="A196" s="267">
        <v>3</v>
      </c>
      <c r="B196" s="268" t="s">
        <v>94</v>
      </c>
      <c r="C196" s="269" t="s">
        <v>102</v>
      </c>
      <c r="D196" s="270"/>
      <c r="E196" s="271">
        <v>40693</v>
      </c>
      <c r="F196" s="272" t="s">
        <v>81</v>
      </c>
      <c r="G196" s="273"/>
      <c r="H196" s="267">
        <v>3</v>
      </c>
      <c r="I196" s="275"/>
      <c r="J196" s="276"/>
      <c r="K196" s="277"/>
    </row>
    <row r="197" spans="1:11" ht="19.5" x14ac:dyDescent="0.25">
      <c r="A197" s="267">
        <v>4</v>
      </c>
      <c r="B197" s="268" t="s">
        <v>84</v>
      </c>
      <c r="C197" s="269" t="s">
        <v>91</v>
      </c>
      <c r="D197" s="270"/>
      <c r="E197" s="271">
        <v>40641</v>
      </c>
      <c r="F197" s="272" t="s">
        <v>92</v>
      </c>
      <c r="G197" s="273"/>
      <c r="H197" s="267">
        <v>4</v>
      </c>
      <c r="I197" s="275"/>
      <c r="J197" s="276"/>
      <c r="K197" s="277"/>
    </row>
    <row r="198" spans="1:11" ht="19.5" x14ac:dyDescent="0.25">
      <c r="A198" s="267">
        <v>5</v>
      </c>
      <c r="B198" s="268" t="s">
        <v>94</v>
      </c>
      <c r="C198" s="269" t="s">
        <v>97</v>
      </c>
      <c r="D198" s="270"/>
      <c r="E198" s="271">
        <v>40738</v>
      </c>
      <c r="F198" s="272" t="s">
        <v>98</v>
      </c>
      <c r="G198" s="273"/>
      <c r="H198" s="267">
        <v>5</v>
      </c>
      <c r="I198" s="275"/>
      <c r="J198" s="276"/>
      <c r="K198" s="277"/>
    </row>
    <row r="199" spans="1:11" ht="19.5" x14ac:dyDescent="0.25">
      <c r="A199" s="267">
        <v>6</v>
      </c>
      <c r="B199" s="268" t="s">
        <v>100</v>
      </c>
      <c r="C199" s="269" t="s">
        <v>101</v>
      </c>
      <c r="D199" s="270"/>
      <c r="E199" s="271">
        <v>40684</v>
      </c>
      <c r="F199" s="272" t="s">
        <v>87</v>
      </c>
      <c r="G199" s="273"/>
      <c r="H199" s="267">
        <v>6</v>
      </c>
      <c r="I199" s="275"/>
      <c r="J199" s="276"/>
      <c r="K199" s="277"/>
    </row>
    <row r="200" spans="1:11" ht="19.5" x14ac:dyDescent="0.25">
      <c r="A200" s="267"/>
      <c r="B200" s="268"/>
      <c r="C200" s="269"/>
      <c r="D200" s="270"/>
      <c r="E200" s="271"/>
      <c r="F200" s="272"/>
      <c r="G200" s="273"/>
      <c r="H200" s="267"/>
      <c r="I200" s="275"/>
      <c r="J200" s="276"/>
      <c r="K200" s="277"/>
    </row>
    <row r="201" spans="1:11" ht="19.5" x14ac:dyDescent="0.25">
      <c r="A201" s="267"/>
      <c r="B201" s="268"/>
      <c r="C201" s="269"/>
      <c r="D201" s="270"/>
      <c r="E201" s="271" t="s">
        <v>529</v>
      </c>
      <c r="F201" s="272"/>
      <c r="G201" s="273"/>
      <c r="H201" s="267"/>
      <c r="I201" s="275"/>
      <c r="J201" s="276"/>
      <c r="K201" s="277"/>
    </row>
    <row r="202" spans="1:11" ht="19.5" x14ac:dyDescent="0.25">
      <c r="A202" s="267">
        <v>1</v>
      </c>
      <c r="B202" s="268" t="s">
        <v>84</v>
      </c>
      <c r="C202" s="269" t="s">
        <v>93</v>
      </c>
      <c r="D202" s="270"/>
      <c r="E202" s="271">
        <v>40868</v>
      </c>
      <c r="F202" s="272" t="s">
        <v>92</v>
      </c>
      <c r="G202" s="273"/>
      <c r="H202" s="267">
        <v>1</v>
      </c>
      <c r="I202" s="275"/>
      <c r="J202" s="276"/>
      <c r="K202" s="277"/>
    </row>
    <row r="203" spans="1:11" ht="19.5" x14ac:dyDescent="0.25">
      <c r="A203" s="267">
        <v>2</v>
      </c>
      <c r="B203" s="268" t="s">
        <v>88</v>
      </c>
      <c r="C203" s="269" t="s">
        <v>89</v>
      </c>
      <c r="D203" s="270"/>
      <c r="E203" s="271">
        <v>40654</v>
      </c>
      <c r="F203" s="272" t="s">
        <v>90</v>
      </c>
      <c r="G203" s="273"/>
      <c r="H203" s="267">
        <v>2</v>
      </c>
      <c r="I203" s="275"/>
      <c r="J203" s="276"/>
      <c r="K203" s="277"/>
    </row>
    <row r="204" spans="1:11" ht="19.5" x14ac:dyDescent="0.25">
      <c r="A204" s="267">
        <v>3</v>
      </c>
      <c r="B204" s="268" t="s">
        <v>76</v>
      </c>
      <c r="C204" s="269" t="s">
        <v>77</v>
      </c>
      <c r="D204" s="270"/>
      <c r="E204" s="271">
        <v>40571</v>
      </c>
      <c r="F204" s="272" t="s">
        <v>78</v>
      </c>
      <c r="G204" s="273"/>
      <c r="H204" s="267">
        <v>3</v>
      </c>
      <c r="I204" s="275"/>
      <c r="J204" s="276"/>
      <c r="K204" s="277"/>
    </row>
    <row r="205" spans="1:11" ht="19.5" x14ac:dyDescent="0.25">
      <c r="A205" s="267">
        <v>4</v>
      </c>
      <c r="B205" s="268" t="s">
        <v>84</v>
      </c>
      <c r="C205" s="269" t="s">
        <v>219</v>
      </c>
      <c r="D205" s="270"/>
      <c r="E205" s="271">
        <v>40816</v>
      </c>
      <c r="F205" s="272" t="s">
        <v>110</v>
      </c>
      <c r="G205" s="273"/>
      <c r="H205" s="267">
        <v>4</v>
      </c>
      <c r="I205" s="275"/>
      <c r="J205" s="276"/>
      <c r="K205" s="277"/>
    </row>
    <row r="206" spans="1:11" ht="19.5" x14ac:dyDescent="0.25">
      <c r="A206" s="267">
        <v>5</v>
      </c>
      <c r="B206" s="268" t="s">
        <v>84</v>
      </c>
      <c r="C206" s="269" t="s">
        <v>86</v>
      </c>
      <c r="D206" s="270"/>
      <c r="E206" s="271">
        <v>40845</v>
      </c>
      <c r="F206" s="272" t="s">
        <v>87</v>
      </c>
      <c r="G206" s="273"/>
      <c r="H206" s="267">
        <v>5</v>
      </c>
      <c r="I206" s="275"/>
      <c r="J206" s="276"/>
      <c r="K206" s="277"/>
    </row>
    <row r="207" spans="1:11" ht="19.5" x14ac:dyDescent="0.25">
      <c r="A207" s="267">
        <v>6</v>
      </c>
      <c r="B207" s="268" t="s">
        <v>84</v>
      </c>
      <c r="C207" s="269" t="s">
        <v>96</v>
      </c>
      <c r="D207" s="270"/>
      <c r="E207" s="271">
        <v>40858</v>
      </c>
      <c r="F207" s="272" t="s">
        <v>92</v>
      </c>
      <c r="G207" s="273"/>
      <c r="H207" s="267">
        <v>6</v>
      </c>
      <c r="I207" s="275"/>
      <c r="J207" s="276"/>
      <c r="K207" s="277"/>
    </row>
    <row r="208" spans="1:11" ht="105.6" customHeight="1" x14ac:dyDescent="0.25">
      <c r="A208" s="267"/>
      <c r="B208" s="268"/>
      <c r="C208" s="269"/>
      <c r="D208" s="270"/>
      <c r="E208" s="271"/>
      <c r="F208" s="272"/>
      <c r="G208" s="273"/>
      <c r="H208" s="267"/>
      <c r="I208" s="275"/>
      <c r="J208" s="276"/>
      <c r="K208" s="277"/>
    </row>
    <row r="209" spans="1:11" ht="19.5" x14ac:dyDescent="0.25">
      <c r="A209" s="267"/>
      <c r="B209" s="268"/>
      <c r="C209" s="269" t="s">
        <v>220</v>
      </c>
      <c r="D209" s="270"/>
      <c r="E209" s="271"/>
      <c r="F209" s="272"/>
      <c r="G209" s="273"/>
      <c r="H209" s="267"/>
      <c r="I209" s="275"/>
      <c r="J209" s="276"/>
      <c r="K209" s="277"/>
    </row>
    <row r="210" spans="1:11" ht="19.5" x14ac:dyDescent="0.25">
      <c r="A210" s="267"/>
      <c r="B210" s="268"/>
      <c r="C210" s="269"/>
      <c r="D210" s="270"/>
      <c r="E210" s="271" t="s">
        <v>530</v>
      </c>
      <c r="F210" s="272"/>
      <c r="G210" s="273"/>
      <c r="H210" s="267"/>
      <c r="I210" s="275"/>
      <c r="J210" s="276"/>
      <c r="K210" s="277"/>
    </row>
    <row r="211" spans="1:11" ht="19.5" x14ac:dyDescent="0.25">
      <c r="A211" s="267">
        <v>1</v>
      </c>
      <c r="B211" s="268" t="s">
        <v>82</v>
      </c>
      <c r="C211" s="269" t="s">
        <v>83</v>
      </c>
      <c r="D211" s="270"/>
      <c r="E211" s="271">
        <v>40567</v>
      </c>
      <c r="F211" s="272" t="s">
        <v>78</v>
      </c>
      <c r="G211" s="273"/>
      <c r="H211" s="267">
        <v>1</v>
      </c>
      <c r="I211" s="275"/>
      <c r="J211" s="276"/>
      <c r="K211" s="277"/>
    </row>
    <row r="212" spans="1:11" ht="19.5" x14ac:dyDescent="0.25">
      <c r="A212" s="267">
        <v>2</v>
      </c>
      <c r="B212" s="268" t="s">
        <v>82</v>
      </c>
      <c r="C212" s="269" t="s">
        <v>116</v>
      </c>
      <c r="D212" s="270"/>
      <c r="E212" s="271">
        <v>41162</v>
      </c>
      <c r="F212" s="272" t="s">
        <v>78</v>
      </c>
      <c r="G212" s="273"/>
      <c r="H212" s="267">
        <v>2</v>
      </c>
      <c r="I212" s="275"/>
      <c r="J212" s="276"/>
      <c r="K212" s="277"/>
    </row>
    <row r="213" spans="1:11" ht="19.5" x14ac:dyDescent="0.25">
      <c r="A213" s="267">
        <v>3</v>
      </c>
      <c r="B213" s="268" t="s">
        <v>100</v>
      </c>
      <c r="C213" s="269" t="s">
        <v>494</v>
      </c>
      <c r="D213" s="270"/>
      <c r="E213" s="271">
        <v>41074</v>
      </c>
      <c r="F213" s="272" t="s">
        <v>87</v>
      </c>
      <c r="G213" s="273"/>
      <c r="H213" s="267">
        <v>3</v>
      </c>
      <c r="I213" s="275"/>
      <c r="J213" s="276"/>
      <c r="K213" s="277"/>
    </row>
    <row r="214" spans="1:11" ht="19.5" x14ac:dyDescent="0.25">
      <c r="A214" s="267">
        <v>4</v>
      </c>
      <c r="B214" s="268" t="s">
        <v>94</v>
      </c>
      <c r="C214" s="269" t="s">
        <v>221</v>
      </c>
      <c r="D214" s="270"/>
      <c r="E214" s="271">
        <v>41196</v>
      </c>
      <c r="F214" s="272" t="s">
        <v>78</v>
      </c>
      <c r="G214" s="273"/>
      <c r="H214" s="267">
        <v>4</v>
      </c>
      <c r="I214" s="275"/>
      <c r="J214" s="276"/>
      <c r="K214" s="277"/>
    </row>
    <row r="215" spans="1:11" ht="19.5" x14ac:dyDescent="0.25">
      <c r="A215" s="267">
        <v>5</v>
      </c>
      <c r="B215" s="268" t="s">
        <v>100</v>
      </c>
      <c r="C215" s="269" t="s">
        <v>121</v>
      </c>
      <c r="D215" s="270"/>
      <c r="E215" s="271">
        <v>40927</v>
      </c>
      <c r="F215" s="272" t="s">
        <v>87</v>
      </c>
      <c r="G215" s="273"/>
      <c r="H215" s="267">
        <v>5</v>
      </c>
      <c r="I215" s="275"/>
      <c r="J215" s="276"/>
      <c r="K215" s="277"/>
    </row>
    <row r="216" spans="1:11" ht="19.5" x14ac:dyDescent="0.25">
      <c r="A216" s="267">
        <v>6</v>
      </c>
      <c r="B216" s="268" t="s">
        <v>82</v>
      </c>
      <c r="C216" s="269" t="s">
        <v>130</v>
      </c>
      <c r="D216" s="270"/>
      <c r="E216" s="271">
        <v>41470</v>
      </c>
      <c r="F216" s="272" t="s">
        <v>92</v>
      </c>
      <c r="G216" s="273"/>
      <c r="H216" s="267">
        <v>6</v>
      </c>
      <c r="I216" s="275"/>
      <c r="J216" s="276"/>
      <c r="K216" s="277"/>
    </row>
    <row r="217" spans="1:11" ht="19.5" x14ac:dyDescent="0.25">
      <c r="A217" s="267"/>
      <c r="B217" s="268"/>
      <c r="C217" s="269"/>
      <c r="D217" s="270"/>
      <c r="E217" s="271"/>
      <c r="F217" s="272"/>
      <c r="G217" s="273"/>
      <c r="H217" s="267"/>
      <c r="I217" s="275"/>
      <c r="J217" s="276"/>
      <c r="K217" s="277"/>
    </row>
    <row r="218" spans="1:11" ht="19.5" x14ac:dyDescent="0.25">
      <c r="A218" s="267"/>
      <c r="B218" s="268"/>
      <c r="C218" s="269"/>
      <c r="D218" s="270"/>
      <c r="E218" s="271" t="s">
        <v>531</v>
      </c>
      <c r="F218" s="272"/>
      <c r="G218" s="273"/>
      <c r="H218" s="267"/>
      <c r="I218" s="275"/>
      <c r="J218" s="276"/>
      <c r="K218" s="277"/>
    </row>
    <row r="219" spans="1:11" ht="19.5" x14ac:dyDescent="0.25">
      <c r="A219" s="267">
        <v>1</v>
      </c>
      <c r="B219" s="268" t="s">
        <v>94</v>
      </c>
      <c r="C219" s="269" t="s">
        <v>119</v>
      </c>
      <c r="D219" s="270"/>
      <c r="E219" s="271">
        <v>41187</v>
      </c>
      <c r="F219" s="272" t="s">
        <v>92</v>
      </c>
      <c r="G219" s="273"/>
      <c r="H219" s="267">
        <v>1</v>
      </c>
      <c r="I219" s="275"/>
      <c r="J219" s="276"/>
      <c r="K219" s="277"/>
    </row>
    <row r="220" spans="1:11" ht="19.5" x14ac:dyDescent="0.25">
      <c r="A220" s="267">
        <v>2</v>
      </c>
      <c r="B220" s="268" t="s">
        <v>117</v>
      </c>
      <c r="C220" s="269" t="s">
        <v>118</v>
      </c>
      <c r="D220" s="270"/>
      <c r="E220" s="271">
        <v>41136</v>
      </c>
      <c r="F220" s="272" t="s">
        <v>92</v>
      </c>
      <c r="G220" s="273"/>
      <c r="H220" s="267">
        <v>2</v>
      </c>
      <c r="I220" s="275"/>
      <c r="J220" s="276"/>
      <c r="K220" s="277"/>
    </row>
    <row r="221" spans="1:11" ht="19.5" x14ac:dyDescent="0.25">
      <c r="A221" s="267">
        <v>3</v>
      </c>
      <c r="B221" s="268" t="s">
        <v>94</v>
      </c>
      <c r="C221" s="269" t="s">
        <v>111</v>
      </c>
      <c r="D221" s="270"/>
      <c r="E221" s="271">
        <v>41159</v>
      </c>
      <c r="F221" s="272" t="s">
        <v>112</v>
      </c>
      <c r="G221" s="273"/>
      <c r="H221" s="267">
        <v>3</v>
      </c>
      <c r="I221" s="275"/>
      <c r="J221" s="276"/>
      <c r="K221" s="277"/>
    </row>
    <row r="222" spans="1:11" ht="19.5" x14ac:dyDescent="0.25">
      <c r="A222" s="267">
        <v>4</v>
      </c>
      <c r="B222" s="268" t="s">
        <v>94</v>
      </c>
      <c r="C222" s="269" t="s">
        <v>115</v>
      </c>
      <c r="D222" s="270"/>
      <c r="E222" s="271">
        <v>41155</v>
      </c>
      <c r="F222" s="272" t="s">
        <v>87</v>
      </c>
      <c r="G222" s="273"/>
      <c r="H222" s="267">
        <v>4</v>
      </c>
      <c r="I222" s="275"/>
      <c r="J222" s="276"/>
      <c r="K222" s="277"/>
    </row>
    <row r="223" spans="1:11" ht="19.5" x14ac:dyDescent="0.25">
      <c r="A223" s="267">
        <v>5</v>
      </c>
      <c r="B223" s="268" t="s">
        <v>88</v>
      </c>
      <c r="C223" s="269" t="s">
        <v>113</v>
      </c>
      <c r="D223" s="270"/>
      <c r="E223" s="271">
        <v>41186</v>
      </c>
      <c r="F223" s="272" t="s">
        <v>90</v>
      </c>
      <c r="G223" s="273"/>
      <c r="H223" s="267">
        <v>5</v>
      </c>
      <c r="I223" s="275"/>
      <c r="J223" s="276"/>
      <c r="K223" s="277"/>
    </row>
    <row r="224" spans="1:11" ht="19.5" x14ac:dyDescent="0.25">
      <c r="A224" s="267">
        <v>6</v>
      </c>
      <c r="B224" s="268" t="s">
        <v>117</v>
      </c>
      <c r="C224" s="269" t="s">
        <v>120</v>
      </c>
      <c r="D224" s="270"/>
      <c r="E224" s="271">
        <v>41136</v>
      </c>
      <c r="F224" s="272" t="s">
        <v>92</v>
      </c>
      <c r="G224" s="273"/>
      <c r="H224" s="267">
        <v>6</v>
      </c>
      <c r="I224" s="275"/>
      <c r="J224" s="276"/>
      <c r="K224" s="277"/>
    </row>
    <row r="225" spans="1:11" ht="19.5" x14ac:dyDescent="0.25">
      <c r="A225" s="267"/>
      <c r="B225" s="268"/>
      <c r="C225" s="269"/>
      <c r="D225" s="270"/>
      <c r="E225" s="271"/>
      <c r="F225" s="272"/>
      <c r="G225" s="273"/>
      <c r="H225" s="267"/>
      <c r="I225" s="275"/>
      <c r="J225" s="276"/>
      <c r="K225" s="277"/>
    </row>
    <row r="226" spans="1:11" ht="19.5" x14ac:dyDescent="0.25">
      <c r="A226" s="267"/>
      <c r="B226" s="268"/>
      <c r="C226" s="269"/>
      <c r="D226" s="270"/>
      <c r="E226" s="271" t="s">
        <v>532</v>
      </c>
      <c r="F226" s="272"/>
      <c r="G226" s="273"/>
      <c r="H226" s="267"/>
      <c r="I226" s="275"/>
      <c r="J226" s="276"/>
      <c r="K226" s="277"/>
    </row>
    <row r="227" spans="1:11" ht="19.5" x14ac:dyDescent="0.25">
      <c r="A227" s="267">
        <v>1</v>
      </c>
      <c r="B227" s="268" t="s">
        <v>84</v>
      </c>
      <c r="C227" s="269" t="s">
        <v>204</v>
      </c>
      <c r="D227" s="270"/>
      <c r="E227" s="271">
        <v>41262</v>
      </c>
      <c r="F227" s="272" t="s">
        <v>98</v>
      </c>
      <c r="G227" s="273"/>
      <c r="H227" s="267">
        <v>1</v>
      </c>
      <c r="I227" s="275"/>
      <c r="J227" s="276"/>
      <c r="K227" s="277"/>
    </row>
    <row r="228" spans="1:11" ht="19.5" x14ac:dyDescent="0.25">
      <c r="A228" s="267">
        <v>2</v>
      </c>
      <c r="B228" s="268" t="s">
        <v>76</v>
      </c>
      <c r="C228" s="269" t="s">
        <v>108</v>
      </c>
      <c r="D228" s="270"/>
      <c r="E228" s="271">
        <v>41165</v>
      </c>
      <c r="F228" s="272" t="s">
        <v>87</v>
      </c>
      <c r="G228" s="273"/>
      <c r="H228" s="267">
        <v>2</v>
      </c>
      <c r="I228" s="275"/>
      <c r="J228" s="276"/>
      <c r="K228" s="277"/>
    </row>
    <row r="229" spans="1:11" ht="19.5" x14ac:dyDescent="0.25">
      <c r="A229" s="267">
        <v>3</v>
      </c>
      <c r="B229" s="268" t="s">
        <v>76</v>
      </c>
      <c r="C229" s="269" t="s">
        <v>106</v>
      </c>
      <c r="D229" s="270"/>
      <c r="E229" s="271">
        <v>41010</v>
      </c>
      <c r="F229" s="272" t="s">
        <v>87</v>
      </c>
      <c r="G229" s="273"/>
      <c r="H229" s="267">
        <v>3</v>
      </c>
      <c r="I229" s="275"/>
      <c r="J229" s="276"/>
      <c r="K229" s="277"/>
    </row>
    <row r="230" spans="1:11" ht="19.5" x14ac:dyDescent="0.25">
      <c r="A230" s="267">
        <v>4</v>
      </c>
      <c r="B230" s="268" t="s">
        <v>76</v>
      </c>
      <c r="C230" s="269" t="s">
        <v>107</v>
      </c>
      <c r="D230" s="270"/>
      <c r="E230" s="271">
        <v>40997</v>
      </c>
      <c r="F230" s="272" t="s">
        <v>87</v>
      </c>
      <c r="G230" s="273"/>
      <c r="H230" s="267">
        <v>4</v>
      </c>
      <c r="I230" s="275"/>
      <c r="J230" s="276"/>
      <c r="K230" s="277"/>
    </row>
    <row r="231" spans="1:11" ht="19.5" x14ac:dyDescent="0.25">
      <c r="A231" s="267">
        <v>5</v>
      </c>
      <c r="B231" s="268" t="s">
        <v>84</v>
      </c>
      <c r="C231" s="269" t="s">
        <v>109</v>
      </c>
      <c r="D231" s="270"/>
      <c r="E231" s="271">
        <v>40988</v>
      </c>
      <c r="F231" s="272" t="s">
        <v>110</v>
      </c>
      <c r="G231" s="273"/>
      <c r="H231" s="267">
        <v>5</v>
      </c>
      <c r="I231" s="275"/>
      <c r="J231" s="276"/>
      <c r="K231" s="277"/>
    </row>
    <row r="232" spans="1:11" ht="19.5" x14ac:dyDescent="0.25">
      <c r="A232" s="267">
        <v>6</v>
      </c>
      <c r="B232" s="268" t="s">
        <v>94</v>
      </c>
      <c r="C232" s="269" t="s">
        <v>114</v>
      </c>
      <c r="D232" s="270"/>
      <c r="E232" s="271">
        <v>41067</v>
      </c>
      <c r="F232" s="272" t="s">
        <v>110</v>
      </c>
      <c r="G232" s="273"/>
      <c r="H232" s="267">
        <v>6</v>
      </c>
      <c r="I232" s="275"/>
      <c r="J232" s="276"/>
      <c r="K232" s="277"/>
    </row>
    <row r="233" spans="1:11" ht="19.5" x14ac:dyDescent="0.25">
      <c r="A233" s="267"/>
      <c r="B233" s="268"/>
      <c r="C233" s="269"/>
      <c r="D233" s="270"/>
      <c r="E233" s="271"/>
      <c r="F233" s="272"/>
      <c r="G233" s="273"/>
      <c r="H233" s="267"/>
      <c r="I233" s="275"/>
      <c r="J233" s="276"/>
      <c r="K233" s="277"/>
    </row>
    <row r="234" spans="1:11" ht="19.5" x14ac:dyDescent="0.25">
      <c r="A234" s="267"/>
      <c r="B234" s="268"/>
      <c r="C234" s="269" t="s">
        <v>222</v>
      </c>
      <c r="D234" s="270"/>
      <c r="E234" s="271"/>
      <c r="F234" s="272"/>
      <c r="G234" s="273"/>
      <c r="H234" s="267"/>
      <c r="I234" s="275"/>
      <c r="J234" s="276"/>
      <c r="K234" s="277"/>
    </row>
    <row r="235" spans="1:11" ht="19.5" x14ac:dyDescent="0.25">
      <c r="A235" s="267"/>
      <c r="B235" s="268"/>
      <c r="C235" s="269"/>
      <c r="D235" s="270"/>
      <c r="E235" s="271" t="s">
        <v>533</v>
      </c>
      <c r="F235" s="272"/>
      <c r="G235" s="273"/>
      <c r="H235" s="267"/>
      <c r="I235" s="275"/>
      <c r="J235" s="276"/>
      <c r="K235" s="277"/>
    </row>
    <row r="236" spans="1:11" ht="19.5" x14ac:dyDescent="0.25">
      <c r="A236" s="267">
        <v>1</v>
      </c>
      <c r="B236" s="268" t="s">
        <v>117</v>
      </c>
      <c r="C236" s="269" t="s">
        <v>127</v>
      </c>
      <c r="D236" s="270"/>
      <c r="E236" s="271">
        <v>41576</v>
      </c>
      <c r="F236" s="272" t="s">
        <v>78</v>
      </c>
      <c r="G236" s="273"/>
      <c r="H236" s="267">
        <v>1</v>
      </c>
      <c r="I236" s="275"/>
      <c r="J236" s="276"/>
      <c r="K236" s="277"/>
    </row>
    <row r="237" spans="1:11" ht="19.5" x14ac:dyDescent="0.25">
      <c r="A237" s="267">
        <v>2</v>
      </c>
      <c r="B237" s="268" t="s">
        <v>94</v>
      </c>
      <c r="C237" s="269" t="s">
        <v>209</v>
      </c>
      <c r="D237" s="270"/>
      <c r="E237" s="271">
        <v>41284</v>
      </c>
      <c r="F237" s="272" t="s">
        <v>98</v>
      </c>
      <c r="G237" s="273"/>
      <c r="H237" s="267">
        <v>2</v>
      </c>
      <c r="I237" s="275"/>
      <c r="J237" s="276"/>
      <c r="K237" s="277"/>
    </row>
    <row r="238" spans="1:11" ht="19.5" x14ac:dyDescent="0.25">
      <c r="A238" s="267">
        <v>3</v>
      </c>
      <c r="B238" s="268" t="s">
        <v>84</v>
      </c>
      <c r="C238" s="269" t="s">
        <v>223</v>
      </c>
      <c r="D238" s="270"/>
      <c r="E238" s="271">
        <v>41302</v>
      </c>
      <c r="F238" s="272" t="s">
        <v>110</v>
      </c>
      <c r="G238" s="273"/>
      <c r="H238" s="267">
        <v>3</v>
      </c>
      <c r="I238" s="275"/>
      <c r="J238" s="276"/>
      <c r="K238" s="277"/>
    </row>
    <row r="239" spans="1:11" ht="19.5" x14ac:dyDescent="0.25">
      <c r="A239" s="267">
        <v>4</v>
      </c>
      <c r="B239" s="268" t="s">
        <v>94</v>
      </c>
      <c r="C239" s="269" t="s">
        <v>126</v>
      </c>
      <c r="D239" s="270"/>
      <c r="E239" s="271">
        <v>41306</v>
      </c>
      <c r="F239" s="272" t="s">
        <v>92</v>
      </c>
      <c r="G239" s="273"/>
      <c r="H239" s="267">
        <v>4</v>
      </c>
      <c r="I239" s="275"/>
      <c r="J239" s="276"/>
      <c r="K239" s="277"/>
    </row>
    <row r="240" spans="1:11" ht="19.5" x14ac:dyDescent="0.25">
      <c r="A240" s="267">
        <v>5</v>
      </c>
      <c r="B240" s="268" t="s">
        <v>100</v>
      </c>
      <c r="C240" s="269" t="s">
        <v>224</v>
      </c>
      <c r="D240" s="270"/>
      <c r="E240" s="271">
        <v>41487</v>
      </c>
      <c r="F240" s="272" t="s">
        <v>87</v>
      </c>
      <c r="G240" s="273"/>
      <c r="H240" s="267">
        <v>5</v>
      </c>
      <c r="I240" s="275"/>
      <c r="J240" s="276"/>
      <c r="K240" s="277"/>
    </row>
    <row r="241" spans="1:11" ht="19.5" x14ac:dyDescent="0.25">
      <c r="A241" s="267">
        <v>6</v>
      </c>
      <c r="B241" s="268" t="s">
        <v>82</v>
      </c>
      <c r="C241" s="269" t="s">
        <v>128</v>
      </c>
      <c r="D241" s="270"/>
      <c r="E241" s="271">
        <v>41470</v>
      </c>
      <c r="F241" s="272" t="s">
        <v>92</v>
      </c>
      <c r="G241" s="273"/>
      <c r="H241" s="267">
        <v>6</v>
      </c>
      <c r="I241" s="275"/>
      <c r="J241" s="276"/>
      <c r="K241" s="277"/>
    </row>
    <row r="242" spans="1:11" ht="85.9" customHeight="1" x14ac:dyDescent="0.25">
      <c r="A242" s="267"/>
      <c r="B242" s="268"/>
      <c r="C242" s="269"/>
      <c r="D242" s="270"/>
      <c r="E242" s="271"/>
      <c r="F242" s="272"/>
      <c r="G242" s="273"/>
      <c r="H242" s="267"/>
      <c r="I242" s="275"/>
      <c r="J242" s="276"/>
      <c r="K242" s="277"/>
    </row>
    <row r="243" spans="1:11" ht="19.5" x14ac:dyDescent="0.25">
      <c r="A243" s="267"/>
      <c r="B243" s="268"/>
      <c r="C243" s="269" t="s">
        <v>225</v>
      </c>
      <c r="D243" s="270"/>
      <c r="E243" s="271"/>
      <c r="F243" s="272"/>
      <c r="G243" s="273"/>
      <c r="H243" s="267"/>
      <c r="I243" s="275"/>
      <c r="J243" s="276"/>
      <c r="K243" s="277"/>
    </row>
    <row r="244" spans="1:11" ht="19.5" x14ac:dyDescent="0.25">
      <c r="A244" s="267"/>
      <c r="B244" s="268"/>
      <c r="C244" s="269"/>
      <c r="D244" s="270"/>
      <c r="E244" s="271" t="s">
        <v>534</v>
      </c>
      <c r="F244" s="272"/>
      <c r="G244" s="273"/>
      <c r="H244" s="267"/>
      <c r="I244" s="275"/>
      <c r="J244" s="276"/>
      <c r="K244" s="277"/>
    </row>
    <row r="245" spans="1:11" ht="19.5" x14ac:dyDescent="0.25">
      <c r="A245" s="267">
        <v>1</v>
      </c>
      <c r="B245" s="268" t="s">
        <v>82</v>
      </c>
      <c r="C245" s="269" t="s">
        <v>142</v>
      </c>
      <c r="D245" s="270"/>
      <c r="E245" s="271">
        <v>40613</v>
      </c>
      <c r="F245" s="272" t="s">
        <v>92</v>
      </c>
      <c r="G245" s="273"/>
      <c r="H245" s="267">
        <v>1</v>
      </c>
      <c r="I245" s="275"/>
      <c r="J245" s="276"/>
      <c r="K245" s="277"/>
    </row>
    <row r="246" spans="1:11" ht="19.5" x14ac:dyDescent="0.25">
      <c r="A246" s="267">
        <v>2</v>
      </c>
      <c r="B246" s="268" t="s">
        <v>82</v>
      </c>
      <c r="C246" s="269" t="s">
        <v>147</v>
      </c>
      <c r="D246" s="270"/>
      <c r="E246" s="271">
        <v>40844</v>
      </c>
      <c r="F246" s="272" t="s">
        <v>81</v>
      </c>
      <c r="G246" s="273"/>
      <c r="H246" s="267">
        <v>2</v>
      </c>
      <c r="I246" s="275"/>
      <c r="J246" s="276"/>
      <c r="K246" s="277"/>
    </row>
    <row r="247" spans="1:11" ht="19.5" x14ac:dyDescent="0.25">
      <c r="A247" s="267">
        <v>3</v>
      </c>
      <c r="B247" s="268" t="s">
        <v>84</v>
      </c>
      <c r="C247" s="269" t="s">
        <v>152</v>
      </c>
      <c r="D247" s="270"/>
      <c r="E247" s="271">
        <v>40668</v>
      </c>
      <c r="F247" s="272" t="s">
        <v>92</v>
      </c>
      <c r="G247" s="273"/>
      <c r="H247" s="267">
        <v>3</v>
      </c>
      <c r="I247" s="275"/>
      <c r="J247" s="276"/>
      <c r="K247" s="277"/>
    </row>
    <row r="248" spans="1:11" ht="19.5" x14ac:dyDescent="0.25">
      <c r="A248" s="267">
        <v>4</v>
      </c>
      <c r="B248" s="268" t="s">
        <v>82</v>
      </c>
      <c r="C248" s="269" t="s">
        <v>150</v>
      </c>
      <c r="D248" s="270"/>
      <c r="E248" s="271">
        <v>40730</v>
      </c>
      <c r="F248" s="272" t="s">
        <v>87</v>
      </c>
      <c r="G248" s="273"/>
      <c r="H248" s="267">
        <v>4</v>
      </c>
      <c r="I248" s="275"/>
      <c r="J248" s="276"/>
      <c r="K248" s="277"/>
    </row>
    <row r="249" spans="1:11" ht="19.5" x14ac:dyDescent="0.25">
      <c r="A249" s="267">
        <v>5</v>
      </c>
      <c r="B249" s="268" t="s">
        <v>100</v>
      </c>
      <c r="C249" s="269" t="s">
        <v>149</v>
      </c>
      <c r="D249" s="270"/>
      <c r="E249" s="271">
        <v>40691</v>
      </c>
      <c r="F249" s="272" t="s">
        <v>87</v>
      </c>
      <c r="G249" s="273"/>
      <c r="H249" s="267">
        <v>5</v>
      </c>
      <c r="I249" s="275"/>
      <c r="J249" s="276"/>
      <c r="K249" s="277"/>
    </row>
    <row r="250" spans="1:11" ht="19.5" x14ac:dyDescent="0.25">
      <c r="A250" s="267">
        <v>6</v>
      </c>
      <c r="B250" s="268" t="s">
        <v>82</v>
      </c>
      <c r="C250" s="269" t="s">
        <v>507</v>
      </c>
      <c r="D250" s="270"/>
      <c r="E250" s="271">
        <v>40358</v>
      </c>
      <c r="F250" s="272" t="s">
        <v>81</v>
      </c>
      <c r="G250" s="273"/>
      <c r="H250" s="267">
        <v>6</v>
      </c>
      <c r="I250" s="275"/>
      <c r="J250" s="276"/>
      <c r="K250" s="277"/>
    </row>
    <row r="251" spans="1:11" ht="19.5" x14ac:dyDescent="0.25">
      <c r="A251" s="267"/>
      <c r="B251" s="268"/>
      <c r="C251" s="269"/>
      <c r="D251" s="270"/>
      <c r="E251" s="271" t="s">
        <v>535</v>
      </c>
      <c r="F251" s="272"/>
      <c r="G251" s="273"/>
      <c r="H251" s="267"/>
      <c r="I251" s="275"/>
      <c r="J251" s="276"/>
      <c r="K251" s="277"/>
    </row>
    <row r="252" spans="1:11" ht="19.5" x14ac:dyDescent="0.25">
      <c r="A252" s="267">
        <v>1</v>
      </c>
      <c r="B252" s="268" t="s">
        <v>82</v>
      </c>
      <c r="C252" s="269" t="s">
        <v>148</v>
      </c>
      <c r="D252" s="270"/>
      <c r="E252" s="271">
        <v>40818</v>
      </c>
      <c r="F252" s="272" t="s">
        <v>92</v>
      </c>
      <c r="G252" s="273"/>
      <c r="H252" s="267">
        <v>1</v>
      </c>
      <c r="I252" s="275"/>
      <c r="J252" s="276"/>
      <c r="K252" s="277"/>
    </row>
    <row r="253" spans="1:11" ht="19.5" x14ac:dyDescent="0.25">
      <c r="A253" s="267">
        <v>2</v>
      </c>
      <c r="B253" s="268" t="s">
        <v>84</v>
      </c>
      <c r="C253" s="269" t="s">
        <v>141</v>
      </c>
      <c r="D253" s="270"/>
      <c r="E253" s="271">
        <v>40874</v>
      </c>
      <c r="F253" s="272" t="s">
        <v>92</v>
      </c>
      <c r="G253" s="273"/>
      <c r="H253" s="267">
        <v>2</v>
      </c>
      <c r="I253" s="275"/>
      <c r="J253" s="276"/>
      <c r="K253" s="277"/>
    </row>
    <row r="254" spans="1:11" ht="19.5" x14ac:dyDescent="0.25">
      <c r="A254" s="267">
        <v>3</v>
      </c>
      <c r="B254" s="268" t="s">
        <v>82</v>
      </c>
      <c r="C254" s="269" t="s">
        <v>140</v>
      </c>
      <c r="D254" s="270"/>
      <c r="E254" s="271">
        <v>40551</v>
      </c>
      <c r="F254" s="272" t="s">
        <v>92</v>
      </c>
      <c r="G254" s="273"/>
      <c r="H254" s="267">
        <v>3</v>
      </c>
      <c r="I254" s="275"/>
      <c r="J254" s="276"/>
      <c r="K254" s="277"/>
    </row>
    <row r="255" spans="1:11" ht="19.5" x14ac:dyDescent="0.25">
      <c r="A255" s="267">
        <v>4</v>
      </c>
      <c r="B255" s="268" t="s">
        <v>100</v>
      </c>
      <c r="C255" s="269" t="s">
        <v>146</v>
      </c>
      <c r="D255" s="270"/>
      <c r="E255" s="271">
        <v>40697</v>
      </c>
      <c r="F255" s="272" t="s">
        <v>92</v>
      </c>
      <c r="G255" s="273"/>
      <c r="H255" s="267">
        <v>4</v>
      </c>
      <c r="I255" s="275"/>
      <c r="J255" s="276"/>
      <c r="K255" s="277"/>
    </row>
    <row r="256" spans="1:11" ht="19.5" x14ac:dyDescent="0.25">
      <c r="A256" s="267">
        <v>5</v>
      </c>
      <c r="B256" s="268" t="s">
        <v>117</v>
      </c>
      <c r="C256" s="269" t="s">
        <v>151</v>
      </c>
      <c r="D256" s="270"/>
      <c r="E256" s="271">
        <v>40562</v>
      </c>
      <c r="F256" s="272" t="s">
        <v>81</v>
      </c>
      <c r="G256" s="273"/>
      <c r="H256" s="267">
        <v>5</v>
      </c>
      <c r="I256" s="275"/>
      <c r="J256" s="276"/>
      <c r="K256" s="277"/>
    </row>
    <row r="257" spans="1:11" ht="19.5" x14ac:dyDescent="0.25">
      <c r="A257" s="267">
        <v>6</v>
      </c>
      <c r="B257" s="268" t="s">
        <v>158</v>
      </c>
      <c r="C257" s="269" t="s">
        <v>502</v>
      </c>
      <c r="D257" s="270"/>
      <c r="E257" s="271">
        <v>40861</v>
      </c>
      <c r="F257" s="272" t="s">
        <v>92</v>
      </c>
      <c r="G257" s="273"/>
      <c r="H257" s="267">
        <v>6</v>
      </c>
      <c r="I257" s="275"/>
      <c r="J257" s="276"/>
      <c r="K257" s="277"/>
    </row>
    <row r="258" spans="1:11" ht="19.5" x14ac:dyDescent="0.25">
      <c r="A258" s="267"/>
      <c r="B258" s="268"/>
      <c r="C258" s="269"/>
      <c r="D258" s="270"/>
      <c r="E258" s="271" t="s">
        <v>536</v>
      </c>
      <c r="F258" s="272"/>
      <c r="G258" s="273"/>
      <c r="H258" s="267"/>
      <c r="I258" s="275"/>
      <c r="J258" s="276"/>
      <c r="K258" s="277"/>
    </row>
    <row r="259" spans="1:11" ht="19.5" x14ac:dyDescent="0.25">
      <c r="A259" s="267">
        <v>1</v>
      </c>
      <c r="B259" s="268" t="s">
        <v>82</v>
      </c>
      <c r="C259" s="269" t="s">
        <v>143</v>
      </c>
      <c r="D259" s="270"/>
      <c r="E259" s="271">
        <v>40835</v>
      </c>
      <c r="F259" s="272" t="s">
        <v>92</v>
      </c>
      <c r="G259" s="273"/>
      <c r="H259" s="267">
        <v>1</v>
      </c>
      <c r="I259" s="275"/>
      <c r="J259" s="276"/>
      <c r="K259" s="277"/>
    </row>
    <row r="260" spans="1:11" ht="19.5" x14ac:dyDescent="0.25">
      <c r="A260" s="267">
        <v>2</v>
      </c>
      <c r="B260" s="268" t="s">
        <v>100</v>
      </c>
      <c r="C260" s="269" t="s">
        <v>139</v>
      </c>
      <c r="D260" s="270"/>
      <c r="E260" s="271">
        <v>40908</v>
      </c>
      <c r="F260" s="272" t="s">
        <v>87</v>
      </c>
      <c r="G260" s="273"/>
      <c r="H260" s="267">
        <v>2</v>
      </c>
      <c r="I260" s="275"/>
      <c r="J260" s="276"/>
      <c r="K260" s="277"/>
    </row>
    <row r="261" spans="1:11" ht="19.5" x14ac:dyDescent="0.25">
      <c r="A261" s="267">
        <v>3</v>
      </c>
      <c r="B261" s="268" t="s">
        <v>84</v>
      </c>
      <c r="C261" s="269" t="s">
        <v>136</v>
      </c>
      <c r="D261" s="270"/>
      <c r="E261" s="271">
        <v>40624</v>
      </c>
      <c r="F261" s="272" t="s">
        <v>92</v>
      </c>
      <c r="G261" s="273"/>
      <c r="H261" s="267">
        <v>3</v>
      </c>
      <c r="I261" s="275"/>
      <c r="J261" s="276"/>
      <c r="K261" s="277"/>
    </row>
    <row r="262" spans="1:11" ht="19.5" x14ac:dyDescent="0.25">
      <c r="A262" s="267">
        <v>4</v>
      </c>
      <c r="B262" s="268" t="s">
        <v>94</v>
      </c>
      <c r="C262" s="269" t="s">
        <v>138</v>
      </c>
      <c r="D262" s="270"/>
      <c r="E262" s="271">
        <v>40828</v>
      </c>
      <c r="F262" s="272" t="s">
        <v>110</v>
      </c>
      <c r="G262" s="273"/>
      <c r="H262" s="267">
        <v>4</v>
      </c>
      <c r="I262" s="275"/>
      <c r="J262" s="276"/>
      <c r="K262" s="277"/>
    </row>
    <row r="263" spans="1:11" ht="19.5" x14ac:dyDescent="0.25">
      <c r="A263" s="267">
        <v>5</v>
      </c>
      <c r="B263" s="268" t="s">
        <v>94</v>
      </c>
      <c r="C263" s="269" t="s">
        <v>145</v>
      </c>
      <c r="D263" s="270"/>
      <c r="E263" s="271">
        <v>40778</v>
      </c>
      <c r="F263" s="272" t="s">
        <v>78</v>
      </c>
      <c r="G263" s="273"/>
      <c r="H263" s="267">
        <v>5</v>
      </c>
      <c r="I263" s="275"/>
      <c r="J263" s="276"/>
      <c r="K263" s="277"/>
    </row>
    <row r="264" spans="1:11" ht="19.5" x14ac:dyDescent="0.25">
      <c r="A264" s="267">
        <v>6</v>
      </c>
      <c r="B264" s="268" t="s">
        <v>94</v>
      </c>
      <c r="C264" s="269" t="s">
        <v>526</v>
      </c>
      <c r="D264" s="270"/>
      <c r="E264" s="271">
        <v>40636</v>
      </c>
      <c r="F264" s="272" t="s">
        <v>78</v>
      </c>
      <c r="G264" s="273"/>
      <c r="H264" s="267">
        <v>6</v>
      </c>
      <c r="I264" s="275"/>
      <c r="J264" s="276"/>
      <c r="K264" s="277"/>
    </row>
    <row r="265" spans="1:11" ht="19.5" x14ac:dyDescent="0.25">
      <c r="A265" s="267"/>
      <c r="B265" s="268"/>
      <c r="C265" s="269"/>
      <c r="D265" s="270"/>
      <c r="E265" s="271" t="s">
        <v>537</v>
      </c>
      <c r="F265" s="272"/>
      <c r="G265" s="273"/>
      <c r="H265" s="267"/>
      <c r="I265" s="275"/>
      <c r="J265" s="276"/>
      <c r="K265" s="277"/>
    </row>
    <row r="266" spans="1:11" ht="19.5" x14ac:dyDescent="0.25">
      <c r="A266" s="267">
        <v>1</v>
      </c>
      <c r="B266" s="268" t="s">
        <v>84</v>
      </c>
      <c r="C266" s="269" t="s">
        <v>135</v>
      </c>
      <c r="D266" s="270"/>
      <c r="E266" s="271">
        <v>40563</v>
      </c>
      <c r="F266" s="272" t="s">
        <v>92</v>
      </c>
      <c r="G266" s="273"/>
      <c r="H266" s="267">
        <v>1</v>
      </c>
      <c r="I266" s="275"/>
      <c r="J266" s="276"/>
      <c r="K266" s="277"/>
    </row>
    <row r="267" spans="1:11" ht="19.5" x14ac:dyDescent="0.25">
      <c r="A267" s="267">
        <v>2</v>
      </c>
      <c r="B267" s="268" t="s">
        <v>84</v>
      </c>
      <c r="C267" s="269" t="s">
        <v>137</v>
      </c>
      <c r="D267" s="270"/>
      <c r="E267" s="271">
        <v>40703</v>
      </c>
      <c r="F267" s="272" t="s">
        <v>110</v>
      </c>
      <c r="G267" s="273"/>
      <c r="H267" s="267">
        <v>2</v>
      </c>
      <c r="I267" s="275"/>
      <c r="J267" s="276"/>
      <c r="K267" s="277"/>
    </row>
    <row r="268" spans="1:11" ht="19.5" x14ac:dyDescent="0.25">
      <c r="A268" s="267">
        <v>3</v>
      </c>
      <c r="B268" s="268" t="s">
        <v>84</v>
      </c>
      <c r="C268" s="269" t="s">
        <v>134</v>
      </c>
      <c r="D268" s="270"/>
      <c r="E268" s="271">
        <v>40686</v>
      </c>
      <c r="F268" s="272" t="s">
        <v>78</v>
      </c>
      <c r="G268" s="273"/>
      <c r="H268" s="267">
        <v>3</v>
      </c>
      <c r="I268" s="275"/>
      <c r="J268" s="276"/>
      <c r="K268" s="277"/>
    </row>
    <row r="269" spans="1:11" ht="19.5" x14ac:dyDescent="0.25">
      <c r="A269" s="267">
        <v>4</v>
      </c>
      <c r="B269" s="268" t="s">
        <v>84</v>
      </c>
      <c r="C269" s="269" t="s">
        <v>132</v>
      </c>
      <c r="D269" s="270"/>
      <c r="E269" s="271">
        <v>40569</v>
      </c>
      <c r="F269" s="272" t="s">
        <v>92</v>
      </c>
      <c r="G269" s="273"/>
      <c r="H269" s="267">
        <v>4</v>
      </c>
      <c r="I269" s="275"/>
      <c r="J269" s="276"/>
      <c r="K269" s="277"/>
    </row>
    <row r="270" spans="1:11" ht="19.5" x14ac:dyDescent="0.25">
      <c r="A270" s="267">
        <v>5</v>
      </c>
      <c r="B270" s="268" t="s">
        <v>84</v>
      </c>
      <c r="C270" s="269" t="s">
        <v>133</v>
      </c>
      <c r="D270" s="270"/>
      <c r="E270" s="271">
        <v>40660</v>
      </c>
      <c r="F270" s="272" t="s">
        <v>78</v>
      </c>
      <c r="G270" s="273"/>
      <c r="H270" s="267">
        <v>5</v>
      </c>
      <c r="I270" s="275"/>
      <c r="J270" s="276"/>
      <c r="K270" s="277"/>
    </row>
    <row r="271" spans="1:11" ht="19.5" x14ac:dyDescent="0.25">
      <c r="A271" s="267">
        <v>6</v>
      </c>
      <c r="B271" s="268" t="s">
        <v>84</v>
      </c>
      <c r="C271" s="269" t="s">
        <v>538</v>
      </c>
      <c r="D271" s="270"/>
      <c r="E271" s="271">
        <v>40745</v>
      </c>
      <c r="F271" s="272" t="s">
        <v>112</v>
      </c>
      <c r="G271" s="273"/>
      <c r="H271" s="267">
        <v>6</v>
      </c>
      <c r="I271" s="275"/>
      <c r="J271" s="276"/>
      <c r="K271" s="277"/>
    </row>
    <row r="272" spans="1:11" ht="19.5" x14ac:dyDescent="0.25">
      <c r="A272" s="267"/>
      <c r="B272" s="268"/>
      <c r="C272" s="269" t="s">
        <v>226</v>
      </c>
      <c r="D272" s="270"/>
      <c r="E272" s="271"/>
      <c r="F272" s="272"/>
      <c r="G272" s="273"/>
      <c r="H272" s="267"/>
      <c r="I272" s="275"/>
      <c r="J272" s="276"/>
      <c r="K272" s="277"/>
    </row>
    <row r="273" spans="1:11" ht="19.5" x14ac:dyDescent="0.25">
      <c r="A273" s="267"/>
      <c r="B273" s="268"/>
      <c r="C273" s="269"/>
      <c r="D273" s="270"/>
      <c r="E273" s="271" t="s">
        <v>539</v>
      </c>
      <c r="F273" s="272"/>
      <c r="G273" s="273"/>
      <c r="H273" s="267"/>
      <c r="I273" s="275"/>
      <c r="J273" s="276"/>
      <c r="K273" s="277"/>
    </row>
    <row r="274" spans="1:11" ht="19.5" x14ac:dyDescent="0.25">
      <c r="A274" s="267">
        <v>1</v>
      </c>
      <c r="B274" s="268" t="s">
        <v>82</v>
      </c>
      <c r="C274" s="269" t="s">
        <v>170</v>
      </c>
      <c r="D274" s="270"/>
      <c r="E274" s="271">
        <v>41147</v>
      </c>
      <c r="F274" s="272" t="s">
        <v>92</v>
      </c>
      <c r="G274" s="273"/>
      <c r="H274" s="267">
        <v>1</v>
      </c>
      <c r="I274" s="275"/>
      <c r="J274" s="276"/>
      <c r="K274" s="277"/>
    </row>
    <row r="275" spans="1:11" ht="19.5" x14ac:dyDescent="0.25">
      <c r="A275" s="267">
        <v>2</v>
      </c>
      <c r="B275" s="268" t="s">
        <v>82</v>
      </c>
      <c r="C275" s="269" t="s">
        <v>169</v>
      </c>
      <c r="D275" s="270"/>
      <c r="E275" s="271">
        <v>41261</v>
      </c>
      <c r="F275" s="272" t="s">
        <v>92</v>
      </c>
      <c r="G275" s="273"/>
      <c r="H275" s="267">
        <v>2</v>
      </c>
      <c r="I275" s="275"/>
      <c r="J275" s="276"/>
      <c r="K275" s="277"/>
    </row>
    <row r="276" spans="1:11" ht="19.5" x14ac:dyDescent="0.25">
      <c r="A276" s="267">
        <v>3</v>
      </c>
      <c r="B276" s="268" t="s">
        <v>117</v>
      </c>
      <c r="C276" s="269" t="s">
        <v>164</v>
      </c>
      <c r="D276" s="270"/>
      <c r="E276" s="271">
        <v>41088</v>
      </c>
      <c r="F276" s="272" t="s">
        <v>87</v>
      </c>
      <c r="G276" s="273"/>
      <c r="H276" s="267">
        <v>3</v>
      </c>
      <c r="I276" s="275"/>
      <c r="J276" s="276"/>
      <c r="K276" s="277"/>
    </row>
    <row r="277" spans="1:11" ht="19.5" x14ac:dyDescent="0.25">
      <c r="A277" s="267">
        <v>4</v>
      </c>
      <c r="B277" s="268" t="s">
        <v>158</v>
      </c>
      <c r="C277" s="269" t="s">
        <v>168</v>
      </c>
      <c r="D277" s="270"/>
      <c r="E277" s="271">
        <v>41114</v>
      </c>
      <c r="F277" s="272" t="s">
        <v>87</v>
      </c>
      <c r="G277" s="273"/>
      <c r="H277" s="267">
        <v>4</v>
      </c>
      <c r="I277" s="275"/>
      <c r="J277" s="276"/>
      <c r="K277" s="277"/>
    </row>
    <row r="278" spans="1:11" ht="19.5" x14ac:dyDescent="0.25">
      <c r="A278" s="267">
        <v>5</v>
      </c>
      <c r="B278" s="268" t="s">
        <v>82</v>
      </c>
      <c r="C278" s="269" t="s">
        <v>506</v>
      </c>
      <c r="D278" s="270"/>
      <c r="E278" s="271">
        <v>40941</v>
      </c>
      <c r="F278" s="272" t="s">
        <v>81</v>
      </c>
      <c r="G278" s="273"/>
      <c r="H278" s="267">
        <v>5</v>
      </c>
      <c r="I278" s="275"/>
      <c r="J278" s="276"/>
      <c r="K278" s="277"/>
    </row>
    <row r="279" spans="1:11" ht="19.5" x14ac:dyDescent="0.25">
      <c r="A279" s="267">
        <v>6</v>
      </c>
      <c r="B279" s="268" t="s">
        <v>158</v>
      </c>
      <c r="C279" s="269" t="s">
        <v>195</v>
      </c>
      <c r="D279" s="270"/>
      <c r="E279" s="271">
        <v>41552</v>
      </c>
      <c r="F279" s="272" t="s">
        <v>87</v>
      </c>
      <c r="G279" s="273"/>
      <c r="H279" s="267">
        <v>6</v>
      </c>
      <c r="I279" s="275"/>
      <c r="J279" s="276"/>
      <c r="K279" s="277"/>
    </row>
    <row r="280" spans="1:11" ht="19.5" x14ac:dyDescent="0.25">
      <c r="A280" s="267"/>
      <c r="B280" s="268"/>
      <c r="C280" s="269"/>
      <c r="D280" s="270"/>
      <c r="E280" s="271" t="s">
        <v>540</v>
      </c>
      <c r="F280" s="272"/>
      <c r="G280" s="273"/>
      <c r="H280" s="267"/>
      <c r="I280" s="275"/>
      <c r="J280" s="276"/>
      <c r="K280" s="277"/>
    </row>
    <row r="281" spans="1:11" ht="19.5" x14ac:dyDescent="0.25">
      <c r="A281" s="267">
        <v>1</v>
      </c>
      <c r="B281" s="268" t="s">
        <v>82</v>
      </c>
      <c r="C281" s="269" t="s">
        <v>167</v>
      </c>
      <c r="D281" s="270"/>
      <c r="E281" s="271">
        <v>41124</v>
      </c>
      <c r="F281" s="272" t="s">
        <v>92</v>
      </c>
      <c r="G281" s="273"/>
      <c r="H281" s="267">
        <v>1</v>
      </c>
      <c r="I281" s="275"/>
      <c r="J281" s="276"/>
      <c r="K281" s="277"/>
    </row>
    <row r="282" spans="1:11" ht="19.5" x14ac:dyDescent="0.25">
      <c r="A282" s="267">
        <v>2</v>
      </c>
      <c r="B282" s="268" t="s">
        <v>117</v>
      </c>
      <c r="C282" s="269" t="s">
        <v>166</v>
      </c>
      <c r="D282" s="270"/>
      <c r="E282" s="271">
        <v>41210</v>
      </c>
      <c r="F282" s="272" t="s">
        <v>87</v>
      </c>
      <c r="G282" s="273"/>
      <c r="H282" s="267">
        <v>2</v>
      </c>
      <c r="I282" s="275"/>
      <c r="J282" s="276"/>
      <c r="K282" s="277"/>
    </row>
    <row r="283" spans="1:11" ht="19.5" x14ac:dyDescent="0.25">
      <c r="A283" s="267">
        <v>3</v>
      </c>
      <c r="B283" s="268" t="s">
        <v>82</v>
      </c>
      <c r="C283" s="269" t="s">
        <v>157</v>
      </c>
      <c r="D283" s="270"/>
      <c r="E283" s="271">
        <v>41139</v>
      </c>
      <c r="F283" s="272" t="s">
        <v>92</v>
      </c>
      <c r="G283" s="273"/>
      <c r="H283" s="267">
        <v>3</v>
      </c>
      <c r="I283" s="275"/>
      <c r="J283" s="276"/>
      <c r="K283" s="277"/>
    </row>
    <row r="284" spans="1:11" ht="19.5" x14ac:dyDescent="0.25">
      <c r="A284" s="267">
        <v>4</v>
      </c>
      <c r="B284" s="268" t="s">
        <v>117</v>
      </c>
      <c r="C284" s="269" t="s">
        <v>228</v>
      </c>
      <c r="D284" s="270"/>
      <c r="E284" s="271">
        <v>41021</v>
      </c>
      <c r="F284" s="272" t="s">
        <v>78</v>
      </c>
      <c r="G284" s="273"/>
      <c r="H284" s="267">
        <v>4</v>
      </c>
      <c r="I284" s="275"/>
      <c r="J284" s="276"/>
      <c r="K284" s="277"/>
    </row>
    <row r="285" spans="1:11" ht="19.5" x14ac:dyDescent="0.25">
      <c r="A285" s="267">
        <v>5</v>
      </c>
      <c r="B285" s="268" t="s">
        <v>117</v>
      </c>
      <c r="C285" s="269" t="s">
        <v>165</v>
      </c>
      <c r="D285" s="270"/>
      <c r="E285" s="271">
        <v>41059</v>
      </c>
      <c r="F285" s="272" t="s">
        <v>78</v>
      </c>
      <c r="G285" s="273"/>
      <c r="H285" s="267">
        <v>5</v>
      </c>
      <c r="I285" s="275"/>
      <c r="J285" s="276"/>
      <c r="K285" s="277"/>
    </row>
    <row r="286" spans="1:11" ht="19.5" x14ac:dyDescent="0.25">
      <c r="A286" s="267">
        <v>6</v>
      </c>
      <c r="B286" s="268" t="s">
        <v>158</v>
      </c>
      <c r="C286" s="269" t="s">
        <v>159</v>
      </c>
      <c r="D286" s="270"/>
      <c r="E286" s="271">
        <v>41130</v>
      </c>
      <c r="F286" s="272" t="s">
        <v>87</v>
      </c>
      <c r="G286" s="273"/>
      <c r="H286" s="267">
        <v>6</v>
      </c>
      <c r="I286" s="275"/>
      <c r="J286" s="276"/>
      <c r="K286" s="277"/>
    </row>
    <row r="287" spans="1:11" ht="19.5" x14ac:dyDescent="0.25">
      <c r="A287" s="267"/>
      <c r="B287" s="268"/>
      <c r="C287" s="269"/>
      <c r="D287" s="270"/>
      <c r="E287" s="271" t="s">
        <v>541</v>
      </c>
      <c r="F287" s="272"/>
      <c r="G287" s="273"/>
      <c r="H287" s="267"/>
      <c r="I287" s="275"/>
      <c r="J287" s="276"/>
      <c r="K287" s="277"/>
    </row>
    <row r="288" spans="1:11" ht="19.5" x14ac:dyDescent="0.25">
      <c r="A288" s="267">
        <v>1</v>
      </c>
      <c r="B288" s="268" t="s">
        <v>100</v>
      </c>
      <c r="C288" s="269" t="s">
        <v>156</v>
      </c>
      <c r="D288" s="270"/>
      <c r="E288" s="271">
        <v>41166</v>
      </c>
      <c r="F288" s="272" t="s">
        <v>112</v>
      </c>
      <c r="G288" s="273"/>
      <c r="H288" s="267">
        <v>1</v>
      </c>
      <c r="I288" s="275"/>
      <c r="J288" s="276"/>
      <c r="K288" s="277"/>
    </row>
    <row r="289" spans="1:11" ht="19.5" x14ac:dyDescent="0.25">
      <c r="A289" s="267">
        <v>2</v>
      </c>
      <c r="B289" s="268" t="s">
        <v>100</v>
      </c>
      <c r="C289" s="269" t="s">
        <v>155</v>
      </c>
      <c r="D289" s="270"/>
      <c r="E289" s="271">
        <v>40970</v>
      </c>
      <c r="F289" s="272" t="s">
        <v>87</v>
      </c>
      <c r="G289" s="273"/>
      <c r="H289" s="267">
        <v>2</v>
      </c>
      <c r="I289" s="275"/>
      <c r="J289" s="276"/>
      <c r="K289" s="277"/>
    </row>
    <row r="290" spans="1:11" ht="19.5" x14ac:dyDescent="0.25">
      <c r="A290" s="267">
        <v>3</v>
      </c>
      <c r="B290" s="268" t="s">
        <v>117</v>
      </c>
      <c r="C290" s="269" t="s">
        <v>161</v>
      </c>
      <c r="D290" s="270"/>
      <c r="E290" s="271">
        <v>41258</v>
      </c>
      <c r="F290" s="272" t="s">
        <v>81</v>
      </c>
      <c r="G290" s="273"/>
      <c r="H290" s="267">
        <v>3</v>
      </c>
      <c r="I290" s="275"/>
      <c r="J290" s="276"/>
      <c r="K290" s="277"/>
    </row>
    <row r="291" spans="1:11" ht="19.5" x14ac:dyDescent="0.25">
      <c r="A291" s="267">
        <v>4</v>
      </c>
      <c r="B291" s="268" t="s">
        <v>94</v>
      </c>
      <c r="C291" s="269" t="s">
        <v>227</v>
      </c>
      <c r="D291" s="270"/>
      <c r="E291" s="271">
        <v>41066</v>
      </c>
      <c r="F291" s="272" t="s">
        <v>112</v>
      </c>
      <c r="G291" s="273"/>
      <c r="H291" s="267">
        <v>4</v>
      </c>
      <c r="I291" s="275"/>
      <c r="J291" s="276"/>
      <c r="K291" s="277"/>
    </row>
    <row r="292" spans="1:11" ht="19.5" x14ac:dyDescent="0.25">
      <c r="A292" s="267">
        <v>5</v>
      </c>
      <c r="B292" s="268" t="s">
        <v>100</v>
      </c>
      <c r="C292" s="269" t="s">
        <v>162</v>
      </c>
      <c r="D292" s="270"/>
      <c r="E292" s="271">
        <v>41126</v>
      </c>
      <c r="F292" s="272" t="s">
        <v>78</v>
      </c>
      <c r="G292" s="273"/>
      <c r="H292" s="267">
        <v>5</v>
      </c>
      <c r="I292" s="275"/>
      <c r="J292" s="276"/>
      <c r="K292" s="277"/>
    </row>
    <row r="293" spans="1:11" ht="19.5" x14ac:dyDescent="0.25">
      <c r="A293" s="267">
        <v>6</v>
      </c>
      <c r="B293" s="268" t="s">
        <v>100</v>
      </c>
      <c r="C293" s="269" t="s">
        <v>160</v>
      </c>
      <c r="D293" s="270"/>
      <c r="E293" s="271">
        <v>41200</v>
      </c>
      <c r="F293" s="272" t="s">
        <v>110</v>
      </c>
      <c r="G293" s="273"/>
      <c r="H293" s="267">
        <v>6</v>
      </c>
      <c r="I293" s="275"/>
      <c r="J293" s="276"/>
      <c r="K293" s="277"/>
    </row>
    <row r="294" spans="1:11" ht="19.5" x14ac:dyDescent="0.25">
      <c r="A294" s="267"/>
      <c r="B294" s="268"/>
      <c r="C294" s="269" t="s">
        <v>229</v>
      </c>
      <c r="D294" s="270"/>
      <c r="E294" s="271"/>
      <c r="F294" s="272"/>
      <c r="G294" s="273"/>
      <c r="H294" s="267"/>
      <c r="I294" s="275"/>
      <c r="J294" s="276"/>
      <c r="K294" s="277"/>
    </row>
    <row r="295" spans="1:11" ht="19.5" x14ac:dyDescent="0.25">
      <c r="A295" s="267"/>
      <c r="B295" s="268"/>
      <c r="C295" s="269"/>
      <c r="D295" s="270"/>
      <c r="E295" s="271" t="s">
        <v>542</v>
      </c>
      <c r="F295" s="272"/>
      <c r="G295" s="273"/>
      <c r="H295" s="267"/>
      <c r="I295" s="275"/>
      <c r="J295" s="276"/>
      <c r="K295" s="277"/>
    </row>
    <row r="296" spans="1:11" ht="19.5" x14ac:dyDescent="0.25">
      <c r="A296" s="267">
        <v>1</v>
      </c>
      <c r="B296" s="268" t="s">
        <v>82</v>
      </c>
      <c r="C296" s="269" t="s">
        <v>191</v>
      </c>
      <c r="D296" s="270"/>
      <c r="E296" s="271">
        <v>41281</v>
      </c>
      <c r="F296" s="272" t="s">
        <v>92</v>
      </c>
      <c r="G296" s="273"/>
      <c r="H296" s="267">
        <v>1</v>
      </c>
      <c r="I296" s="275"/>
      <c r="J296" s="276"/>
      <c r="K296" s="277"/>
    </row>
    <row r="297" spans="1:11" ht="19.5" x14ac:dyDescent="0.25">
      <c r="A297" s="267">
        <v>2</v>
      </c>
      <c r="B297" s="268" t="s">
        <v>82</v>
      </c>
      <c r="C297" s="269" t="s">
        <v>512</v>
      </c>
      <c r="D297" s="270"/>
      <c r="E297" s="271">
        <v>41351</v>
      </c>
      <c r="F297" s="272" t="s">
        <v>92</v>
      </c>
      <c r="G297" s="273"/>
      <c r="H297" s="267">
        <v>2</v>
      </c>
      <c r="I297" s="275"/>
      <c r="J297" s="276"/>
      <c r="K297" s="277"/>
    </row>
    <row r="298" spans="1:11" ht="19.5" x14ac:dyDescent="0.25">
      <c r="A298" s="267">
        <v>3</v>
      </c>
      <c r="B298" s="268" t="s">
        <v>82</v>
      </c>
      <c r="C298" s="269" t="s">
        <v>190</v>
      </c>
      <c r="D298" s="270"/>
      <c r="E298" s="271">
        <v>41562</v>
      </c>
      <c r="F298" s="272" t="s">
        <v>92</v>
      </c>
      <c r="G298" s="273"/>
      <c r="H298" s="267">
        <v>3</v>
      </c>
      <c r="I298" s="275"/>
      <c r="J298" s="276"/>
      <c r="K298" s="277"/>
    </row>
    <row r="299" spans="1:11" ht="19.5" x14ac:dyDescent="0.25">
      <c r="A299" s="267">
        <v>4</v>
      </c>
      <c r="B299" s="268" t="s">
        <v>82</v>
      </c>
      <c r="C299" s="269" t="s">
        <v>194</v>
      </c>
      <c r="D299" s="270"/>
      <c r="E299" s="271">
        <v>41583</v>
      </c>
      <c r="F299" s="272" t="s">
        <v>92</v>
      </c>
      <c r="G299" s="273"/>
      <c r="H299" s="267">
        <v>4</v>
      </c>
      <c r="I299" s="275"/>
      <c r="J299" s="276"/>
      <c r="K299" s="277"/>
    </row>
    <row r="300" spans="1:11" ht="19.5" x14ac:dyDescent="0.25">
      <c r="A300" s="267">
        <v>5</v>
      </c>
      <c r="B300" s="268" t="s">
        <v>82</v>
      </c>
      <c r="C300" s="269" t="s">
        <v>514</v>
      </c>
      <c r="D300" s="270"/>
      <c r="E300" s="271">
        <v>41599</v>
      </c>
      <c r="F300" s="272" t="s">
        <v>92</v>
      </c>
      <c r="G300" s="273"/>
      <c r="H300" s="267">
        <v>5</v>
      </c>
      <c r="I300" s="275"/>
      <c r="J300" s="276"/>
      <c r="K300" s="277"/>
    </row>
    <row r="301" spans="1:11" ht="19.5" x14ac:dyDescent="0.25">
      <c r="A301" s="267">
        <v>6</v>
      </c>
      <c r="B301" s="268" t="s">
        <v>158</v>
      </c>
      <c r="C301" s="269" t="s">
        <v>197</v>
      </c>
      <c r="D301" s="270"/>
      <c r="E301" s="271">
        <v>41463</v>
      </c>
      <c r="F301" s="272" t="s">
        <v>87</v>
      </c>
      <c r="G301" s="273"/>
      <c r="H301" s="267">
        <v>6</v>
      </c>
      <c r="I301" s="275"/>
      <c r="J301" s="276"/>
      <c r="K301" s="277"/>
    </row>
    <row r="302" spans="1:11" ht="19.5" x14ac:dyDescent="0.25">
      <c r="A302" s="267"/>
      <c r="B302" s="268"/>
      <c r="C302" s="269"/>
      <c r="D302" s="270"/>
      <c r="E302" s="271" t="s">
        <v>543</v>
      </c>
      <c r="F302" s="272"/>
      <c r="G302" s="273"/>
      <c r="H302" s="267"/>
      <c r="I302" s="275"/>
      <c r="J302" s="276"/>
      <c r="K302" s="277"/>
    </row>
    <row r="303" spans="1:11" ht="19.5" x14ac:dyDescent="0.25">
      <c r="A303" s="267">
        <v>1</v>
      </c>
      <c r="B303" s="268" t="s">
        <v>117</v>
      </c>
      <c r="C303" s="269" t="s">
        <v>184</v>
      </c>
      <c r="D303" s="270"/>
      <c r="E303" s="271">
        <v>41553</v>
      </c>
      <c r="F303" s="272" t="s">
        <v>87</v>
      </c>
      <c r="G303" s="273"/>
      <c r="H303" s="267">
        <v>1</v>
      </c>
      <c r="I303" s="275"/>
      <c r="J303" s="276"/>
      <c r="K303" s="277"/>
    </row>
    <row r="304" spans="1:11" ht="19.5" x14ac:dyDescent="0.25">
      <c r="A304" s="267">
        <v>2</v>
      </c>
      <c r="B304" s="268" t="s">
        <v>100</v>
      </c>
      <c r="C304" s="269" t="s">
        <v>183</v>
      </c>
      <c r="D304" s="270"/>
      <c r="E304" s="271">
        <v>41539</v>
      </c>
      <c r="F304" s="272" t="s">
        <v>87</v>
      </c>
      <c r="G304" s="273"/>
      <c r="H304" s="267">
        <v>2</v>
      </c>
      <c r="I304" s="275"/>
      <c r="J304" s="276"/>
      <c r="K304" s="277"/>
    </row>
    <row r="305" spans="1:11" ht="19.5" x14ac:dyDescent="0.25">
      <c r="A305" s="267">
        <v>3</v>
      </c>
      <c r="B305" s="268" t="s">
        <v>82</v>
      </c>
      <c r="C305" s="269" t="s">
        <v>516</v>
      </c>
      <c r="D305" s="270"/>
      <c r="E305" s="271">
        <v>41457</v>
      </c>
      <c r="F305" s="272" t="s">
        <v>92</v>
      </c>
      <c r="G305" s="273"/>
      <c r="H305" s="267">
        <v>3</v>
      </c>
      <c r="I305" s="275"/>
      <c r="J305" s="276"/>
      <c r="K305" s="277"/>
    </row>
    <row r="306" spans="1:11" ht="19.5" x14ac:dyDescent="0.25">
      <c r="A306" s="267">
        <v>4</v>
      </c>
      <c r="B306" s="268" t="s">
        <v>82</v>
      </c>
      <c r="C306" s="269" t="s">
        <v>192</v>
      </c>
      <c r="D306" s="270"/>
      <c r="E306" s="271">
        <v>41505</v>
      </c>
      <c r="F306" s="272" t="s">
        <v>81</v>
      </c>
      <c r="G306" s="273"/>
      <c r="H306" s="267">
        <v>4</v>
      </c>
      <c r="I306" s="275"/>
      <c r="J306" s="276"/>
      <c r="K306" s="277"/>
    </row>
    <row r="307" spans="1:11" ht="19.5" x14ac:dyDescent="0.25">
      <c r="A307" s="267">
        <v>5</v>
      </c>
      <c r="B307" s="268" t="s">
        <v>82</v>
      </c>
      <c r="C307" s="269" t="s">
        <v>185</v>
      </c>
      <c r="D307" s="270"/>
      <c r="E307" s="271">
        <v>41335</v>
      </c>
      <c r="F307" s="272" t="s">
        <v>92</v>
      </c>
      <c r="G307" s="273"/>
      <c r="H307" s="267">
        <v>5</v>
      </c>
      <c r="I307" s="275"/>
      <c r="J307" s="276"/>
      <c r="K307" s="277"/>
    </row>
    <row r="308" spans="1:11" ht="19.5" x14ac:dyDescent="0.25">
      <c r="A308" s="267">
        <v>6</v>
      </c>
      <c r="B308" s="268" t="s">
        <v>117</v>
      </c>
      <c r="C308" s="269" t="s">
        <v>186</v>
      </c>
      <c r="D308" s="270"/>
      <c r="E308" s="271">
        <v>41418</v>
      </c>
      <c r="F308" s="272" t="s">
        <v>87</v>
      </c>
      <c r="G308" s="273"/>
      <c r="H308" s="267">
        <v>6</v>
      </c>
      <c r="I308" s="275"/>
      <c r="J308" s="276"/>
      <c r="K308" s="277"/>
    </row>
    <row r="309" spans="1:11" ht="19.5" x14ac:dyDescent="0.25">
      <c r="A309" s="267"/>
      <c r="B309" s="268"/>
      <c r="C309" s="269"/>
      <c r="D309" s="270"/>
      <c r="E309" s="271" t="s">
        <v>544</v>
      </c>
      <c r="F309" s="272"/>
      <c r="G309" s="273"/>
      <c r="H309" s="267"/>
      <c r="I309" s="275"/>
      <c r="J309" s="276"/>
      <c r="K309" s="277"/>
    </row>
    <row r="310" spans="1:11" ht="19.5" x14ac:dyDescent="0.25">
      <c r="A310" s="267">
        <v>1</v>
      </c>
      <c r="B310" s="268" t="s">
        <v>117</v>
      </c>
      <c r="C310" s="269" t="s">
        <v>179</v>
      </c>
      <c r="D310" s="270"/>
      <c r="E310" s="271">
        <v>41473</v>
      </c>
      <c r="F310" s="272" t="s">
        <v>87</v>
      </c>
      <c r="G310" s="273"/>
      <c r="H310" s="267">
        <v>1</v>
      </c>
      <c r="I310" s="275"/>
      <c r="J310" s="276"/>
      <c r="K310" s="277"/>
    </row>
    <row r="311" spans="1:11" ht="19.5" x14ac:dyDescent="0.25">
      <c r="A311" s="267">
        <v>2</v>
      </c>
      <c r="B311" s="268" t="s">
        <v>88</v>
      </c>
      <c r="C311" s="269" t="s">
        <v>520</v>
      </c>
      <c r="D311" s="270"/>
      <c r="E311" s="271">
        <v>41344</v>
      </c>
      <c r="F311" s="272" t="s">
        <v>90</v>
      </c>
      <c r="G311" s="273"/>
      <c r="H311" s="267">
        <v>2</v>
      </c>
      <c r="I311" s="275"/>
      <c r="J311" s="276"/>
      <c r="K311" s="277"/>
    </row>
    <row r="312" spans="1:11" ht="19.5" x14ac:dyDescent="0.25">
      <c r="A312" s="267">
        <v>3</v>
      </c>
      <c r="B312" s="268" t="s">
        <v>100</v>
      </c>
      <c r="C312" s="269" t="s">
        <v>180</v>
      </c>
      <c r="D312" s="270"/>
      <c r="E312" s="271">
        <v>41478</v>
      </c>
      <c r="F312" s="272" t="s">
        <v>81</v>
      </c>
      <c r="G312" s="273"/>
      <c r="H312" s="267">
        <v>3</v>
      </c>
      <c r="I312" s="275"/>
      <c r="J312" s="276"/>
      <c r="K312" s="277"/>
    </row>
    <row r="313" spans="1:11" ht="19.5" x14ac:dyDescent="0.25">
      <c r="A313" s="267">
        <v>4</v>
      </c>
      <c r="B313" s="268" t="s">
        <v>100</v>
      </c>
      <c r="C313" s="269" t="s">
        <v>182</v>
      </c>
      <c r="D313" s="270"/>
      <c r="E313" s="271">
        <v>41488</v>
      </c>
      <c r="F313" s="272" t="s">
        <v>78</v>
      </c>
      <c r="G313" s="273"/>
      <c r="H313" s="267">
        <v>4</v>
      </c>
      <c r="I313" s="275"/>
      <c r="J313" s="276"/>
      <c r="K313" s="277"/>
    </row>
    <row r="314" spans="1:11" ht="19.5" x14ac:dyDescent="0.25">
      <c r="A314" s="267">
        <v>5</v>
      </c>
      <c r="B314" s="268" t="s">
        <v>100</v>
      </c>
      <c r="C314" s="269" t="s">
        <v>231</v>
      </c>
      <c r="D314" s="270"/>
      <c r="E314" s="271">
        <v>41462</v>
      </c>
      <c r="F314" s="272" t="s">
        <v>110</v>
      </c>
      <c r="G314" s="273"/>
      <c r="H314" s="267">
        <v>5</v>
      </c>
      <c r="I314" s="275"/>
      <c r="J314" s="276"/>
      <c r="K314" s="277"/>
    </row>
    <row r="315" spans="1:11" ht="19.5" x14ac:dyDescent="0.25">
      <c r="A315" s="267">
        <v>6</v>
      </c>
      <c r="B315" s="268" t="s">
        <v>100</v>
      </c>
      <c r="C315" s="269" t="s">
        <v>181</v>
      </c>
      <c r="D315" s="270"/>
      <c r="E315" s="271">
        <v>41415</v>
      </c>
      <c r="F315" s="272" t="s">
        <v>87</v>
      </c>
      <c r="G315" s="273"/>
      <c r="H315" s="267">
        <v>6</v>
      </c>
      <c r="I315" s="275"/>
      <c r="J315" s="276"/>
      <c r="K315" s="277"/>
    </row>
    <row r="316" spans="1:11" ht="19.5" x14ac:dyDescent="0.25">
      <c r="A316" s="267"/>
      <c r="B316" s="268"/>
      <c r="C316" s="269"/>
      <c r="D316" s="270"/>
      <c r="E316" s="271"/>
      <c r="F316" s="272"/>
      <c r="G316" s="273"/>
      <c r="H316" s="267"/>
      <c r="I316" s="275"/>
      <c r="J316" s="276"/>
      <c r="K316" s="277"/>
    </row>
    <row r="317" spans="1:11" ht="19.5" x14ac:dyDescent="0.25">
      <c r="A317" s="267"/>
      <c r="B317" s="268"/>
      <c r="C317" s="269"/>
      <c r="D317" s="270"/>
      <c r="E317" s="271" t="s">
        <v>545</v>
      </c>
      <c r="F317" s="272"/>
      <c r="G317" s="273"/>
      <c r="H317" s="267"/>
      <c r="I317" s="275"/>
      <c r="J317" s="276"/>
      <c r="K317" s="277"/>
    </row>
    <row r="318" spans="1:11" ht="19.5" x14ac:dyDescent="0.25">
      <c r="A318" s="267">
        <v>1</v>
      </c>
      <c r="B318" s="268" t="s">
        <v>94</v>
      </c>
      <c r="C318" s="269" t="s">
        <v>175</v>
      </c>
      <c r="D318" s="270"/>
      <c r="E318" s="271">
        <v>41376</v>
      </c>
      <c r="F318" s="272" t="s">
        <v>110</v>
      </c>
      <c r="G318" s="273"/>
      <c r="H318" s="267">
        <v>1</v>
      </c>
      <c r="I318" s="275"/>
      <c r="J318" s="276"/>
      <c r="K318" s="277"/>
    </row>
    <row r="319" spans="1:11" ht="19.5" x14ac:dyDescent="0.25">
      <c r="A319" s="267">
        <v>2</v>
      </c>
      <c r="B319" s="268" t="s">
        <v>100</v>
      </c>
      <c r="C319" s="269" t="s">
        <v>172</v>
      </c>
      <c r="D319" s="270"/>
      <c r="E319" s="271">
        <v>41375</v>
      </c>
      <c r="F319" s="272" t="s">
        <v>78</v>
      </c>
      <c r="G319" s="273"/>
      <c r="H319" s="267">
        <v>2</v>
      </c>
      <c r="I319" s="275"/>
      <c r="J319" s="276"/>
      <c r="K319" s="277"/>
    </row>
    <row r="320" spans="1:11" ht="19.5" x14ac:dyDescent="0.25">
      <c r="A320" s="267">
        <v>3</v>
      </c>
      <c r="B320" s="268" t="s">
        <v>84</v>
      </c>
      <c r="C320" s="269" t="s">
        <v>173</v>
      </c>
      <c r="D320" s="270"/>
      <c r="E320" s="271">
        <v>41455</v>
      </c>
      <c r="F320" s="272" t="s">
        <v>78</v>
      </c>
      <c r="G320" s="273"/>
      <c r="H320" s="267">
        <v>3</v>
      </c>
      <c r="I320" s="275"/>
      <c r="J320" s="276"/>
      <c r="K320" s="277"/>
    </row>
    <row r="321" spans="1:11" ht="19.5" x14ac:dyDescent="0.25">
      <c r="A321" s="267">
        <v>4</v>
      </c>
      <c r="B321" s="268" t="s">
        <v>84</v>
      </c>
      <c r="C321" s="269" t="s">
        <v>230</v>
      </c>
      <c r="D321" s="270"/>
      <c r="E321" s="271">
        <v>41319</v>
      </c>
      <c r="F321" s="272" t="s">
        <v>112</v>
      </c>
      <c r="G321" s="273"/>
      <c r="H321" s="267">
        <v>4</v>
      </c>
      <c r="I321" s="275"/>
      <c r="J321" s="276"/>
      <c r="K321" s="277"/>
    </row>
    <row r="322" spans="1:11" ht="19.5" x14ac:dyDescent="0.25">
      <c r="A322" s="267">
        <v>5</v>
      </c>
      <c r="B322" s="268" t="s">
        <v>88</v>
      </c>
      <c r="C322" s="269" t="s">
        <v>178</v>
      </c>
      <c r="D322" s="270"/>
      <c r="E322" s="271">
        <v>41363</v>
      </c>
      <c r="F322" s="272" t="s">
        <v>90</v>
      </c>
      <c r="G322" s="273"/>
      <c r="H322" s="267">
        <v>5</v>
      </c>
      <c r="I322" s="275"/>
      <c r="J322" s="276"/>
      <c r="K322" s="277"/>
    </row>
    <row r="323" spans="1:11" ht="19.5" x14ac:dyDescent="0.25">
      <c r="A323" s="267">
        <v>6</v>
      </c>
      <c r="B323" s="268" t="s">
        <v>100</v>
      </c>
      <c r="C323" s="269" t="s">
        <v>176</v>
      </c>
      <c r="D323" s="270"/>
      <c r="E323" s="271">
        <v>41633</v>
      </c>
      <c r="F323" s="272" t="s">
        <v>78</v>
      </c>
      <c r="G323" s="273"/>
      <c r="H323" s="267">
        <v>6</v>
      </c>
      <c r="I323" s="275"/>
      <c r="J323" s="276"/>
      <c r="K323" s="277"/>
    </row>
    <row r="324" spans="1:11" ht="19.5" x14ac:dyDescent="0.25">
      <c r="A324" s="267"/>
      <c r="B324" s="268"/>
      <c r="C324" s="269"/>
      <c r="D324" s="270"/>
      <c r="E324" s="271"/>
      <c r="F324" s="272"/>
      <c r="G324" s="273"/>
      <c r="H324" s="267"/>
      <c r="I324" s="275"/>
      <c r="J324" s="276"/>
      <c r="K324" s="277"/>
    </row>
    <row r="325" spans="1:11" ht="19.5" x14ac:dyDescent="0.25">
      <c r="A325" s="267"/>
      <c r="B325" s="268"/>
      <c r="C325" s="269" t="s">
        <v>232</v>
      </c>
      <c r="D325" s="270"/>
      <c r="E325" s="271"/>
      <c r="F325" s="272"/>
      <c r="G325" s="273"/>
      <c r="H325" s="267"/>
      <c r="I325" s="275"/>
      <c r="J325" s="276"/>
      <c r="K325" s="277"/>
    </row>
    <row r="326" spans="1:11" ht="19.5" x14ac:dyDescent="0.25">
      <c r="A326" s="267"/>
      <c r="B326" s="268"/>
      <c r="C326" s="269"/>
      <c r="D326" s="270"/>
      <c r="E326" s="271" t="s">
        <v>546</v>
      </c>
      <c r="F326" s="272"/>
      <c r="G326" s="273"/>
      <c r="H326" s="267"/>
      <c r="I326" s="275"/>
      <c r="J326" s="276"/>
      <c r="K326" s="277"/>
    </row>
    <row r="327" spans="1:11" ht="19.5" x14ac:dyDescent="0.25">
      <c r="A327" s="267">
        <v>1</v>
      </c>
      <c r="B327" s="268" t="s">
        <v>84</v>
      </c>
      <c r="C327" s="269" t="s">
        <v>85</v>
      </c>
      <c r="D327" s="270"/>
      <c r="E327" s="271">
        <v>40691</v>
      </c>
      <c r="F327" s="272" t="s">
        <v>78</v>
      </c>
      <c r="G327" s="273"/>
      <c r="H327" s="267">
        <v>1</v>
      </c>
      <c r="I327" s="275"/>
      <c r="J327" s="276"/>
      <c r="K327" s="277"/>
    </row>
    <row r="328" spans="1:11" ht="19.5" x14ac:dyDescent="0.25">
      <c r="A328" s="267">
        <v>2</v>
      </c>
      <c r="B328" s="268" t="s">
        <v>84</v>
      </c>
      <c r="C328" s="269" t="s">
        <v>200</v>
      </c>
      <c r="D328" s="270"/>
      <c r="E328" s="271">
        <v>40734</v>
      </c>
      <c r="F328" s="272" t="s">
        <v>78</v>
      </c>
      <c r="G328" s="273"/>
      <c r="H328" s="267">
        <v>2</v>
      </c>
      <c r="I328" s="275"/>
      <c r="J328" s="276"/>
      <c r="K328" s="277"/>
    </row>
    <row r="329" spans="1:11" ht="19.5" x14ac:dyDescent="0.25">
      <c r="A329" s="267">
        <v>3</v>
      </c>
      <c r="B329" s="268" t="s">
        <v>79</v>
      </c>
      <c r="C329" s="269" t="s">
        <v>199</v>
      </c>
      <c r="D329" s="270"/>
      <c r="E329" s="271">
        <v>40731</v>
      </c>
      <c r="F329" s="272" t="s">
        <v>78</v>
      </c>
      <c r="G329" s="273"/>
      <c r="H329" s="267">
        <v>3</v>
      </c>
      <c r="I329" s="275"/>
      <c r="J329" s="276"/>
      <c r="K329" s="277"/>
    </row>
    <row r="330" spans="1:11" ht="19.5" x14ac:dyDescent="0.25">
      <c r="A330" s="267">
        <v>4</v>
      </c>
      <c r="B330" s="268" t="s">
        <v>84</v>
      </c>
      <c r="C330" s="269" t="s">
        <v>201</v>
      </c>
      <c r="D330" s="270"/>
      <c r="E330" s="271">
        <v>40854</v>
      </c>
      <c r="F330" s="272" t="s">
        <v>110</v>
      </c>
      <c r="G330" s="273"/>
      <c r="H330" s="267">
        <v>4</v>
      </c>
      <c r="I330" s="275"/>
      <c r="J330" s="276"/>
      <c r="K330" s="277"/>
    </row>
    <row r="331" spans="1:11" ht="19.5" x14ac:dyDescent="0.25">
      <c r="A331" s="267">
        <v>5</v>
      </c>
      <c r="B331" s="268" t="s">
        <v>84</v>
      </c>
      <c r="C331" s="269" t="s">
        <v>219</v>
      </c>
      <c r="D331" s="270"/>
      <c r="E331" s="271">
        <v>40816</v>
      </c>
      <c r="F331" s="272" t="s">
        <v>110</v>
      </c>
      <c r="G331" s="273"/>
      <c r="H331" s="267">
        <v>5</v>
      </c>
      <c r="I331" s="275"/>
      <c r="J331" s="276"/>
      <c r="K331" s="277"/>
    </row>
    <row r="332" spans="1:11" ht="19.5" x14ac:dyDescent="0.25">
      <c r="A332" s="267">
        <v>6</v>
      </c>
      <c r="B332" s="268"/>
      <c r="C332" s="269"/>
      <c r="D332" s="270"/>
      <c r="E332" s="271"/>
      <c r="F332" s="272"/>
      <c r="G332" s="273"/>
      <c r="H332" s="267">
        <v>6</v>
      </c>
      <c r="I332" s="275"/>
      <c r="J332" s="276"/>
      <c r="K332" s="277"/>
    </row>
    <row r="333" spans="1:11" ht="19.5" x14ac:dyDescent="0.25">
      <c r="A333" s="267"/>
      <c r="B333" s="268"/>
      <c r="C333" s="269" t="s">
        <v>233</v>
      </c>
      <c r="D333" s="270"/>
      <c r="E333" s="271"/>
      <c r="F333" s="272"/>
      <c r="G333" s="273"/>
      <c r="H333" s="267"/>
      <c r="I333" s="275"/>
      <c r="J333" s="276"/>
      <c r="K333" s="277"/>
    </row>
    <row r="334" spans="1:11" ht="19.5" x14ac:dyDescent="0.25">
      <c r="A334" s="267"/>
      <c r="B334" s="268"/>
      <c r="C334" s="269"/>
      <c r="D334" s="270"/>
      <c r="E334" s="271" t="s">
        <v>547</v>
      </c>
      <c r="F334" s="272"/>
      <c r="G334" s="273"/>
      <c r="H334" s="267"/>
      <c r="I334" s="275"/>
      <c r="J334" s="276"/>
      <c r="K334" s="277"/>
    </row>
    <row r="335" spans="1:11" ht="19.5" x14ac:dyDescent="0.25">
      <c r="A335" s="267">
        <v>1</v>
      </c>
      <c r="B335" s="268"/>
      <c r="C335" s="269"/>
      <c r="D335" s="270"/>
      <c r="E335" s="271"/>
      <c r="F335" s="272"/>
      <c r="G335" s="273"/>
      <c r="H335" s="267">
        <v>1</v>
      </c>
      <c r="I335" s="275"/>
      <c r="J335" s="276"/>
      <c r="K335" s="277"/>
    </row>
    <row r="336" spans="1:11" ht="19.5" x14ac:dyDescent="0.25">
      <c r="A336" s="267">
        <v>2</v>
      </c>
      <c r="B336" s="268" t="s">
        <v>94</v>
      </c>
      <c r="C336" s="269" t="s">
        <v>221</v>
      </c>
      <c r="D336" s="270"/>
      <c r="E336" s="271">
        <v>41196</v>
      </c>
      <c r="F336" s="272" t="s">
        <v>78</v>
      </c>
      <c r="G336" s="273"/>
      <c r="H336" s="267">
        <v>2</v>
      </c>
      <c r="I336" s="275"/>
      <c r="J336" s="276"/>
      <c r="K336" s="277"/>
    </row>
    <row r="337" spans="1:11" ht="19.5" x14ac:dyDescent="0.25">
      <c r="A337" s="267">
        <v>3</v>
      </c>
      <c r="B337" s="268" t="s">
        <v>76</v>
      </c>
      <c r="C337" s="269" t="s">
        <v>39</v>
      </c>
      <c r="D337" s="270"/>
      <c r="E337" s="271">
        <v>41177</v>
      </c>
      <c r="F337" s="272" t="s">
        <v>112</v>
      </c>
      <c r="G337" s="273"/>
      <c r="H337" s="267">
        <v>3</v>
      </c>
      <c r="I337" s="275"/>
      <c r="J337" s="276"/>
      <c r="K337" s="277"/>
    </row>
    <row r="338" spans="1:11" ht="19.5" x14ac:dyDescent="0.25">
      <c r="A338" s="267">
        <v>4</v>
      </c>
      <c r="B338" s="268" t="s">
        <v>84</v>
      </c>
      <c r="C338" s="269" t="s">
        <v>203</v>
      </c>
      <c r="D338" s="270"/>
      <c r="E338" s="271">
        <v>41064</v>
      </c>
      <c r="F338" s="272" t="s">
        <v>78</v>
      </c>
      <c r="G338" s="273"/>
      <c r="H338" s="267">
        <v>4</v>
      </c>
      <c r="I338" s="275"/>
      <c r="J338" s="276"/>
      <c r="K338" s="277"/>
    </row>
    <row r="339" spans="1:11" ht="19.5" x14ac:dyDescent="0.25">
      <c r="A339" s="267">
        <v>5</v>
      </c>
      <c r="B339" s="268"/>
      <c r="C339" s="269"/>
      <c r="D339" s="270"/>
      <c r="E339" s="271"/>
      <c r="F339" s="272"/>
      <c r="G339" s="273"/>
      <c r="H339" s="267">
        <v>5</v>
      </c>
      <c r="I339" s="275"/>
      <c r="J339" s="276"/>
      <c r="K339" s="277"/>
    </row>
    <row r="340" spans="1:11" ht="19.5" x14ac:dyDescent="0.25">
      <c r="A340" s="267">
        <v>6</v>
      </c>
      <c r="B340" s="268"/>
      <c r="C340" s="269"/>
      <c r="D340" s="270"/>
      <c r="E340" s="271"/>
      <c r="F340" s="272"/>
      <c r="G340" s="273"/>
      <c r="H340" s="267">
        <v>6</v>
      </c>
      <c r="I340" s="275"/>
      <c r="J340" s="276"/>
      <c r="K340" s="277"/>
    </row>
    <row r="341" spans="1:11" ht="19.5" x14ac:dyDescent="0.25">
      <c r="A341" s="267"/>
      <c r="B341" s="268"/>
      <c r="C341" s="269" t="s">
        <v>234</v>
      </c>
      <c r="D341" s="270"/>
      <c r="E341" s="271"/>
      <c r="F341" s="272"/>
      <c r="G341" s="273"/>
      <c r="H341" s="267"/>
      <c r="I341" s="275"/>
      <c r="J341" s="276"/>
      <c r="K341" s="277"/>
    </row>
    <row r="342" spans="1:11" ht="19.5" x14ac:dyDescent="0.25">
      <c r="A342" s="267"/>
      <c r="B342" s="268"/>
      <c r="C342" s="269"/>
      <c r="D342" s="270"/>
      <c r="E342" s="271" t="s">
        <v>548</v>
      </c>
      <c r="F342" s="272"/>
      <c r="G342" s="273"/>
      <c r="H342" s="267"/>
      <c r="I342" s="275"/>
      <c r="J342" s="276"/>
      <c r="K342" s="277"/>
    </row>
    <row r="343" spans="1:11" ht="19.5" x14ac:dyDescent="0.25">
      <c r="A343" s="267">
        <v>1</v>
      </c>
      <c r="B343" s="268" t="s">
        <v>84</v>
      </c>
      <c r="C343" s="269" t="s">
        <v>124</v>
      </c>
      <c r="D343" s="270"/>
      <c r="E343" s="271">
        <v>41346</v>
      </c>
      <c r="F343" s="272" t="s">
        <v>112</v>
      </c>
      <c r="G343" s="273"/>
      <c r="H343" s="267">
        <v>1</v>
      </c>
      <c r="I343" s="275"/>
      <c r="J343" s="276"/>
      <c r="K343" s="277"/>
    </row>
    <row r="344" spans="1:11" ht="19.5" x14ac:dyDescent="0.25">
      <c r="A344" s="267">
        <v>2</v>
      </c>
      <c r="B344" s="268" t="s">
        <v>84</v>
      </c>
      <c r="C344" s="269" t="s">
        <v>208</v>
      </c>
      <c r="D344" s="270"/>
      <c r="E344" s="271">
        <v>41550</v>
      </c>
      <c r="F344" s="272" t="s">
        <v>78</v>
      </c>
      <c r="G344" s="273"/>
      <c r="H344" s="267">
        <v>2</v>
      </c>
      <c r="I344" s="275"/>
      <c r="J344" s="276"/>
      <c r="K344" s="277"/>
    </row>
    <row r="345" spans="1:11" ht="19.5" x14ac:dyDescent="0.25">
      <c r="A345" s="267">
        <v>3</v>
      </c>
      <c r="B345" s="268" t="s">
        <v>76</v>
      </c>
      <c r="C345" s="269" t="s">
        <v>206</v>
      </c>
      <c r="D345" s="270"/>
      <c r="E345" s="271">
        <v>41296</v>
      </c>
      <c r="F345" s="272" t="s">
        <v>112</v>
      </c>
      <c r="G345" s="273"/>
      <c r="H345" s="267">
        <v>3</v>
      </c>
      <c r="I345" s="275"/>
      <c r="J345" s="276"/>
      <c r="K345" s="277"/>
    </row>
    <row r="346" spans="1:11" ht="19.5" x14ac:dyDescent="0.25">
      <c r="A346" s="267">
        <v>4</v>
      </c>
      <c r="B346" s="268" t="s">
        <v>84</v>
      </c>
      <c r="C346" s="269" t="s">
        <v>207</v>
      </c>
      <c r="D346" s="270"/>
      <c r="E346" s="271">
        <v>41626</v>
      </c>
      <c r="F346" s="272" t="s">
        <v>112</v>
      </c>
      <c r="G346" s="273"/>
      <c r="H346" s="267">
        <v>4</v>
      </c>
      <c r="I346" s="275"/>
      <c r="J346" s="276"/>
      <c r="K346" s="277"/>
    </row>
    <row r="347" spans="1:11" ht="19.5" x14ac:dyDescent="0.25">
      <c r="A347" s="267">
        <v>5</v>
      </c>
      <c r="B347" s="268" t="s">
        <v>84</v>
      </c>
      <c r="C347" s="269" t="s">
        <v>223</v>
      </c>
      <c r="D347" s="270"/>
      <c r="E347" s="271">
        <v>41302</v>
      </c>
      <c r="F347" s="272" t="s">
        <v>110</v>
      </c>
      <c r="G347" s="273"/>
      <c r="H347" s="267">
        <v>5</v>
      </c>
      <c r="I347" s="275"/>
      <c r="J347" s="276"/>
      <c r="K347" s="277"/>
    </row>
    <row r="348" spans="1:11" ht="19.5" x14ac:dyDescent="0.25">
      <c r="A348" s="267">
        <v>6</v>
      </c>
      <c r="B348" s="268" t="s">
        <v>94</v>
      </c>
      <c r="C348" s="269" t="s">
        <v>125</v>
      </c>
      <c r="D348" s="270"/>
      <c r="E348" s="271">
        <v>41347</v>
      </c>
      <c r="F348" s="272" t="s">
        <v>110</v>
      </c>
      <c r="G348" s="273"/>
      <c r="H348" s="267">
        <v>6</v>
      </c>
      <c r="I348" s="275"/>
      <c r="J348" s="276"/>
      <c r="K348" s="277"/>
    </row>
    <row r="349" spans="1:11" ht="106.15" customHeight="1" x14ac:dyDescent="0.25">
      <c r="A349" s="267"/>
      <c r="B349" s="268"/>
      <c r="C349" s="269"/>
      <c r="D349" s="270"/>
      <c r="E349" s="271"/>
      <c r="F349" s="272"/>
      <c r="G349" s="273"/>
      <c r="H349" s="267"/>
      <c r="I349" s="275"/>
      <c r="J349" s="276"/>
      <c r="K349" s="277"/>
    </row>
    <row r="350" spans="1:11" ht="19.5" x14ac:dyDescent="0.25">
      <c r="A350" s="267"/>
      <c r="B350" s="268"/>
      <c r="C350" s="269" t="s">
        <v>549</v>
      </c>
      <c r="D350" s="270"/>
      <c r="E350" s="271"/>
      <c r="F350" s="272"/>
      <c r="G350" s="273"/>
      <c r="H350" s="267"/>
      <c r="I350" s="275"/>
      <c r="J350" s="276"/>
      <c r="K350" s="277"/>
    </row>
    <row r="351" spans="1:11" ht="19.5" x14ac:dyDescent="0.25">
      <c r="A351" s="267"/>
      <c r="B351" s="268"/>
      <c r="C351" s="269"/>
      <c r="D351" s="270"/>
      <c r="E351" s="271" t="s">
        <v>550</v>
      </c>
      <c r="F351" s="272"/>
      <c r="G351" s="273"/>
      <c r="H351" s="267"/>
      <c r="I351" s="275"/>
      <c r="J351" s="276"/>
      <c r="K351" s="277"/>
    </row>
    <row r="352" spans="1:11" ht="19.5" x14ac:dyDescent="0.25">
      <c r="A352" s="267">
        <v>1</v>
      </c>
      <c r="B352" s="268" t="s">
        <v>84</v>
      </c>
      <c r="C352" s="269" t="s">
        <v>538</v>
      </c>
      <c r="D352" s="270"/>
      <c r="E352" s="271">
        <v>40745</v>
      </c>
      <c r="F352" s="272" t="s">
        <v>112</v>
      </c>
      <c r="G352" s="273"/>
      <c r="H352" s="267">
        <v>1</v>
      </c>
      <c r="I352" s="275"/>
      <c r="J352" s="276"/>
      <c r="K352" s="277"/>
    </row>
    <row r="353" spans="1:11" ht="19.5" x14ac:dyDescent="0.25">
      <c r="A353" s="267">
        <v>2</v>
      </c>
      <c r="B353" s="268" t="s">
        <v>94</v>
      </c>
      <c r="C353" s="269" t="s">
        <v>211</v>
      </c>
      <c r="D353" s="270"/>
      <c r="E353" s="271">
        <v>40867</v>
      </c>
      <c r="F353" s="272" t="s">
        <v>78</v>
      </c>
      <c r="G353" s="273"/>
      <c r="H353" s="267">
        <v>2</v>
      </c>
      <c r="I353" s="275"/>
      <c r="J353" s="276"/>
      <c r="K353" s="277"/>
    </row>
    <row r="354" spans="1:11" ht="19.5" x14ac:dyDescent="0.25">
      <c r="A354" s="267">
        <v>3</v>
      </c>
      <c r="B354" s="268" t="s">
        <v>84</v>
      </c>
      <c r="C354" s="269" t="s">
        <v>213</v>
      </c>
      <c r="D354" s="270"/>
      <c r="E354" s="271">
        <v>40986</v>
      </c>
      <c r="F354" s="272" t="s">
        <v>78</v>
      </c>
      <c r="G354" s="273"/>
      <c r="H354" s="267">
        <v>3</v>
      </c>
      <c r="I354" s="275"/>
      <c r="J354" s="276"/>
      <c r="K354" s="277"/>
    </row>
    <row r="355" spans="1:11" ht="19.5" x14ac:dyDescent="0.25">
      <c r="A355" s="267">
        <v>4</v>
      </c>
      <c r="B355" s="268" t="s">
        <v>84</v>
      </c>
      <c r="C355" s="269" t="s">
        <v>214</v>
      </c>
      <c r="D355" s="270"/>
      <c r="E355" s="271">
        <v>41061</v>
      </c>
      <c r="F355" s="272" t="s">
        <v>78</v>
      </c>
      <c r="G355" s="273"/>
      <c r="H355" s="267">
        <v>4</v>
      </c>
      <c r="I355" s="275"/>
      <c r="J355" s="276"/>
      <c r="K355" s="277"/>
    </row>
    <row r="356" spans="1:11" ht="19.5" x14ac:dyDescent="0.25">
      <c r="A356" s="267">
        <v>5</v>
      </c>
      <c r="B356" s="268" t="s">
        <v>94</v>
      </c>
      <c r="C356" s="269" t="s">
        <v>227</v>
      </c>
      <c r="D356" s="270"/>
      <c r="E356" s="271">
        <v>41066</v>
      </c>
      <c r="F356" s="272" t="s">
        <v>112</v>
      </c>
      <c r="G356" s="273"/>
      <c r="H356" s="267">
        <v>5</v>
      </c>
      <c r="I356" s="275"/>
      <c r="J356" s="276"/>
      <c r="K356" s="277"/>
    </row>
    <row r="357" spans="1:11" ht="19.5" x14ac:dyDescent="0.25">
      <c r="A357" s="267">
        <v>6</v>
      </c>
      <c r="B357" s="268"/>
      <c r="C357" s="269"/>
      <c r="D357" s="270"/>
      <c r="E357" s="271"/>
      <c r="F357" s="272"/>
      <c r="G357" s="273"/>
      <c r="H357" s="267">
        <v>6</v>
      </c>
      <c r="I357" s="275"/>
      <c r="J357" s="276"/>
      <c r="K357" s="277"/>
    </row>
    <row r="358" spans="1:11" ht="19.5" x14ac:dyDescent="0.25">
      <c r="A358" s="267"/>
      <c r="B358" s="268"/>
      <c r="C358" s="269" t="s">
        <v>237</v>
      </c>
      <c r="D358" s="270"/>
      <c r="E358" s="271"/>
      <c r="F358" s="272"/>
      <c r="G358" s="273"/>
      <c r="H358" s="267"/>
      <c r="I358" s="275"/>
      <c r="J358" s="276"/>
      <c r="K358" s="277"/>
    </row>
    <row r="359" spans="1:11" ht="19.5" x14ac:dyDescent="0.25">
      <c r="A359" s="267"/>
      <c r="B359" s="268"/>
      <c r="C359" s="269"/>
      <c r="D359" s="270"/>
      <c r="E359" s="271" t="s">
        <v>551</v>
      </c>
      <c r="F359" s="272"/>
      <c r="G359" s="273"/>
      <c r="H359" s="267"/>
      <c r="I359" s="275"/>
      <c r="J359" s="276"/>
      <c r="K359" s="277"/>
    </row>
    <row r="360" spans="1:11" ht="19.5" x14ac:dyDescent="0.25">
      <c r="A360" s="267">
        <v>1</v>
      </c>
      <c r="B360" s="268" t="s">
        <v>117</v>
      </c>
      <c r="C360" s="269" t="s">
        <v>187</v>
      </c>
      <c r="D360" s="270"/>
      <c r="E360" s="271">
        <v>41607</v>
      </c>
      <c r="F360" s="272" t="s">
        <v>112</v>
      </c>
      <c r="G360" s="273"/>
      <c r="H360" s="267">
        <v>1</v>
      </c>
      <c r="I360" s="275"/>
      <c r="J360" s="276"/>
      <c r="K360" s="277"/>
    </row>
    <row r="361" spans="1:11" ht="19.5" x14ac:dyDescent="0.25">
      <c r="A361" s="267">
        <v>2</v>
      </c>
      <c r="B361" s="268" t="s">
        <v>88</v>
      </c>
      <c r="C361" s="269" t="s">
        <v>217</v>
      </c>
      <c r="D361" s="270"/>
      <c r="E361" s="271">
        <v>41452</v>
      </c>
      <c r="F361" s="272" t="s">
        <v>90</v>
      </c>
      <c r="G361" s="273"/>
      <c r="H361" s="267">
        <v>2</v>
      </c>
      <c r="I361" s="275"/>
      <c r="J361" s="276"/>
      <c r="K361" s="277"/>
    </row>
    <row r="362" spans="1:11" ht="19.5" x14ac:dyDescent="0.25">
      <c r="A362" s="267">
        <v>3</v>
      </c>
      <c r="B362" s="268" t="s">
        <v>94</v>
      </c>
      <c r="C362" s="269" t="s">
        <v>177</v>
      </c>
      <c r="D362" s="270"/>
      <c r="E362" s="271">
        <v>41521</v>
      </c>
      <c r="F362" s="272" t="s">
        <v>112</v>
      </c>
      <c r="G362" s="273"/>
      <c r="H362" s="267">
        <v>3</v>
      </c>
      <c r="I362" s="275"/>
      <c r="J362" s="276"/>
      <c r="K362" s="277"/>
    </row>
    <row r="363" spans="1:11" ht="19.5" x14ac:dyDescent="0.25">
      <c r="A363" s="267">
        <v>4</v>
      </c>
      <c r="B363" s="268" t="s">
        <v>84</v>
      </c>
      <c r="C363" s="269" t="s">
        <v>230</v>
      </c>
      <c r="D363" s="270"/>
      <c r="E363" s="271">
        <v>41319</v>
      </c>
      <c r="F363" s="272" t="s">
        <v>112</v>
      </c>
      <c r="G363" s="273"/>
      <c r="H363" s="267">
        <v>4</v>
      </c>
      <c r="I363" s="275"/>
      <c r="J363" s="276"/>
      <c r="K363" s="277"/>
    </row>
    <row r="364" spans="1:11" ht="19.5" x14ac:dyDescent="0.25">
      <c r="A364" s="267">
        <v>5</v>
      </c>
      <c r="B364" s="268" t="s">
        <v>100</v>
      </c>
      <c r="C364" s="269" t="s">
        <v>216</v>
      </c>
      <c r="D364" s="270"/>
      <c r="E364" s="271">
        <v>41584</v>
      </c>
      <c r="F364" s="272" t="s">
        <v>98</v>
      </c>
      <c r="G364" s="273"/>
      <c r="H364" s="267">
        <v>5</v>
      </c>
      <c r="I364" s="275"/>
      <c r="J364" s="276"/>
      <c r="K364" s="277"/>
    </row>
    <row r="365" spans="1:11" ht="19.5" x14ac:dyDescent="0.25">
      <c r="A365" s="267">
        <v>6</v>
      </c>
      <c r="B365" s="268" t="s">
        <v>100</v>
      </c>
      <c r="C365" s="269" t="s">
        <v>231</v>
      </c>
      <c r="D365" s="270"/>
      <c r="E365" s="271">
        <v>41462</v>
      </c>
      <c r="F365" s="272" t="s">
        <v>110</v>
      </c>
      <c r="G365" s="273"/>
      <c r="H365" s="267">
        <v>6</v>
      </c>
      <c r="I365" s="275"/>
      <c r="J365" s="276"/>
      <c r="K365" s="277"/>
    </row>
    <row r="366" spans="1:11" ht="19.5" x14ac:dyDescent="0.25">
      <c r="A366" s="267"/>
      <c r="B366" s="268"/>
      <c r="C366" s="269"/>
      <c r="D366" s="270"/>
      <c r="E366" s="271"/>
      <c r="F366" s="272"/>
      <c r="G366" s="273"/>
      <c r="H366" s="267"/>
      <c r="I366" s="275"/>
      <c r="J366" s="276"/>
      <c r="K366" s="277"/>
    </row>
    <row r="367" spans="1:11" ht="19.5" x14ac:dyDescent="0.25">
      <c r="A367" s="267"/>
      <c r="B367" s="268"/>
      <c r="C367" s="269"/>
      <c r="D367" s="270"/>
      <c r="E367" s="271"/>
      <c r="F367" s="272"/>
      <c r="G367" s="273"/>
      <c r="H367" s="267"/>
      <c r="I367" s="275"/>
      <c r="J367" s="276"/>
      <c r="K367" s="277"/>
    </row>
    <row r="368" spans="1:11" ht="19.5" x14ac:dyDescent="0.25">
      <c r="A368" s="267"/>
      <c r="B368" s="268"/>
      <c r="C368" s="269"/>
      <c r="D368" s="270"/>
      <c r="E368" s="271"/>
      <c r="F368" s="272"/>
      <c r="G368" s="273"/>
      <c r="H368" s="267"/>
      <c r="I368" s="275"/>
      <c r="J368" s="276"/>
      <c r="K368" s="277"/>
    </row>
    <row r="369" spans="1:11" ht="19.5" x14ac:dyDescent="0.25">
      <c r="A369" s="267"/>
      <c r="B369" s="268"/>
      <c r="C369" s="269"/>
      <c r="D369" s="270"/>
      <c r="E369" s="271"/>
      <c r="F369" s="272"/>
      <c r="G369" s="273"/>
      <c r="H369" s="267"/>
      <c r="I369" s="275"/>
      <c r="J369" s="276"/>
      <c r="K369" s="277"/>
    </row>
    <row r="370" spans="1:11" ht="19.5" x14ac:dyDescent="0.25">
      <c r="A370" s="267"/>
      <c r="B370" s="268"/>
      <c r="C370" s="269"/>
      <c r="D370" s="270"/>
      <c r="E370" s="271"/>
      <c r="F370" s="272"/>
      <c r="G370" s="273"/>
      <c r="H370" s="267"/>
      <c r="I370" s="275"/>
      <c r="J370" s="276"/>
      <c r="K370" s="277"/>
    </row>
    <row r="371" spans="1:11" ht="19.5" x14ac:dyDescent="0.25">
      <c r="A371" s="267"/>
      <c r="B371" s="268"/>
      <c r="C371" s="269"/>
      <c r="D371" s="270"/>
      <c r="E371" s="271"/>
      <c r="F371" s="272"/>
      <c r="G371" s="273"/>
      <c r="H371" s="267"/>
      <c r="I371" s="275"/>
      <c r="J371" s="276"/>
      <c r="K371" s="277"/>
    </row>
    <row r="372" spans="1:11" ht="19.5" x14ac:dyDescent="0.25">
      <c r="A372" s="267"/>
      <c r="B372" s="268"/>
      <c r="C372" s="269"/>
      <c r="D372" s="270"/>
      <c r="E372" s="271"/>
      <c r="F372" s="272"/>
      <c r="G372" s="273"/>
      <c r="H372" s="267"/>
      <c r="I372" s="275"/>
      <c r="J372" s="276"/>
      <c r="K372" s="277"/>
    </row>
    <row r="373" spans="1:11" ht="19.5" x14ac:dyDescent="0.25">
      <c r="A373" s="267"/>
      <c r="B373" s="268"/>
      <c r="C373" s="269"/>
      <c r="D373" s="270"/>
      <c r="E373" s="271"/>
      <c r="F373" s="272"/>
      <c r="G373" s="273"/>
      <c r="H373" s="267"/>
      <c r="I373" s="275"/>
      <c r="J373" s="276"/>
      <c r="K373" s="277"/>
    </row>
    <row r="374" spans="1:11" ht="19.5" x14ac:dyDescent="0.25">
      <c r="A374" s="267"/>
      <c r="B374" s="268"/>
      <c r="C374" s="269"/>
      <c r="D374" s="270"/>
      <c r="E374" s="271"/>
      <c r="F374" s="272"/>
      <c r="G374" s="273"/>
      <c r="H374" s="267"/>
      <c r="I374" s="275"/>
      <c r="J374" s="276"/>
      <c r="K374" s="277"/>
    </row>
    <row r="375" spans="1:11" ht="19.5" x14ac:dyDescent="0.25">
      <c r="A375" s="267"/>
      <c r="B375" s="268"/>
      <c r="C375" s="269"/>
      <c r="D375" s="270"/>
      <c r="E375" s="271"/>
      <c r="F375" s="272"/>
      <c r="G375" s="273"/>
      <c r="H375" s="267"/>
      <c r="I375" s="275"/>
      <c r="J375" s="276"/>
      <c r="K375" s="277"/>
    </row>
    <row r="376" spans="1:11" ht="19.5" x14ac:dyDescent="0.25">
      <c r="A376" s="267"/>
      <c r="B376" s="268"/>
      <c r="C376" s="269"/>
      <c r="D376" s="270"/>
      <c r="E376" s="271"/>
      <c r="F376" s="272"/>
      <c r="G376" s="273"/>
      <c r="H376" s="267"/>
      <c r="I376" s="275"/>
      <c r="J376" s="276"/>
      <c r="K376" s="277"/>
    </row>
    <row r="377" spans="1:11" ht="19.5" x14ac:dyDescent="0.25">
      <c r="A377" s="267"/>
      <c r="B377" s="268"/>
      <c r="C377" s="269"/>
      <c r="D377" s="270"/>
      <c r="E377" s="271"/>
      <c r="F377" s="272"/>
      <c r="G377" s="273"/>
      <c r="H377" s="267"/>
      <c r="I377" s="275"/>
      <c r="J377" s="276"/>
      <c r="K377" s="277"/>
    </row>
    <row r="378" spans="1:11" ht="19.5" x14ac:dyDescent="0.25">
      <c r="A378" s="267"/>
      <c r="B378" s="268"/>
      <c r="C378" s="269"/>
      <c r="D378" s="270"/>
      <c r="E378" s="271"/>
      <c r="F378" s="272"/>
      <c r="G378" s="273"/>
      <c r="H378" s="267"/>
      <c r="I378" s="275"/>
      <c r="J378" s="276"/>
      <c r="K378" s="277"/>
    </row>
    <row r="379" spans="1:11" ht="19.5" x14ac:dyDescent="0.25">
      <c r="A379" s="267"/>
      <c r="B379" s="268"/>
      <c r="C379" s="269"/>
      <c r="D379" s="270"/>
      <c r="E379" s="271"/>
      <c r="F379" s="272"/>
      <c r="G379" s="273"/>
      <c r="H379" s="267"/>
      <c r="I379" s="275"/>
      <c r="J379" s="276"/>
      <c r="K379" s="277"/>
    </row>
    <row r="380" spans="1:11" ht="19.5" x14ac:dyDescent="0.25">
      <c r="A380" s="267"/>
      <c r="B380" s="268"/>
      <c r="C380" s="269"/>
      <c r="D380" s="270"/>
      <c r="E380" s="271"/>
      <c r="F380" s="272"/>
      <c r="G380" s="273"/>
      <c r="H380" s="267"/>
      <c r="I380" s="275"/>
      <c r="J380" s="276"/>
      <c r="K380" s="277"/>
    </row>
    <row r="381" spans="1:11" ht="19.5" x14ac:dyDescent="0.25">
      <c r="A381" s="267"/>
      <c r="B381" s="268"/>
      <c r="C381" s="269"/>
      <c r="D381" s="270"/>
      <c r="E381" s="271"/>
      <c r="F381" s="272"/>
      <c r="G381" s="273"/>
      <c r="H381" s="267"/>
      <c r="I381" s="275"/>
      <c r="J381" s="276"/>
      <c r="K381" s="277"/>
    </row>
    <row r="382" spans="1:11" ht="19.5" x14ac:dyDescent="0.25">
      <c r="A382" s="267"/>
      <c r="B382" s="268"/>
      <c r="C382" s="269"/>
      <c r="D382" s="270"/>
      <c r="E382" s="271"/>
      <c r="F382" s="272"/>
      <c r="G382" s="273"/>
      <c r="H382" s="267"/>
      <c r="I382" s="275"/>
      <c r="J382" s="276"/>
      <c r="K382" s="277"/>
    </row>
    <row r="383" spans="1:11" ht="19.5" x14ac:dyDescent="0.25">
      <c r="A383" s="267"/>
      <c r="B383" s="268"/>
      <c r="C383" s="269"/>
      <c r="D383" s="270"/>
      <c r="E383" s="271"/>
      <c r="F383" s="272"/>
      <c r="G383" s="273"/>
      <c r="H383" s="267"/>
      <c r="I383" s="275"/>
      <c r="J383" s="276"/>
      <c r="K383" s="277"/>
    </row>
    <row r="384" spans="1:11" ht="19.5" x14ac:dyDescent="0.25">
      <c r="A384" s="267"/>
      <c r="B384" s="268"/>
      <c r="C384" s="269"/>
      <c r="D384" s="270"/>
      <c r="E384" s="271"/>
      <c r="F384" s="272"/>
      <c r="G384" s="273"/>
      <c r="H384" s="267"/>
      <c r="I384" s="275"/>
      <c r="J384" s="276"/>
      <c r="K384" s="277"/>
    </row>
    <row r="385" spans="1:11" ht="19.5" x14ac:dyDescent="0.25">
      <c r="A385" s="267"/>
      <c r="B385" s="268"/>
      <c r="C385" s="269"/>
      <c r="D385" s="270"/>
      <c r="E385" s="271"/>
      <c r="F385" s="272"/>
      <c r="G385" s="273"/>
      <c r="H385" s="267"/>
      <c r="I385" s="275"/>
      <c r="J385" s="276"/>
      <c r="K385" s="277"/>
    </row>
    <row r="386" spans="1:11" ht="19.5" x14ac:dyDescent="0.25">
      <c r="A386" s="267"/>
      <c r="B386" s="268"/>
      <c r="C386" s="269"/>
      <c r="D386" s="270"/>
      <c r="E386" s="271"/>
      <c r="F386" s="272"/>
      <c r="G386" s="273"/>
      <c r="H386" s="267"/>
      <c r="I386" s="275"/>
      <c r="J386" s="276"/>
      <c r="K386" s="277"/>
    </row>
    <row r="387" spans="1:11" ht="19.5" x14ac:dyDescent="0.25">
      <c r="A387" s="267"/>
      <c r="B387" s="268"/>
      <c r="C387" s="269"/>
      <c r="D387" s="270"/>
      <c r="E387" s="271"/>
      <c r="F387" s="272"/>
      <c r="G387" s="273"/>
      <c r="H387" s="267"/>
      <c r="I387" s="275"/>
      <c r="J387" s="276"/>
      <c r="K387" s="277"/>
    </row>
    <row r="388" spans="1:11" ht="19.5" x14ac:dyDescent="0.25">
      <c r="A388" s="267"/>
      <c r="B388" s="268"/>
      <c r="C388" s="269"/>
      <c r="D388" s="270"/>
      <c r="E388" s="271"/>
      <c r="F388" s="272"/>
      <c r="G388" s="273"/>
      <c r="H388" s="267"/>
      <c r="I388" s="275"/>
      <c r="J388" s="276"/>
      <c r="K388" s="277"/>
    </row>
    <row r="389" spans="1:11" ht="19.5" x14ac:dyDescent="0.25">
      <c r="A389" s="267"/>
      <c r="B389" s="268"/>
      <c r="C389" s="269"/>
      <c r="D389" s="270"/>
      <c r="E389" s="271"/>
      <c r="F389" s="272"/>
      <c r="G389" s="273"/>
      <c r="H389" s="267"/>
      <c r="I389" s="275"/>
      <c r="J389" s="276"/>
      <c r="K389" s="277"/>
    </row>
    <row r="390" spans="1:11" ht="19.5" x14ac:dyDescent="0.25">
      <c r="A390" s="267"/>
      <c r="B390" s="268"/>
      <c r="C390" s="269"/>
      <c r="D390" s="270"/>
      <c r="E390" s="271"/>
      <c r="F390" s="272"/>
      <c r="G390" s="273"/>
      <c r="H390" s="267"/>
      <c r="I390" s="275"/>
      <c r="J390" s="276"/>
      <c r="K390" s="277"/>
    </row>
    <row r="391" spans="1:11" ht="19.5" x14ac:dyDescent="0.25">
      <c r="A391" s="267"/>
      <c r="B391" s="268"/>
      <c r="C391" s="269"/>
      <c r="D391" s="270"/>
      <c r="E391" s="271"/>
      <c r="F391" s="272"/>
      <c r="G391" s="273"/>
      <c r="H391" s="267"/>
      <c r="I391" s="275"/>
      <c r="J391" s="276"/>
      <c r="K391" s="277"/>
    </row>
    <row r="392" spans="1:11" ht="19.5" x14ac:dyDescent="0.25">
      <c r="A392" s="267"/>
      <c r="B392" s="268"/>
      <c r="C392" s="269"/>
      <c r="D392" s="270"/>
      <c r="E392" s="271"/>
      <c r="F392" s="272"/>
      <c r="G392" s="273"/>
      <c r="H392" s="267"/>
      <c r="I392" s="275"/>
      <c r="J392" s="276"/>
      <c r="K392" s="277"/>
    </row>
    <row r="393" spans="1:11" ht="19.5" x14ac:dyDescent="0.25">
      <c r="A393" s="267"/>
      <c r="B393" s="268"/>
      <c r="C393" s="269"/>
      <c r="D393" s="270"/>
      <c r="E393" s="271"/>
      <c r="F393" s="272"/>
      <c r="G393" s="273"/>
      <c r="H393" s="267"/>
      <c r="I393" s="275"/>
      <c r="J393" s="276"/>
      <c r="K393" s="277"/>
    </row>
    <row r="394" spans="1:11" ht="19.5" x14ac:dyDescent="0.25">
      <c r="A394" s="267"/>
      <c r="B394" s="268"/>
      <c r="C394" s="269"/>
      <c r="D394" s="270"/>
      <c r="E394" s="271"/>
      <c r="F394" s="272"/>
      <c r="G394" s="273"/>
      <c r="H394" s="267"/>
      <c r="I394" s="275"/>
      <c r="J394" s="276"/>
      <c r="K394" s="277"/>
    </row>
    <row r="395" spans="1:11" ht="19.5" x14ac:dyDescent="0.25">
      <c r="A395" s="267"/>
      <c r="B395" s="268"/>
      <c r="C395" s="269"/>
      <c r="D395" s="270"/>
      <c r="E395" s="271"/>
      <c r="F395" s="272"/>
      <c r="G395" s="273"/>
      <c r="H395" s="267"/>
      <c r="I395" s="275"/>
      <c r="J395" s="276"/>
      <c r="K395" s="277"/>
    </row>
    <row r="396" spans="1:11" ht="19.5" x14ac:dyDescent="0.25">
      <c r="A396" s="267"/>
      <c r="B396" s="268"/>
      <c r="C396" s="269"/>
      <c r="D396" s="270"/>
      <c r="E396" s="271"/>
      <c r="F396" s="272"/>
      <c r="G396" s="273"/>
      <c r="H396" s="267"/>
      <c r="I396" s="275"/>
      <c r="J396" s="276"/>
      <c r="K396" s="277"/>
    </row>
    <row r="397" spans="1:11" ht="19.5" x14ac:dyDescent="0.25">
      <c r="A397" s="267"/>
      <c r="B397" s="268"/>
      <c r="C397" s="269"/>
      <c r="D397" s="270"/>
      <c r="E397" s="271"/>
      <c r="F397" s="272"/>
      <c r="G397" s="273"/>
      <c r="H397" s="267"/>
      <c r="I397" s="275"/>
      <c r="J397" s="276"/>
      <c r="K397" s="277"/>
    </row>
    <row r="398" spans="1:11" ht="19.5" x14ac:dyDescent="0.25">
      <c r="A398" s="267"/>
      <c r="B398" s="268"/>
      <c r="C398" s="269"/>
      <c r="D398" s="270"/>
      <c r="E398" s="271"/>
      <c r="F398" s="272"/>
      <c r="G398" s="273"/>
      <c r="H398" s="267"/>
      <c r="I398" s="275"/>
      <c r="J398" s="276"/>
      <c r="K398" s="277"/>
    </row>
    <row r="399" spans="1:11" ht="19.5" x14ac:dyDescent="0.25">
      <c r="A399" s="267"/>
      <c r="B399" s="268"/>
      <c r="C399" s="269"/>
      <c r="D399" s="270"/>
      <c r="E399" s="271"/>
      <c r="F399" s="272"/>
      <c r="G399" s="273"/>
      <c r="H399" s="267"/>
      <c r="I399" s="275"/>
      <c r="J399" s="276"/>
      <c r="K399" s="277"/>
    </row>
    <row r="400" spans="1:11" ht="19.5" x14ac:dyDescent="0.25">
      <c r="A400" s="267"/>
      <c r="B400" s="268"/>
      <c r="C400" s="269"/>
      <c r="D400" s="270"/>
      <c r="E400" s="271"/>
      <c r="F400" s="272"/>
      <c r="G400" s="273"/>
      <c r="H400" s="267"/>
      <c r="I400" s="275"/>
      <c r="J400" s="276"/>
      <c r="K400" s="277"/>
    </row>
    <row r="401" spans="1:11" ht="19.5" x14ac:dyDescent="0.25">
      <c r="A401" s="267"/>
      <c r="B401" s="268"/>
      <c r="C401" s="269"/>
      <c r="D401" s="270"/>
      <c r="E401" s="271"/>
      <c r="F401" s="272"/>
      <c r="G401" s="273"/>
      <c r="H401" s="267"/>
      <c r="I401" s="275"/>
      <c r="J401" s="276"/>
      <c r="K401" s="277"/>
    </row>
    <row r="402" spans="1:11" ht="19.5" x14ac:dyDescent="0.25">
      <c r="A402" s="267"/>
      <c r="B402" s="268"/>
      <c r="C402" s="269"/>
      <c r="D402" s="270"/>
      <c r="E402" s="271"/>
      <c r="F402" s="272"/>
      <c r="G402" s="273"/>
      <c r="H402" s="267"/>
      <c r="I402" s="275"/>
      <c r="J402" s="276"/>
      <c r="K402" s="277"/>
    </row>
    <row r="403" spans="1:11" ht="19.5" x14ac:dyDescent="0.25">
      <c r="A403" s="267"/>
      <c r="B403" s="268"/>
      <c r="C403" s="269"/>
      <c r="D403" s="270"/>
      <c r="E403" s="271"/>
      <c r="F403" s="272"/>
      <c r="G403" s="273"/>
      <c r="H403" s="267"/>
      <c r="I403" s="275"/>
      <c r="J403" s="276"/>
      <c r="K403" s="277"/>
    </row>
    <row r="404" spans="1:11" ht="19.5" x14ac:dyDescent="0.25">
      <c r="A404" s="267"/>
      <c r="B404" s="268"/>
      <c r="C404" s="269"/>
      <c r="D404" s="270"/>
      <c r="E404" s="271"/>
      <c r="F404" s="272"/>
      <c r="G404" s="273"/>
      <c r="H404" s="267"/>
      <c r="I404" s="275"/>
      <c r="J404" s="276"/>
      <c r="K404" s="277"/>
    </row>
    <row r="405" spans="1:11" ht="19.5" x14ac:dyDescent="0.25">
      <c r="A405" s="267"/>
      <c r="B405" s="268"/>
      <c r="C405" s="269"/>
      <c r="D405" s="270"/>
      <c r="E405" s="271"/>
      <c r="F405" s="272"/>
      <c r="G405" s="273"/>
      <c r="H405" s="267"/>
      <c r="I405" s="275"/>
      <c r="J405" s="276"/>
      <c r="K405" s="277"/>
    </row>
    <row r="406" spans="1:11" ht="19.5" x14ac:dyDescent="0.25">
      <c r="A406" s="267"/>
      <c r="B406" s="268"/>
      <c r="C406" s="269"/>
      <c r="D406" s="270"/>
      <c r="E406" s="271"/>
      <c r="F406" s="272"/>
      <c r="G406" s="273"/>
      <c r="H406" s="267"/>
      <c r="I406" s="275"/>
      <c r="J406" s="276"/>
      <c r="K406" s="277"/>
    </row>
    <row r="407" spans="1:11" ht="19.5" x14ac:dyDescent="0.25">
      <c r="A407" s="267"/>
      <c r="B407" s="268"/>
      <c r="C407" s="269"/>
      <c r="D407" s="270"/>
      <c r="E407" s="271"/>
      <c r="F407" s="272"/>
      <c r="G407" s="273"/>
      <c r="H407" s="267"/>
      <c r="I407" s="275"/>
      <c r="J407" s="276"/>
      <c r="K407" s="277"/>
    </row>
    <row r="408" spans="1:11" ht="19.5" x14ac:dyDescent="0.25">
      <c r="A408" s="267"/>
      <c r="B408" s="268"/>
      <c r="C408" s="269"/>
      <c r="D408" s="270"/>
      <c r="E408" s="271"/>
      <c r="F408" s="272"/>
      <c r="G408" s="273"/>
      <c r="H408" s="267"/>
      <c r="I408" s="275"/>
      <c r="J408" s="276"/>
      <c r="K408" s="277"/>
    </row>
    <row r="409" spans="1:11" ht="19.5" x14ac:dyDescent="0.25">
      <c r="A409" s="267"/>
      <c r="B409" s="268"/>
      <c r="C409" s="269"/>
      <c r="D409" s="270"/>
      <c r="E409" s="271"/>
      <c r="F409" s="272"/>
      <c r="G409" s="273"/>
      <c r="H409" s="267"/>
      <c r="I409" s="275"/>
      <c r="J409" s="276"/>
      <c r="K409" s="277"/>
    </row>
    <row r="410" spans="1:11" ht="19.5" x14ac:dyDescent="0.25">
      <c r="A410" s="267"/>
      <c r="B410" s="268"/>
      <c r="C410" s="269"/>
      <c r="D410" s="270"/>
      <c r="E410" s="271"/>
      <c r="F410" s="272"/>
      <c r="G410" s="273"/>
      <c r="H410" s="267"/>
      <c r="I410" s="275"/>
      <c r="J410" s="276"/>
      <c r="K410" s="277"/>
    </row>
    <row r="411" spans="1:11" ht="19.5" x14ac:dyDescent="0.25">
      <c r="A411" s="267"/>
      <c r="B411" s="268"/>
      <c r="C411" s="269"/>
      <c r="D411" s="270"/>
      <c r="E411" s="271"/>
      <c r="F411" s="272"/>
      <c r="G411" s="273"/>
      <c r="H411" s="267"/>
      <c r="I411" s="275"/>
      <c r="J411" s="276"/>
      <c r="K411" s="277"/>
    </row>
    <row r="412" spans="1:11" ht="19.5" x14ac:dyDescent="0.25">
      <c r="A412" s="267"/>
      <c r="B412" s="268"/>
      <c r="C412" s="269"/>
      <c r="D412" s="270"/>
      <c r="E412" s="271"/>
      <c r="F412" s="272"/>
      <c r="G412" s="273"/>
      <c r="H412" s="267"/>
      <c r="I412" s="275"/>
      <c r="J412" s="276"/>
      <c r="K412" s="277"/>
    </row>
    <row r="413" spans="1:11" ht="19.5" x14ac:dyDescent="0.25">
      <c r="A413" s="267"/>
      <c r="B413" s="268"/>
      <c r="C413" s="269"/>
      <c r="D413" s="270"/>
      <c r="E413" s="271"/>
      <c r="F413" s="272"/>
      <c r="G413" s="273"/>
      <c r="H413" s="267"/>
      <c r="I413" s="275"/>
      <c r="J413" s="276"/>
      <c r="K413" s="277"/>
    </row>
    <row r="414" spans="1:11" ht="19.5" x14ac:dyDescent="0.25">
      <c r="A414" s="267"/>
      <c r="B414" s="268"/>
      <c r="C414" s="269"/>
      <c r="D414" s="270"/>
      <c r="E414" s="271"/>
      <c r="F414" s="272"/>
      <c r="G414" s="273"/>
      <c r="H414" s="267"/>
      <c r="I414" s="275"/>
      <c r="J414" s="276"/>
      <c r="K414" s="277"/>
    </row>
    <row r="415" spans="1:11" ht="19.5" x14ac:dyDescent="0.25">
      <c r="A415" s="267"/>
      <c r="B415" s="268"/>
      <c r="C415" s="269"/>
      <c r="D415" s="270"/>
      <c r="E415" s="271"/>
      <c r="F415" s="272"/>
      <c r="G415" s="273"/>
      <c r="H415" s="267"/>
      <c r="I415" s="275"/>
      <c r="J415" s="276"/>
      <c r="K415" s="277"/>
    </row>
    <row r="416" spans="1:11" ht="19.5" x14ac:dyDescent="0.25">
      <c r="A416" s="267"/>
      <c r="B416" s="268"/>
      <c r="C416" s="269"/>
      <c r="D416" s="270"/>
      <c r="E416" s="271"/>
      <c r="F416" s="272"/>
      <c r="G416" s="273"/>
      <c r="H416" s="267"/>
      <c r="I416" s="275"/>
      <c r="J416" s="276"/>
      <c r="K416" s="277"/>
    </row>
    <row r="417" spans="1:11" ht="19.5" x14ac:dyDescent="0.25">
      <c r="A417" s="267"/>
      <c r="B417" s="268"/>
      <c r="C417" s="269"/>
      <c r="D417" s="270"/>
      <c r="E417" s="271"/>
      <c r="F417" s="272"/>
      <c r="G417" s="273"/>
      <c r="H417" s="267"/>
      <c r="I417" s="275"/>
      <c r="J417" s="276"/>
      <c r="K417" s="277"/>
    </row>
    <row r="418" spans="1:11" ht="19.5" x14ac:dyDescent="0.25">
      <c r="A418" s="267"/>
      <c r="B418" s="268"/>
      <c r="C418" s="269"/>
      <c r="D418" s="270"/>
      <c r="E418" s="271"/>
      <c r="F418" s="272"/>
      <c r="G418" s="273"/>
      <c r="H418" s="267"/>
      <c r="I418" s="275"/>
      <c r="J418" s="276"/>
      <c r="K418" s="277"/>
    </row>
    <row r="419" spans="1:11" ht="19.5" x14ac:dyDescent="0.25">
      <c r="A419" s="267"/>
      <c r="B419" s="268"/>
      <c r="C419" s="269"/>
      <c r="D419" s="270"/>
      <c r="E419" s="271"/>
      <c r="F419" s="272"/>
      <c r="G419" s="273"/>
      <c r="H419" s="267"/>
      <c r="I419" s="275"/>
      <c r="J419" s="276"/>
      <c r="K419" s="277"/>
    </row>
    <row r="420" spans="1:11" ht="19.5" x14ac:dyDescent="0.25">
      <c r="A420" s="267"/>
      <c r="B420" s="268"/>
      <c r="C420" s="269"/>
      <c r="D420" s="270"/>
      <c r="E420" s="271"/>
      <c r="F420" s="272"/>
      <c r="G420" s="273"/>
      <c r="H420" s="267"/>
      <c r="I420" s="275"/>
      <c r="J420" s="276"/>
      <c r="K420" s="277"/>
    </row>
    <row r="421" spans="1:11" ht="19.5" x14ac:dyDescent="0.25">
      <c r="A421" s="267"/>
      <c r="B421" s="268"/>
      <c r="C421" s="269"/>
      <c r="D421" s="270"/>
      <c r="E421" s="271"/>
      <c r="F421" s="272"/>
      <c r="G421" s="273"/>
      <c r="H421" s="267"/>
      <c r="I421" s="275"/>
      <c r="J421" s="276"/>
      <c r="K421" s="277"/>
    </row>
    <row r="422" spans="1:11" ht="19.5" x14ac:dyDescent="0.25">
      <c r="A422" s="267"/>
      <c r="B422" s="268"/>
      <c r="C422" s="269"/>
      <c r="D422" s="270"/>
      <c r="E422" s="271"/>
      <c r="F422" s="272"/>
      <c r="G422" s="273"/>
      <c r="H422" s="267"/>
      <c r="I422" s="275"/>
      <c r="J422" s="276"/>
      <c r="K422" s="277"/>
    </row>
    <row r="423" spans="1:11" ht="19.5" x14ac:dyDescent="0.25">
      <c r="A423" s="267"/>
      <c r="B423" s="268"/>
      <c r="C423" s="269"/>
      <c r="D423" s="270"/>
      <c r="E423" s="271"/>
      <c r="F423" s="272"/>
      <c r="G423" s="273"/>
      <c r="H423" s="267"/>
      <c r="I423" s="275"/>
      <c r="J423" s="276"/>
      <c r="K423" s="277"/>
    </row>
    <row r="424" spans="1:11" ht="19.5" x14ac:dyDescent="0.25">
      <c r="A424" s="267"/>
      <c r="B424" s="268"/>
      <c r="C424" s="269"/>
      <c r="D424" s="270"/>
      <c r="E424" s="271"/>
      <c r="F424" s="272"/>
      <c r="G424" s="273"/>
      <c r="H424" s="267"/>
      <c r="I424" s="275"/>
      <c r="J424" s="276"/>
      <c r="K424" s="277"/>
    </row>
    <row r="425" spans="1:11" ht="19.5" x14ac:dyDescent="0.25">
      <c r="A425" s="267"/>
      <c r="B425" s="268"/>
      <c r="C425" s="269"/>
      <c r="D425" s="270"/>
      <c r="E425" s="271"/>
      <c r="F425" s="272"/>
      <c r="G425" s="273"/>
      <c r="H425" s="267"/>
      <c r="I425" s="275"/>
      <c r="J425" s="276"/>
      <c r="K425" s="277"/>
    </row>
    <row r="426" spans="1:11" ht="19.5" x14ac:dyDescent="0.25">
      <c r="A426" s="267"/>
      <c r="B426" s="268"/>
      <c r="C426" s="269"/>
      <c r="D426" s="270"/>
      <c r="E426" s="271"/>
      <c r="F426" s="272"/>
      <c r="G426" s="273"/>
      <c r="H426" s="267"/>
      <c r="I426" s="275"/>
      <c r="J426" s="276"/>
      <c r="K426" s="277"/>
    </row>
    <row r="427" spans="1:11" ht="19.5" x14ac:dyDescent="0.25">
      <c r="A427" s="267"/>
      <c r="B427" s="268"/>
      <c r="C427" s="269"/>
      <c r="D427" s="270"/>
      <c r="E427" s="271"/>
      <c r="F427" s="272"/>
      <c r="G427" s="273"/>
      <c r="H427" s="267"/>
      <c r="I427" s="275"/>
      <c r="J427" s="276"/>
      <c r="K427" s="277"/>
    </row>
    <row r="428" spans="1:11" ht="19.5" x14ac:dyDescent="0.25">
      <c r="A428" s="267"/>
      <c r="B428" s="268"/>
      <c r="C428" s="269"/>
      <c r="D428" s="270"/>
      <c r="E428" s="271"/>
      <c r="F428" s="272"/>
      <c r="G428" s="273"/>
      <c r="H428" s="267"/>
      <c r="I428" s="275"/>
      <c r="J428" s="276"/>
      <c r="K428" s="277"/>
    </row>
    <row r="429" spans="1:11" ht="19.5" x14ac:dyDescent="0.25">
      <c r="A429" s="267"/>
      <c r="B429" s="268"/>
      <c r="C429" s="269"/>
      <c r="D429" s="270"/>
      <c r="E429" s="271"/>
      <c r="F429" s="272"/>
      <c r="G429" s="273"/>
      <c r="H429" s="267"/>
      <c r="I429" s="275"/>
      <c r="J429" s="276"/>
      <c r="K429" s="277"/>
    </row>
    <row r="430" spans="1:11" ht="19.5" x14ac:dyDescent="0.25">
      <c r="A430" s="267"/>
      <c r="B430" s="268"/>
      <c r="C430" s="269"/>
      <c r="D430" s="270"/>
      <c r="E430" s="271"/>
      <c r="F430" s="272"/>
      <c r="G430" s="273"/>
      <c r="H430" s="267"/>
      <c r="I430" s="275"/>
      <c r="J430" s="276"/>
      <c r="K430" s="277"/>
    </row>
    <row r="431" spans="1:11" ht="19.5" x14ac:dyDescent="0.25">
      <c r="A431" s="267"/>
      <c r="B431" s="268"/>
      <c r="C431" s="269"/>
      <c r="D431" s="270"/>
      <c r="E431" s="271"/>
      <c r="F431" s="272"/>
      <c r="G431" s="273"/>
      <c r="H431" s="267"/>
      <c r="I431" s="275"/>
      <c r="J431" s="276"/>
      <c r="K431" s="277"/>
    </row>
    <row r="432" spans="1:11" ht="19.5" x14ac:dyDescent="0.25">
      <c r="A432" s="267"/>
      <c r="B432" s="268"/>
      <c r="C432" s="269"/>
      <c r="D432" s="270"/>
      <c r="E432" s="271"/>
      <c r="F432" s="272"/>
      <c r="G432" s="273"/>
      <c r="H432" s="267"/>
      <c r="I432" s="275" t="str">
        <f t="shared" ref="I432:I495" si="0">IF($D432="Заплыв №", "РЕЗУЛЬТАТ", " ")</f>
        <v xml:space="preserve"> </v>
      </c>
      <c r="J432" s="276" t="str">
        <f t="shared" ref="J432:J495" si="1">IF($D432="Заплыв №", "ФИНИШ", " ")</f>
        <v xml:space="preserve"> </v>
      </c>
      <c r="K432" s="277" t="str">
        <f t="shared" ref="K432:K495" si="2">IF($D432="Заплыв №", "ПРИМ.", " ")</f>
        <v xml:space="preserve"> </v>
      </c>
    </row>
    <row r="433" spans="1:11" ht="19.5" x14ac:dyDescent="0.25">
      <c r="A433" s="267"/>
      <c r="B433" s="268"/>
      <c r="C433" s="269"/>
      <c r="D433" s="270"/>
      <c r="E433" s="271"/>
      <c r="F433" s="272"/>
      <c r="G433" s="273"/>
      <c r="H433" s="267"/>
      <c r="I433" s="275" t="str">
        <f t="shared" si="0"/>
        <v xml:space="preserve"> </v>
      </c>
      <c r="J433" s="276" t="str">
        <f t="shared" si="1"/>
        <v xml:space="preserve"> </v>
      </c>
      <c r="K433" s="277" t="str">
        <f t="shared" si="2"/>
        <v xml:space="preserve"> </v>
      </c>
    </row>
    <row r="434" spans="1:11" ht="19.5" x14ac:dyDescent="0.25">
      <c r="A434" s="267"/>
      <c r="B434" s="268"/>
      <c r="C434" s="269"/>
      <c r="D434" s="270"/>
      <c r="E434" s="271"/>
      <c r="F434" s="272"/>
      <c r="G434" s="273"/>
      <c r="H434" s="267"/>
      <c r="I434" s="275" t="str">
        <f t="shared" si="0"/>
        <v xml:space="preserve"> </v>
      </c>
      <c r="J434" s="276" t="str">
        <f t="shared" si="1"/>
        <v xml:space="preserve"> </v>
      </c>
      <c r="K434" s="277" t="str">
        <f t="shared" si="2"/>
        <v xml:space="preserve"> </v>
      </c>
    </row>
    <row r="435" spans="1:11" ht="19.5" x14ac:dyDescent="0.25">
      <c r="A435" s="267"/>
      <c r="B435" s="268"/>
      <c r="C435" s="269"/>
      <c r="D435" s="270"/>
      <c r="E435" s="271"/>
      <c r="F435" s="272"/>
      <c r="G435" s="273"/>
      <c r="H435" s="267"/>
      <c r="I435" s="275" t="str">
        <f t="shared" si="0"/>
        <v xml:space="preserve"> </v>
      </c>
      <c r="J435" s="276" t="str">
        <f t="shared" si="1"/>
        <v xml:space="preserve"> </v>
      </c>
      <c r="K435" s="277" t="str">
        <f t="shared" si="2"/>
        <v xml:space="preserve"> </v>
      </c>
    </row>
    <row r="436" spans="1:11" ht="19.5" x14ac:dyDescent="0.25">
      <c r="A436" s="267"/>
      <c r="B436" s="268"/>
      <c r="C436" s="269"/>
      <c r="D436" s="270"/>
      <c r="E436" s="271"/>
      <c r="F436" s="272"/>
      <c r="G436" s="273"/>
      <c r="H436" s="267"/>
      <c r="I436" s="275" t="str">
        <f t="shared" si="0"/>
        <v xml:space="preserve"> </v>
      </c>
      <c r="J436" s="276" t="str">
        <f t="shared" si="1"/>
        <v xml:space="preserve"> </v>
      </c>
      <c r="K436" s="277" t="str">
        <f t="shared" si="2"/>
        <v xml:space="preserve"> </v>
      </c>
    </row>
    <row r="437" spans="1:11" ht="19.5" x14ac:dyDescent="0.25">
      <c r="A437" s="267"/>
      <c r="B437" s="268"/>
      <c r="C437" s="269"/>
      <c r="D437" s="270"/>
      <c r="E437" s="271"/>
      <c r="F437" s="272"/>
      <c r="G437" s="273"/>
      <c r="H437" s="267"/>
      <c r="I437" s="275" t="str">
        <f t="shared" si="0"/>
        <v xml:space="preserve"> </v>
      </c>
      <c r="J437" s="276" t="str">
        <f t="shared" si="1"/>
        <v xml:space="preserve"> </v>
      </c>
      <c r="K437" s="277" t="str">
        <f t="shared" si="2"/>
        <v xml:space="preserve"> </v>
      </c>
    </row>
    <row r="438" spans="1:11" ht="19.5" x14ac:dyDescent="0.25">
      <c r="A438" s="267"/>
      <c r="B438" s="268"/>
      <c r="C438" s="269"/>
      <c r="D438" s="270"/>
      <c r="E438" s="271"/>
      <c r="F438" s="272"/>
      <c r="G438" s="273"/>
      <c r="H438" s="267"/>
      <c r="I438" s="275" t="str">
        <f t="shared" si="0"/>
        <v xml:space="preserve"> </v>
      </c>
      <c r="J438" s="276" t="str">
        <f t="shared" si="1"/>
        <v xml:space="preserve"> </v>
      </c>
      <c r="K438" s="277" t="str">
        <f t="shared" si="2"/>
        <v xml:space="preserve"> </v>
      </c>
    </row>
    <row r="439" spans="1:11" ht="19.5" x14ac:dyDescent="0.25">
      <c r="A439" s="267"/>
      <c r="B439" s="268"/>
      <c r="C439" s="269"/>
      <c r="D439" s="270"/>
      <c r="E439" s="271"/>
      <c r="F439" s="272"/>
      <c r="G439" s="273"/>
      <c r="H439" s="267"/>
      <c r="I439" s="275" t="str">
        <f t="shared" si="0"/>
        <v xml:space="preserve"> </v>
      </c>
      <c r="J439" s="276" t="str">
        <f t="shared" si="1"/>
        <v xml:space="preserve"> </v>
      </c>
      <c r="K439" s="277" t="str">
        <f t="shared" si="2"/>
        <v xml:space="preserve"> </v>
      </c>
    </row>
    <row r="440" spans="1:11" ht="19.5" x14ac:dyDescent="0.25">
      <c r="A440" s="267"/>
      <c r="B440" s="268"/>
      <c r="C440" s="269"/>
      <c r="D440" s="270"/>
      <c r="E440" s="271"/>
      <c r="F440" s="272"/>
      <c r="G440" s="273"/>
      <c r="H440" s="267"/>
      <c r="I440" s="275" t="str">
        <f t="shared" si="0"/>
        <v xml:space="preserve"> </v>
      </c>
      <c r="J440" s="276" t="str">
        <f t="shared" si="1"/>
        <v xml:space="preserve"> </v>
      </c>
      <c r="K440" s="277" t="str">
        <f t="shared" si="2"/>
        <v xml:space="preserve"> </v>
      </c>
    </row>
    <row r="441" spans="1:11" ht="19.5" x14ac:dyDescent="0.25">
      <c r="A441" s="267"/>
      <c r="B441" s="268"/>
      <c r="C441" s="269"/>
      <c r="D441" s="270"/>
      <c r="E441" s="271"/>
      <c r="F441" s="272"/>
      <c r="G441" s="273"/>
      <c r="H441" s="267"/>
      <c r="I441" s="275" t="str">
        <f t="shared" si="0"/>
        <v xml:space="preserve"> </v>
      </c>
      <c r="J441" s="276" t="str">
        <f t="shared" si="1"/>
        <v xml:space="preserve"> </v>
      </c>
      <c r="K441" s="277" t="str">
        <f t="shared" si="2"/>
        <v xml:space="preserve"> </v>
      </c>
    </row>
    <row r="442" spans="1:11" ht="19.5" x14ac:dyDescent="0.25">
      <c r="A442" s="267"/>
      <c r="B442" s="268"/>
      <c r="C442" s="269"/>
      <c r="D442" s="270"/>
      <c r="E442" s="271"/>
      <c r="F442" s="272"/>
      <c r="G442" s="273"/>
      <c r="H442" s="267"/>
      <c r="I442" s="275" t="str">
        <f t="shared" si="0"/>
        <v xml:space="preserve"> </v>
      </c>
      <c r="J442" s="276" t="str">
        <f t="shared" si="1"/>
        <v xml:space="preserve"> </v>
      </c>
      <c r="K442" s="277" t="str">
        <f t="shared" si="2"/>
        <v xml:space="preserve"> </v>
      </c>
    </row>
    <row r="443" spans="1:11" ht="19.5" x14ac:dyDescent="0.25">
      <c r="A443" s="267"/>
      <c r="B443" s="268"/>
      <c r="C443" s="269"/>
      <c r="D443" s="270"/>
      <c r="E443" s="271"/>
      <c r="F443" s="272"/>
      <c r="G443" s="273"/>
      <c r="H443" s="267"/>
      <c r="I443" s="275" t="str">
        <f t="shared" si="0"/>
        <v xml:space="preserve"> </v>
      </c>
      <c r="J443" s="276" t="str">
        <f t="shared" si="1"/>
        <v xml:space="preserve"> </v>
      </c>
      <c r="K443" s="277" t="str">
        <f t="shared" si="2"/>
        <v xml:space="preserve"> </v>
      </c>
    </row>
    <row r="444" spans="1:11" ht="19.5" x14ac:dyDescent="0.25">
      <c r="A444" s="267"/>
      <c r="B444" s="268"/>
      <c r="C444" s="269"/>
      <c r="D444" s="270"/>
      <c r="E444" s="271"/>
      <c r="F444" s="272"/>
      <c r="G444" s="273"/>
      <c r="H444" s="267"/>
      <c r="I444" s="275" t="str">
        <f t="shared" si="0"/>
        <v xml:space="preserve"> </v>
      </c>
      <c r="J444" s="276" t="str">
        <f t="shared" si="1"/>
        <v xml:space="preserve"> </v>
      </c>
      <c r="K444" s="277" t="str">
        <f t="shared" si="2"/>
        <v xml:space="preserve"> </v>
      </c>
    </row>
    <row r="445" spans="1:11" ht="19.5" x14ac:dyDescent="0.25">
      <c r="A445" s="267"/>
      <c r="B445" s="268"/>
      <c r="C445" s="269"/>
      <c r="D445" s="270"/>
      <c r="E445" s="271"/>
      <c r="F445" s="272"/>
      <c r="G445" s="273"/>
      <c r="H445" s="267"/>
      <c r="I445" s="275" t="str">
        <f t="shared" si="0"/>
        <v xml:space="preserve"> </v>
      </c>
      <c r="J445" s="276" t="str">
        <f t="shared" si="1"/>
        <v xml:space="preserve"> </v>
      </c>
      <c r="K445" s="277" t="str">
        <f t="shared" si="2"/>
        <v xml:space="preserve"> </v>
      </c>
    </row>
    <row r="446" spans="1:11" ht="19.5" x14ac:dyDescent="0.25">
      <c r="A446" s="267"/>
      <c r="B446" s="268"/>
      <c r="C446" s="269"/>
      <c r="D446" s="270"/>
      <c r="E446" s="271"/>
      <c r="F446" s="272"/>
      <c r="G446" s="273"/>
      <c r="H446" s="267"/>
      <c r="I446" s="275" t="str">
        <f t="shared" si="0"/>
        <v xml:space="preserve"> </v>
      </c>
      <c r="J446" s="276" t="str">
        <f t="shared" si="1"/>
        <v xml:space="preserve"> </v>
      </c>
      <c r="K446" s="277" t="str">
        <f t="shared" si="2"/>
        <v xml:space="preserve"> </v>
      </c>
    </row>
    <row r="447" spans="1:11" ht="19.5" x14ac:dyDescent="0.25">
      <c r="A447" s="267"/>
      <c r="B447" s="268"/>
      <c r="C447" s="269"/>
      <c r="D447" s="270"/>
      <c r="E447" s="271"/>
      <c r="F447" s="272"/>
      <c r="G447" s="273"/>
      <c r="H447" s="267"/>
      <c r="I447" s="275" t="str">
        <f t="shared" si="0"/>
        <v xml:space="preserve"> </v>
      </c>
      <c r="J447" s="276" t="str">
        <f t="shared" si="1"/>
        <v xml:space="preserve"> </v>
      </c>
      <c r="K447" s="277" t="str">
        <f t="shared" si="2"/>
        <v xml:space="preserve"> </v>
      </c>
    </row>
    <row r="448" spans="1:11" ht="19.5" x14ac:dyDescent="0.25">
      <c r="A448" s="267"/>
      <c r="B448" s="268"/>
      <c r="C448" s="269"/>
      <c r="D448" s="270"/>
      <c r="E448" s="271"/>
      <c r="F448" s="272"/>
      <c r="G448" s="273"/>
      <c r="H448" s="267"/>
      <c r="I448" s="275" t="str">
        <f t="shared" si="0"/>
        <v xml:space="preserve"> </v>
      </c>
      <c r="J448" s="276" t="str">
        <f t="shared" si="1"/>
        <v xml:space="preserve"> </v>
      </c>
      <c r="K448" s="277" t="str">
        <f t="shared" si="2"/>
        <v xml:space="preserve"> </v>
      </c>
    </row>
    <row r="449" spans="1:11" ht="19.5" x14ac:dyDescent="0.25">
      <c r="A449" s="267"/>
      <c r="B449" s="268"/>
      <c r="C449" s="269"/>
      <c r="D449" s="270"/>
      <c r="E449" s="271"/>
      <c r="F449" s="272"/>
      <c r="G449" s="273"/>
      <c r="H449" s="267"/>
      <c r="I449" s="275" t="str">
        <f t="shared" si="0"/>
        <v xml:space="preserve"> </v>
      </c>
      <c r="J449" s="276" t="str">
        <f t="shared" si="1"/>
        <v xml:space="preserve"> </v>
      </c>
      <c r="K449" s="277" t="str">
        <f t="shared" si="2"/>
        <v xml:space="preserve"> </v>
      </c>
    </row>
    <row r="450" spans="1:11" ht="19.5" x14ac:dyDescent="0.25">
      <c r="A450" s="267"/>
      <c r="B450" s="268"/>
      <c r="C450" s="269"/>
      <c r="D450" s="270"/>
      <c r="E450" s="271"/>
      <c r="F450" s="272"/>
      <c r="G450" s="273"/>
      <c r="H450" s="274" t="str">
        <f t="shared" ref="H450:H513" si="3">IF(ISBLANK(A450), " ", A450)</f>
        <v xml:space="preserve"> </v>
      </c>
      <c r="I450" s="275" t="str">
        <f t="shared" si="0"/>
        <v xml:space="preserve"> </v>
      </c>
      <c r="J450" s="276" t="str">
        <f t="shared" si="1"/>
        <v xml:space="preserve"> </v>
      </c>
      <c r="K450" s="277" t="str">
        <f t="shared" si="2"/>
        <v xml:space="preserve"> </v>
      </c>
    </row>
    <row r="451" spans="1:11" ht="19.5" x14ac:dyDescent="0.25">
      <c r="A451" s="267"/>
      <c r="B451" s="268"/>
      <c r="C451" s="269"/>
      <c r="D451" s="270"/>
      <c r="E451" s="271"/>
      <c r="F451" s="272"/>
      <c r="G451" s="273"/>
      <c r="H451" s="274" t="str">
        <f t="shared" si="3"/>
        <v xml:space="preserve"> </v>
      </c>
      <c r="I451" s="275" t="str">
        <f t="shared" si="0"/>
        <v xml:space="preserve"> </v>
      </c>
      <c r="J451" s="276" t="str">
        <f t="shared" si="1"/>
        <v xml:space="preserve"> </v>
      </c>
      <c r="K451" s="277" t="str">
        <f t="shared" si="2"/>
        <v xml:space="preserve"> </v>
      </c>
    </row>
    <row r="452" spans="1:11" ht="19.5" x14ac:dyDescent="0.25">
      <c r="A452" s="267"/>
      <c r="B452" s="268"/>
      <c r="C452" s="269"/>
      <c r="D452" s="270"/>
      <c r="E452" s="271"/>
      <c r="F452" s="272"/>
      <c r="G452" s="273"/>
      <c r="H452" s="274" t="str">
        <f t="shared" si="3"/>
        <v xml:space="preserve"> </v>
      </c>
      <c r="I452" s="275" t="str">
        <f t="shared" si="0"/>
        <v xml:space="preserve"> </v>
      </c>
      <c r="J452" s="276" t="str">
        <f t="shared" si="1"/>
        <v xml:space="preserve"> </v>
      </c>
      <c r="K452" s="277" t="str">
        <f t="shared" si="2"/>
        <v xml:space="preserve"> </v>
      </c>
    </row>
    <row r="453" spans="1:11" ht="19.5" x14ac:dyDescent="0.25">
      <c r="A453" s="267"/>
      <c r="B453" s="268"/>
      <c r="C453" s="269"/>
      <c r="D453" s="270"/>
      <c r="E453" s="271"/>
      <c r="F453" s="272"/>
      <c r="G453" s="273"/>
      <c r="H453" s="274" t="str">
        <f t="shared" si="3"/>
        <v xml:space="preserve"> </v>
      </c>
      <c r="I453" s="275" t="str">
        <f t="shared" si="0"/>
        <v xml:space="preserve"> </v>
      </c>
      <c r="J453" s="276" t="str">
        <f t="shared" si="1"/>
        <v xml:space="preserve"> </v>
      </c>
      <c r="K453" s="277" t="str">
        <f t="shared" si="2"/>
        <v xml:space="preserve"> </v>
      </c>
    </row>
    <row r="454" spans="1:11" ht="19.5" x14ac:dyDescent="0.25">
      <c r="A454" s="267"/>
      <c r="B454" s="268"/>
      <c r="C454" s="269"/>
      <c r="D454" s="270"/>
      <c r="E454" s="271"/>
      <c r="F454" s="272"/>
      <c r="G454" s="273"/>
      <c r="H454" s="274" t="str">
        <f t="shared" si="3"/>
        <v xml:space="preserve"> </v>
      </c>
      <c r="I454" s="275" t="str">
        <f t="shared" si="0"/>
        <v xml:space="preserve"> </v>
      </c>
      <c r="J454" s="276" t="str">
        <f t="shared" si="1"/>
        <v xml:space="preserve"> </v>
      </c>
      <c r="K454" s="277" t="str">
        <f t="shared" si="2"/>
        <v xml:space="preserve"> </v>
      </c>
    </row>
    <row r="455" spans="1:11" ht="19.5" x14ac:dyDescent="0.25">
      <c r="A455" s="267"/>
      <c r="B455" s="268"/>
      <c r="C455" s="269"/>
      <c r="D455" s="270"/>
      <c r="E455" s="271"/>
      <c r="F455" s="272"/>
      <c r="G455" s="273"/>
      <c r="H455" s="274" t="str">
        <f t="shared" si="3"/>
        <v xml:space="preserve"> </v>
      </c>
      <c r="I455" s="275" t="str">
        <f t="shared" si="0"/>
        <v xml:space="preserve"> </v>
      </c>
      <c r="J455" s="276" t="str">
        <f t="shared" si="1"/>
        <v xml:space="preserve"> </v>
      </c>
      <c r="K455" s="277" t="str">
        <f t="shared" si="2"/>
        <v xml:space="preserve"> </v>
      </c>
    </row>
    <row r="456" spans="1:11" ht="19.5" x14ac:dyDescent="0.25">
      <c r="A456" s="267"/>
      <c r="B456" s="268"/>
      <c r="C456" s="269"/>
      <c r="D456" s="270"/>
      <c r="E456" s="271"/>
      <c r="F456" s="272"/>
      <c r="G456" s="273"/>
      <c r="H456" s="274" t="str">
        <f t="shared" si="3"/>
        <v xml:space="preserve"> </v>
      </c>
      <c r="I456" s="275" t="str">
        <f t="shared" si="0"/>
        <v xml:space="preserve"> </v>
      </c>
      <c r="J456" s="276" t="str">
        <f t="shared" si="1"/>
        <v xml:space="preserve"> </v>
      </c>
      <c r="K456" s="277" t="str">
        <f t="shared" si="2"/>
        <v xml:space="preserve"> </v>
      </c>
    </row>
    <row r="457" spans="1:11" ht="19.5" x14ac:dyDescent="0.25">
      <c r="A457" s="267"/>
      <c r="B457" s="268"/>
      <c r="C457" s="269"/>
      <c r="D457" s="270"/>
      <c r="E457" s="271"/>
      <c r="F457" s="272"/>
      <c r="G457" s="273"/>
      <c r="H457" s="274" t="str">
        <f t="shared" si="3"/>
        <v xml:space="preserve"> </v>
      </c>
      <c r="I457" s="275" t="str">
        <f t="shared" si="0"/>
        <v xml:space="preserve"> </v>
      </c>
      <c r="J457" s="276" t="str">
        <f t="shared" si="1"/>
        <v xml:space="preserve"> </v>
      </c>
      <c r="K457" s="277" t="str">
        <f t="shared" si="2"/>
        <v xml:space="preserve"> </v>
      </c>
    </row>
    <row r="458" spans="1:11" ht="19.5" x14ac:dyDescent="0.25">
      <c r="A458" s="267"/>
      <c r="B458" s="268"/>
      <c r="C458" s="269"/>
      <c r="D458" s="270"/>
      <c r="E458" s="271"/>
      <c r="F458" s="272"/>
      <c r="G458" s="273"/>
      <c r="H458" s="274" t="str">
        <f t="shared" si="3"/>
        <v xml:space="preserve"> </v>
      </c>
      <c r="I458" s="275" t="str">
        <f t="shared" si="0"/>
        <v xml:space="preserve"> </v>
      </c>
      <c r="J458" s="276" t="str">
        <f t="shared" si="1"/>
        <v xml:space="preserve"> </v>
      </c>
      <c r="K458" s="277" t="str">
        <f t="shared" si="2"/>
        <v xml:space="preserve"> </v>
      </c>
    </row>
    <row r="459" spans="1:11" ht="19.5" x14ac:dyDescent="0.25">
      <c r="A459" s="267"/>
      <c r="B459" s="268"/>
      <c r="C459" s="269"/>
      <c r="D459" s="270"/>
      <c r="E459" s="271"/>
      <c r="F459" s="272"/>
      <c r="G459" s="273"/>
      <c r="H459" s="274" t="str">
        <f t="shared" si="3"/>
        <v xml:space="preserve"> </v>
      </c>
      <c r="I459" s="275" t="str">
        <f t="shared" si="0"/>
        <v xml:space="preserve"> </v>
      </c>
      <c r="J459" s="276" t="str">
        <f t="shared" si="1"/>
        <v xml:space="preserve"> </v>
      </c>
      <c r="K459" s="277" t="str">
        <f t="shared" si="2"/>
        <v xml:space="preserve"> </v>
      </c>
    </row>
    <row r="460" spans="1:11" ht="19.5" x14ac:dyDescent="0.25">
      <c r="A460" s="267"/>
      <c r="B460" s="268"/>
      <c r="C460" s="269"/>
      <c r="D460" s="270"/>
      <c r="E460" s="271"/>
      <c r="F460" s="272"/>
      <c r="G460" s="273"/>
      <c r="H460" s="274" t="str">
        <f t="shared" si="3"/>
        <v xml:space="preserve"> </v>
      </c>
      <c r="I460" s="275" t="str">
        <f t="shared" si="0"/>
        <v xml:space="preserve"> </v>
      </c>
      <c r="J460" s="276" t="str">
        <f t="shared" si="1"/>
        <v xml:space="preserve"> </v>
      </c>
      <c r="K460" s="277" t="str">
        <f t="shared" si="2"/>
        <v xml:space="preserve"> </v>
      </c>
    </row>
    <row r="461" spans="1:11" ht="19.5" x14ac:dyDescent="0.25">
      <c r="A461" s="267"/>
      <c r="B461" s="268"/>
      <c r="C461" s="269"/>
      <c r="D461" s="270"/>
      <c r="E461" s="271"/>
      <c r="F461" s="272"/>
      <c r="G461" s="273"/>
      <c r="H461" s="274" t="str">
        <f t="shared" si="3"/>
        <v xml:space="preserve"> </v>
      </c>
      <c r="I461" s="275" t="str">
        <f t="shared" si="0"/>
        <v xml:space="preserve"> </v>
      </c>
      <c r="J461" s="276" t="str">
        <f t="shared" si="1"/>
        <v xml:space="preserve"> </v>
      </c>
      <c r="K461" s="277" t="str">
        <f t="shared" si="2"/>
        <v xml:space="preserve"> </v>
      </c>
    </row>
    <row r="462" spans="1:11" ht="19.5" x14ac:dyDescent="0.25">
      <c r="A462" s="267"/>
      <c r="B462" s="268"/>
      <c r="C462" s="269"/>
      <c r="D462" s="270"/>
      <c r="E462" s="271"/>
      <c r="F462" s="272"/>
      <c r="G462" s="273"/>
      <c r="H462" s="274" t="str">
        <f t="shared" si="3"/>
        <v xml:space="preserve"> </v>
      </c>
      <c r="I462" s="275" t="str">
        <f t="shared" si="0"/>
        <v xml:space="preserve"> </v>
      </c>
      <c r="J462" s="276" t="str">
        <f t="shared" si="1"/>
        <v xml:space="preserve"> </v>
      </c>
      <c r="K462" s="277" t="str">
        <f t="shared" si="2"/>
        <v xml:space="preserve"> </v>
      </c>
    </row>
    <row r="463" spans="1:11" ht="19.5" x14ac:dyDescent="0.25">
      <c r="A463" s="267"/>
      <c r="B463" s="268"/>
      <c r="C463" s="269"/>
      <c r="D463" s="270"/>
      <c r="E463" s="271"/>
      <c r="F463" s="272"/>
      <c r="G463" s="273"/>
      <c r="H463" s="274" t="str">
        <f t="shared" si="3"/>
        <v xml:space="preserve"> </v>
      </c>
      <c r="I463" s="275" t="str">
        <f t="shared" si="0"/>
        <v xml:space="preserve"> </v>
      </c>
      <c r="J463" s="276" t="str">
        <f t="shared" si="1"/>
        <v xml:space="preserve"> </v>
      </c>
      <c r="K463" s="277" t="str">
        <f t="shared" si="2"/>
        <v xml:space="preserve"> </v>
      </c>
    </row>
    <row r="464" spans="1:11" ht="19.5" x14ac:dyDescent="0.25">
      <c r="A464" s="267"/>
      <c r="B464" s="268"/>
      <c r="C464" s="269"/>
      <c r="D464" s="270"/>
      <c r="E464" s="271"/>
      <c r="F464" s="272"/>
      <c r="G464" s="273"/>
      <c r="H464" s="274" t="str">
        <f t="shared" si="3"/>
        <v xml:space="preserve"> </v>
      </c>
      <c r="I464" s="275" t="str">
        <f t="shared" si="0"/>
        <v xml:space="preserve"> </v>
      </c>
      <c r="J464" s="276" t="str">
        <f t="shared" si="1"/>
        <v xml:space="preserve"> </v>
      </c>
      <c r="K464" s="277" t="str">
        <f t="shared" si="2"/>
        <v xml:space="preserve"> </v>
      </c>
    </row>
    <row r="465" spans="1:11" ht="19.5" x14ac:dyDescent="0.25">
      <c r="A465" s="267"/>
      <c r="B465" s="268"/>
      <c r="C465" s="269"/>
      <c r="D465" s="270"/>
      <c r="E465" s="271"/>
      <c r="F465" s="272"/>
      <c r="G465" s="273"/>
      <c r="H465" s="274" t="str">
        <f t="shared" si="3"/>
        <v xml:space="preserve"> </v>
      </c>
      <c r="I465" s="275" t="str">
        <f t="shared" si="0"/>
        <v xml:space="preserve"> </v>
      </c>
      <c r="J465" s="276" t="str">
        <f t="shared" si="1"/>
        <v xml:space="preserve"> </v>
      </c>
      <c r="K465" s="277" t="str">
        <f t="shared" si="2"/>
        <v xml:space="preserve"> </v>
      </c>
    </row>
    <row r="466" spans="1:11" ht="19.5" x14ac:dyDescent="0.25">
      <c r="A466" s="267"/>
      <c r="B466" s="268"/>
      <c r="C466" s="269"/>
      <c r="D466" s="270"/>
      <c r="E466" s="271"/>
      <c r="F466" s="272"/>
      <c r="G466" s="273"/>
      <c r="H466" s="274" t="str">
        <f t="shared" si="3"/>
        <v xml:space="preserve"> </v>
      </c>
      <c r="I466" s="275" t="str">
        <f t="shared" si="0"/>
        <v xml:space="preserve"> </v>
      </c>
      <c r="J466" s="276" t="str">
        <f t="shared" si="1"/>
        <v xml:space="preserve"> </v>
      </c>
      <c r="K466" s="277" t="str">
        <f t="shared" si="2"/>
        <v xml:space="preserve"> </v>
      </c>
    </row>
    <row r="467" spans="1:11" ht="19.5" x14ac:dyDescent="0.25">
      <c r="A467" s="267"/>
      <c r="B467" s="268"/>
      <c r="C467" s="269"/>
      <c r="D467" s="270"/>
      <c r="E467" s="271"/>
      <c r="F467" s="272"/>
      <c r="G467" s="273"/>
      <c r="H467" s="274" t="str">
        <f t="shared" si="3"/>
        <v xml:space="preserve"> </v>
      </c>
      <c r="I467" s="275" t="str">
        <f t="shared" si="0"/>
        <v xml:space="preserve"> </v>
      </c>
      <c r="J467" s="276" t="str">
        <f t="shared" si="1"/>
        <v xml:space="preserve"> </v>
      </c>
      <c r="K467" s="277" t="str">
        <f t="shared" si="2"/>
        <v xml:space="preserve"> </v>
      </c>
    </row>
    <row r="468" spans="1:11" ht="19.5" x14ac:dyDescent="0.25">
      <c r="A468" s="267"/>
      <c r="B468" s="268"/>
      <c r="C468" s="269"/>
      <c r="D468" s="270"/>
      <c r="E468" s="271"/>
      <c r="F468" s="272"/>
      <c r="G468" s="273"/>
      <c r="H468" s="274" t="str">
        <f t="shared" si="3"/>
        <v xml:space="preserve"> </v>
      </c>
      <c r="I468" s="275" t="str">
        <f t="shared" si="0"/>
        <v xml:space="preserve"> </v>
      </c>
      <c r="J468" s="276" t="str">
        <f t="shared" si="1"/>
        <v xml:space="preserve"> </v>
      </c>
      <c r="K468" s="277" t="str">
        <f t="shared" si="2"/>
        <v xml:space="preserve"> </v>
      </c>
    </row>
    <row r="469" spans="1:11" ht="19.5" x14ac:dyDescent="0.25">
      <c r="A469" s="267"/>
      <c r="B469" s="268"/>
      <c r="C469" s="269"/>
      <c r="D469" s="270"/>
      <c r="E469" s="271"/>
      <c r="F469" s="272"/>
      <c r="G469" s="273"/>
      <c r="H469" s="274" t="str">
        <f t="shared" si="3"/>
        <v xml:space="preserve"> </v>
      </c>
      <c r="I469" s="275" t="str">
        <f t="shared" si="0"/>
        <v xml:space="preserve"> </v>
      </c>
      <c r="J469" s="276" t="str">
        <f t="shared" si="1"/>
        <v xml:space="preserve"> </v>
      </c>
      <c r="K469" s="277" t="str">
        <f t="shared" si="2"/>
        <v xml:space="preserve"> </v>
      </c>
    </row>
    <row r="470" spans="1:11" ht="19.5" x14ac:dyDescent="0.25">
      <c r="A470" s="267"/>
      <c r="B470" s="268"/>
      <c r="C470" s="269"/>
      <c r="D470" s="270"/>
      <c r="E470" s="271"/>
      <c r="F470" s="272"/>
      <c r="G470" s="273"/>
      <c r="H470" s="274" t="str">
        <f t="shared" si="3"/>
        <v xml:space="preserve"> </v>
      </c>
      <c r="I470" s="275" t="str">
        <f t="shared" si="0"/>
        <v xml:space="preserve"> </v>
      </c>
      <c r="J470" s="276" t="str">
        <f t="shared" si="1"/>
        <v xml:space="preserve"> </v>
      </c>
      <c r="K470" s="277" t="str">
        <f t="shared" si="2"/>
        <v xml:space="preserve"> </v>
      </c>
    </row>
    <row r="471" spans="1:11" ht="19.5" x14ac:dyDescent="0.25">
      <c r="A471" s="267"/>
      <c r="B471" s="268"/>
      <c r="C471" s="269"/>
      <c r="D471" s="270"/>
      <c r="E471" s="271"/>
      <c r="F471" s="272"/>
      <c r="G471" s="273"/>
      <c r="H471" s="274" t="str">
        <f t="shared" si="3"/>
        <v xml:space="preserve"> </v>
      </c>
      <c r="I471" s="275" t="str">
        <f t="shared" si="0"/>
        <v xml:space="preserve"> </v>
      </c>
      <c r="J471" s="276" t="str">
        <f t="shared" si="1"/>
        <v xml:space="preserve"> </v>
      </c>
      <c r="K471" s="277" t="str">
        <f t="shared" si="2"/>
        <v xml:space="preserve"> </v>
      </c>
    </row>
    <row r="472" spans="1:11" ht="19.5" x14ac:dyDescent="0.25">
      <c r="A472" s="267"/>
      <c r="B472" s="268"/>
      <c r="C472" s="269"/>
      <c r="D472" s="270"/>
      <c r="E472" s="271"/>
      <c r="F472" s="272"/>
      <c r="G472" s="273"/>
      <c r="H472" s="274" t="str">
        <f t="shared" si="3"/>
        <v xml:space="preserve"> </v>
      </c>
      <c r="I472" s="275" t="str">
        <f t="shared" si="0"/>
        <v xml:space="preserve"> </v>
      </c>
      <c r="J472" s="276" t="str">
        <f t="shared" si="1"/>
        <v xml:space="preserve"> </v>
      </c>
      <c r="K472" s="277" t="str">
        <f t="shared" si="2"/>
        <v xml:space="preserve"> </v>
      </c>
    </row>
    <row r="473" spans="1:11" ht="19.5" x14ac:dyDescent="0.25">
      <c r="A473" s="267"/>
      <c r="B473" s="268"/>
      <c r="C473" s="269"/>
      <c r="D473" s="270"/>
      <c r="E473" s="271"/>
      <c r="F473" s="272"/>
      <c r="G473" s="273"/>
      <c r="H473" s="274" t="str">
        <f t="shared" si="3"/>
        <v xml:space="preserve"> </v>
      </c>
      <c r="I473" s="275" t="str">
        <f t="shared" si="0"/>
        <v xml:space="preserve"> </v>
      </c>
      <c r="J473" s="276" t="str">
        <f t="shared" si="1"/>
        <v xml:space="preserve"> </v>
      </c>
      <c r="K473" s="277" t="str">
        <f t="shared" si="2"/>
        <v xml:space="preserve"> </v>
      </c>
    </row>
    <row r="474" spans="1:11" ht="19.5" x14ac:dyDescent="0.25">
      <c r="A474" s="267"/>
      <c r="B474" s="268"/>
      <c r="C474" s="269"/>
      <c r="D474" s="270"/>
      <c r="E474" s="271"/>
      <c r="F474" s="272"/>
      <c r="G474" s="273"/>
      <c r="H474" s="274" t="str">
        <f t="shared" si="3"/>
        <v xml:space="preserve"> </v>
      </c>
      <c r="I474" s="275" t="str">
        <f t="shared" si="0"/>
        <v xml:space="preserve"> </v>
      </c>
      <c r="J474" s="276" t="str">
        <f t="shared" si="1"/>
        <v xml:space="preserve"> </v>
      </c>
      <c r="K474" s="277" t="str">
        <f t="shared" si="2"/>
        <v xml:space="preserve"> </v>
      </c>
    </row>
    <row r="475" spans="1:11" ht="19.5" x14ac:dyDescent="0.25">
      <c r="A475" s="267"/>
      <c r="B475" s="268"/>
      <c r="C475" s="269"/>
      <c r="D475" s="270"/>
      <c r="E475" s="271"/>
      <c r="F475" s="272"/>
      <c r="G475" s="273"/>
      <c r="H475" s="274" t="str">
        <f t="shared" si="3"/>
        <v xml:space="preserve"> </v>
      </c>
      <c r="I475" s="275" t="str">
        <f t="shared" si="0"/>
        <v xml:space="preserve"> </v>
      </c>
      <c r="J475" s="276" t="str">
        <f t="shared" si="1"/>
        <v xml:space="preserve"> </v>
      </c>
      <c r="K475" s="277" t="str">
        <f t="shared" si="2"/>
        <v xml:space="preserve"> </v>
      </c>
    </row>
    <row r="476" spans="1:11" ht="19.5" x14ac:dyDescent="0.25">
      <c r="A476" s="267"/>
      <c r="B476" s="268"/>
      <c r="C476" s="269"/>
      <c r="D476" s="270"/>
      <c r="E476" s="271"/>
      <c r="F476" s="272"/>
      <c r="G476" s="273"/>
      <c r="H476" s="274" t="str">
        <f t="shared" si="3"/>
        <v xml:space="preserve"> </v>
      </c>
      <c r="I476" s="275" t="str">
        <f t="shared" si="0"/>
        <v xml:space="preserve"> </v>
      </c>
      <c r="J476" s="276" t="str">
        <f t="shared" si="1"/>
        <v xml:space="preserve"> </v>
      </c>
      <c r="K476" s="277" t="str">
        <f t="shared" si="2"/>
        <v xml:space="preserve"> </v>
      </c>
    </row>
    <row r="477" spans="1:11" ht="19.5" x14ac:dyDescent="0.25">
      <c r="A477" s="267"/>
      <c r="B477" s="268"/>
      <c r="C477" s="269"/>
      <c r="D477" s="270"/>
      <c r="E477" s="271"/>
      <c r="F477" s="272"/>
      <c r="G477" s="273"/>
      <c r="H477" s="274" t="str">
        <f t="shared" si="3"/>
        <v xml:space="preserve"> </v>
      </c>
      <c r="I477" s="275" t="str">
        <f t="shared" si="0"/>
        <v xml:space="preserve"> </v>
      </c>
      <c r="J477" s="276" t="str">
        <f t="shared" si="1"/>
        <v xml:space="preserve"> </v>
      </c>
      <c r="K477" s="277" t="str">
        <f t="shared" si="2"/>
        <v xml:space="preserve"> </v>
      </c>
    </row>
    <row r="478" spans="1:11" ht="19.5" x14ac:dyDescent="0.25">
      <c r="A478" s="267"/>
      <c r="B478" s="268"/>
      <c r="C478" s="269"/>
      <c r="D478" s="270"/>
      <c r="E478" s="271"/>
      <c r="F478" s="272"/>
      <c r="G478" s="273"/>
      <c r="H478" s="274" t="str">
        <f t="shared" si="3"/>
        <v xml:space="preserve"> </v>
      </c>
      <c r="I478" s="275" t="str">
        <f t="shared" si="0"/>
        <v xml:space="preserve"> </v>
      </c>
      <c r="J478" s="276" t="str">
        <f t="shared" si="1"/>
        <v xml:space="preserve"> </v>
      </c>
      <c r="K478" s="277" t="str">
        <f t="shared" si="2"/>
        <v xml:space="preserve"> </v>
      </c>
    </row>
    <row r="479" spans="1:11" ht="19.5" x14ac:dyDescent="0.25">
      <c r="A479" s="267"/>
      <c r="B479" s="268"/>
      <c r="C479" s="269"/>
      <c r="D479" s="270"/>
      <c r="E479" s="271"/>
      <c r="F479" s="272"/>
      <c r="G479" s="273"/>
      <c r="H479" s="274" t="str">
        <f t="shared" si="3"/>
        <v xml:space="preserve"> </v>
      </c>
      <c r="I479" s="275" t="str">
        <f t="shared" si="0"/>
        <v xml:space="preserve"> </v>
      </c>
      <c r="J479" s="276" t="str">
        <f t="shared" si="1"/>
        <v xml:space="preserve"> </v>
      </c>
      <c r="K479" s="277" t="str">
        <f t="shared" si="2"/>
        <v xml:space="preserve"> </v>
      </c>
    </row>
    <row r="480" spans="1:11" ht="19.5" x14ac:dyDescent="0.25">
      <c r="A480" s="267"/>
      <c r="B480" s="268"/>
      <c r="C480" s="269"/>
      <c r="D480" s="270"/>
      <c r="E480" s="271"/>
      <c r="F480" s="272"/>
      <c r="G480" s="273"/>
      <c r="H480" s="274" t="str">
        <f t="shared" si="3"/>
        <v xml:space="preserve"> </v>
      </c>
      <c r="I480" s="275" t="str">
        <f t="shared" si="0"/>
        <v xml:space="preserve"> </v>
      </c>
      <c r="J480" s="276" t="str">
        <f t="shared" si="1"/>
        <v xml:space="preserve"> </v>
      </c>
      <c r="K480" s="277" t="str">
        <f t="shared" si="2"/>
        <v xml:space="preserve"> </v>
      </c>
    </row>
    <row r="481" spans="1:11" ht="19.5" x14ac:dyDescent="0.25">
      <c r="A481" s="267"/>
      <c r="B481" s="268"/>
      <c r="C481" s="269"/>
      <c r="D481" s="270"/>
      <c r="E481" s="271"/>
      <c r="F481" s="272"/>
      <c r="G481" s="273"/>
      <c r="H481" s="274" t="str">
        <f t="shared" si="3"/>
        <v xml:space="preserve"> </v>
      </c>
      <c r="I481" s="275" t="str">
        <f t="shared" si="0"/>
        <v xml:space="preserve"> </v>
      </c>
      <c r="J481" s="276" t="str">
        <f t="shared" si="1"/>
        <v xml:space="preserve"> </v>
      </c>
      <c r="K481" s="277" t="str">
        <f t="shared" si="2"/>
        <v xml:space="preserve"> </v>
      </c>
    </row>
    <row r="482" spans="1:11" ht="19.5" x14ac:dyDescent="0.25">
      <c r="A482" s="267"/>
      <c r="B482" s="268"/>
      <c r="C482" s="269"/>
      <c r="D482" s="270"/>
      <c r="E482" s="271"/>
      <c r="F482" s="272"/>
      <c r="G482" s="273"/>
      <c r="H482" s="274" t="str">
        <f t="shared" si="3"/>
        <v xml:space="preserve"> </v>
      </c>
      <c r="I482" s="275" t="str">
        <f t="shared" si="0"/>
        <v xml:space="preserve"> </v>
      </c>
      <c r="J482" s="276" t="str">
        <f t="shared" si="1"/>
        <v xml:space="preserve"> </v>
      </c>
      <c r="K482" s="277" t="str">
        <f t="shared" si="2"/>
        <v xml:space="preserve"> </v>
      </c>
    </row>
    <row r="483" spans="1:11" ht="19.5" x14ac:dyDescent="0.25">
      <c r="A483" s="267"/>
      <c r="B483" s="268"/>
      <c r="C483" s="269"/>
      <c r="D483" s="270"/>
      <c r="E483" s="271"/>
      <c r="F483" s="272"/>
      <c r="G483" s="273"/>
      <c r="H483" s="274" t="str">
        <f t="shared" si="3"/>
        <v xml:space="preserve"> </v>
      </c>
      <c r="I483" s="275" t="str">
        <f t="shared" si="0"/>
        <v xml:space="preserve"> </v>
      </c>
      <c r="J483" s="276" t="str">
        <f t="shared" si="1"/>
        <v xml:space="preserve"> </v>
      </c>
      <c r="K483" s="277" t="str">
        <f t="shared" si="2"/>
        <v xml:space="preserve"> </v>
      </c>
    </row>
    <row r="484" spans="1:11" ht="19.5" x14ac:dyDescent="0.25">
      <c r="A484" s="267"/>
      <c r="B484" s="268"/>
      <c r="C484" s="269"/>
      <c r="D484" s="270"/>
      <c r="E484" s="271"/>
      <c r="F484" s="272"/>
      <c r="G484" s="273"/>
      <c r="H484" s="274" t="str">
        <f t="shared" si="3"/>
        <v xml:space="preserve"> </v>
      </c>
      <c r="I484" s="275" t="str">
        <f t="shared" si="0"/>
        <v xml:space="preserve"> </v>
      </c>
      <c r="J484" s="276" t="str">
        <f t="shared" si="1"/>
        <v xml:space="preserve"> </v>
      </c>
      <c r="K484" s="277" t="str">
        <f t="shared" si="2"/>
        <v xml:space="preserve"> </v>
      </c>
    </row>
    <row r="485" spans="1:11" ht="19.5" x14ac:dyDescent="0.25">
      <c r="A485" s="267"/>
      <c r="B485" s="268"/>
      <c r="C485" s="269"/>
      <c r="D485" s="270"/>
      <c r="E485" s="271"/>
      <c r="F485" s="272"/>
      <c r="G485" s="273"/>
      <c r="H485" s="274" t="str">
        <f t="shared" si="3"/>
        <v xml:space="preserve"> </v>
      </c>
      <c r="I485" s="275" t="str">
        <f t="shared" si="0"/>
        <v xml:space="preserve"> </v>
      </c>
      <c r="J485" s="276" t="str">
        <f t="shared" si="1"/>
        <v xml:space="preserve"> </v>
      </c>
      <c r="K485" s="277" t="str">
        <f t="shared" si="2"/>
        <v xml:space="preserve"> </v>
      </c>
    </row>
    <row r="486" spans="1:11" ht="19.5" x14ac:dyDescent="0.25">
      <c r="A486" s="267"/>
      <c r="B486" s="268"/>
      <c r="C486" s="269"/>
      <c r="D486" s="270"/>
      <c r="E486" s="271"/>
      <c r="F486" s="272"/>
      <c r="G486" s="273"/>
      <c r="H486" s="274" t="str">
        <f t="shared" si="3"/>
        <v xml:space="preserve"> </v>
      </c>
      <c r="I486" s="275" t="str">
        <f t="shared" si="0"/>
        <v xml:space="preserve"> </v>
      </c>
      <c r="J486" s="276" t="str">
        <f t="shared" si="1"/>
        <v xml:space="preserve"> </v>
      </c>
      <c r="K486" s="277" t="str">
        <f t="shared" si="2"/>
        <v xml:space="preserve"> </v>
      </c>
    </row>
    <row r="487" spans="1:11" ht="19.5" x14ac:dyDescent="0.25">
      <c r="A487" s="267"/>
      <c r="B487" s="268"/>
      <c r="C487" s="269"/>
      <c r="D487" s="270"/>
      <c r="E487" s="271"/>
      <c r="F487" s="272"/>
      <c r="G487" s="273"/>
      <c r="H487" s="274" t="str">
        <f t="shared" si="3"/>
        <v xml:space="preserve"> </v>
      </c>
      <c r="I487" s="275" t="str">
        <f t="shared" si="0"/>
        <v xml:space="preserve"> </v>
      </c>
      <c r="J487" s="276" t="str">
        <f t="shared" si="1"/>
        <v xml:space="preserve"> </v>
      </c>
      <c r="K487" s="277" t="str">
        <f t="shared" si="2"/>
        <v xml:space="preserve"> </v>
      </c>
    </row>
    <row r="488" spans="1:11" ht="19.5" x14ac:dyDescent="0.25">
      <c r="A488" s="267"/>
      <c r="B488" s="268"/>
      <c r="C488" s="269"/>
      <c r="D488" s="270"/>
      <c r="E488" s="271"/>
      <c r="F488" s="272"/>
      <c r="G488" s="273"/>
      <c r="H488" s="274" t="str">
        <f t="shared" si="3"/>
        <v xml:space="preserve"> </v>
      </c>
      <c r="I488" s="275" t="str">
        <f t="shared" si="0"/>
        <v xml:space="preserve"> </v>
      </c>
      <c r="J488" s="276" t="str">
        <f t="shared" si="1"/>
        <v xml:space="preserve"> </v>
      </c>
      <c r="K488" s="277" t="str">
        <f t="shared" si="2"/>
        <v xml:space="preserve"> </v>
      </c>
    </row>
    <row r="489" spans="1:11" ht="19.5" x14ac:dyDescent="0.25">
      <c r="A489" s="267"/>
      <c r="B489" s="268"/>
      <c r="C489" s="269"/>
      <c r="D489" s="270"/>
      <c r="E489" s="271"/>
      <c r="F489" s="272"/>
      <c r="G489" s="273"/>
      <c r="H489" s="274" t="str">
        <f t="shared" si="3"/>
        <v xml:space="preserve"> </v>
      </c>
      <c r="I489" s="275" t="str">
        <f t="shared" si="0"/>
        <v xml:space="preserve"> </v>
      </c>
      <c r="J489" s="276" t="str">
        <f t="shared" si="1"/>
        <v xml:space="preserve"> </v>
      </c>
      <c r="K489" s="277" t="str">
        <f t="shared" si="2"/>
        <v xml:space="preserve"> </v>
      </c>
    </row>
    <row r="490" spans="1:11" ht="19.5" x14ac:dyDescent="0.25">
      <c r="A490" s="267"/>
      <c r="B490" s="268"/>
      <c r="C490" s="269"/>
      <c r="D490" s="270"/>
      <c r="E490" s="271"/>
      <c r="F490" s="272"/>
      <c r="G490" s="273"/>
      <c r="H490" s="274" t="str">
        <f t="shared" si="3"/>
        <v xml:space="preserve"> </v>
      </c>
      <c r="I490" s="275" t="str">
        <f t="shared" si="0"/>
        <v xml:space="preserve"> </v>
      </c>
      <c r="J490" s="276" t="str">
        <f t="shared" si="1"/>
        <v xml:space="preserve"> </v>
      </c>
      <c r="K490" s="277" t="str">
        <f t="shared" si="2"/>
        <v xml:space="preserve"> </v>
      </c>
    </row>
    <row r="491" spans="1:11" ht="19.5" x14ac:dyDescent="0.25">
      <c r="A491" s="267"/>
      <c r="B491" s="268"/>
      <c r="C491" s="269"/>
      <c r="D491" s="270"/>
      <c r="E491" s="271"/>
      <c r="F491" s="272"/>
      <c r="G491" s="273"/>
      <c r="H491" s="274" t="str">
        <f t="shared" si="3"/>
        <v xml:space="preserve"> </v>
      </c>
      <c r="I491" s="275" t="str">
        <f t="shared" si="0"/>
        <v xml:space="preserve"> </v>
      </c>
      <c r="J491" s="276" t="str">
        <f t="shared" si="1"/>
        <v xml:space="preserve"> </v>
      </c>
      <c r="K491" s="277" t="str">
        <f t="shared" si="2"/>
        <v xml:space="preserve"> </v>
      </c>
    </row>
    <row r="492" spans="1:11" ht="19.5" x14ac:dyDescent="0.25">
      <c r="A492" s="267"/>
      <c r="B492" s="268"/>
      <c r="C492" s="269"/>
      <c r="D492" s="270"/>
      <c r="E492" s="271"/>
      <c r="F492" s="272"/>
      <c r="G492" s="273"/>
      <c r="H492" s="274" t="str">
        <f t="shared" si="3"/>
        <v xml:space="preserve"> </v>
      </c>
      <c r="I492" s="275" t="str">
        <f t="shared" si="0"/>
        <v xml:space="preserve"> </v>
      </c>
      <c r="J492" s="276" t="str">
        <f t="shared" si="1"/>
        <v xml:space="preserve"> </v>
      </c>
      <c r="K492" s="277" t="str">
        <f t="shared" si="2"/>
        <v xml:space="preserve"> </v>
      </c>
    </row>
    <row r="493" spans="1:11" ht="19.5" x14ac:dyDescent="0.25">
      <c r="A493" s="267"/>
      <c r="B493" s="268"/>
      <c r="C493" s="269"/>
      <c r="D493" s="270"/>
      <c r="E493" s="271"/>
      <c r="F493" s="272"/>
      <c r="G493" s="273"/>
      <c r="H493" s="274" t="str">
        <f t="shared" si="3"/>
        <v xml:space="preserve"> </v>
      </c>
      <c r="I493" s="275" t="str">
        <f t="shared" si="0"/>
        <v xml:space="preserve"> </v>
      </c>
      <c r="J493" s="276" t="str">
        <f t="shared" si="1"/>
        <v xml:space="preserve"> </v>
      </c>
      <c r="K493" s="277" t="str">
        <f t="shared" si="2"/>
        <v xml:space="preserve"> </v>
      </c>
    </row>
    <row r="494" spans="1:11" ht="19.5" x14ac:dyDescent="0.25">
      <c r="A494" s="267"/>
      <c r="B494" s="268"/>
      <c r="C494" s="269"/>
      <c r="D494" s="270"/>
      <c r="E494" s="271"/>
      <c r="F494" s="272"/>
      <c r="G494" s="273"/>
      <c r="H494" s="274" t="str">
        <f t="shared" si="3"/>
        <v xml:space="preserve"> </v>
      </c>
      <c r="I494" s="275" t="str">
        <f t="shared" si="0"/>
        <v xml:space="preserve"> </v>
      </c>
      <c r="J494" s="276" t="str">
        <f t="shared" si="1"/>
        <v xml:space="preserve"> </v>
      </c>
      <c r="K494" s="277" t="str">
        <f t="shared" si="2"/>
        <v xml:space="preserve"> </v>
      </c>
    </row>
    <row r="495" spans="1:11" ht="19.5" x14ac:dyDescent="0.25">
      <c r="A495" s="267"/>
      <c r="B495" s="268"/>
      <c r="C495" s="269"/>
      <c r="D495" s="270"/>
      <c r="E495" s="271"/>
      <c r="F495" s="272"/>
      <c r="G495" s="273"/>
      <c r="H495" s="274" t="str">
        <f t="shared" si="3"/>
        <v xml:space="preserve"> </v>
      </c>
      <c r="I495" s="275" t="str">
        <f t="shared" si="0"/>
        <v xml:space="preserve"> </v>
      </c>
      <c r="J495" s="276" t="str">
        <f t="shared" si="1"/>
        <v xml:space="preserve"> </v>
      </c>
      <c r="K495" s="277" t="str">
        <f t="shared" si="2"/>
        <v xml:space="preserve"> </v>
      </c>
    </row>
    <row r="496" spans="1:11" ht="19.5" x14ac:dyDescent="0.25">
      <c r="A496" s="267"/>
      <c r="B496" s="268"/>
      <c r="C496" s="269"/>
      <c r="D496" s="270"/>
      <c r="E496" s="271"/>
      <c r="F496" s="272"/>
      <c r="G496" s="273"/>
      <c r="H496" s="274" t="str">
        <f t="shared" si="3"/>
        <v xml:space="preserve"> </v>
      </c>
      <c r="I496" s="275" t="str">
        <f t="shared" ref="I496:I559" si="4">IF($D496="Заплыв №", "РЕЗУЛЬТАТ", " ")</f>
        <v xml:space="preserve"> </v>
      </c>
      <c r="J496" s="276" t="str">
        <f t="shared" ref="J496:J559" si="5">IF($D496="Заплыв №", "ФИНИШ", " ")</f>
        <v xml:space="preserve"> </v>
      </c>
      <c r="K496" s="277" t="str">
        <f t="shared" ref="K496:K559" si="6">IF($D496="Заплыв №", "ПРИМ.", " ")</f>
        <v xml:space="preserve"> </v>
      </c>
    </row>
    <row r="497" spans="1:11" ht="19.5" x14ac:dyDescent="0.25">
      <c r="A497" s="267"/>
      <c r="B497" s="268"/>
      <c r="C497" s="269"/>
      <c r="D497" s="270"/>
      <c r="E497" s="271"/>
      <c r="F497" s="272"/>
      <c r="G497" s="273"/>
      <c r="H497" s="274" t="str">
        <f t="shared" si="3"/>
        <v xml:space="preserve"> </v>
      </c>
      <c r="I497" s="275" t="str">
        <f t="shared" si="4"/>
        <v xml:space="preserve"> </v>
      </c>
      <c r="J497" s="276" t="str">
        <f t="shared" si="5"/>
        <v xml:space="preserve"> </v>
      </c>
      <c r="K497" s="277" t="str">
        <f t="shared" si="6"/>
        <v xml:space="preserve"> </v>
      </c>
    </row>
    <row r="498" spans="1:11" ht="19.5" x14ac:dyDescent="0.25">
      <c r="A498" s="267"/>
      <c r="B498" s="268"/>
      <c r="C498" s="269"/>
      <c r="D498" s="270"/>
      <c r="E498" s="271"/>
      <c r="F498" s="272"/>
      <c r="G498" s="273"/>
      <c r="H498" s="274" t="str">
        <f t="shared" si="3"/>
        <v xml:space="preserve"> </v>
      </c>
      <c r="I498" s="275" t="str">
        <f t="shared" si="4"/>
        <v xml:space="preserve"> </v>
      </c>
      <c r="J498" s="276" t="str">
        <f t="shared" si="5"/>
        <v xml:space="preserve"> </v>
      </c>
      <c r="K498" s="277" t="str">
        <f t="shared" si="6"/>
        <v xml:space="preserve"> </v>
      </c>
    </row>
    <row r="499" spans="1:11" ht="19.5" x14ac:dyDescent="0.25">
      <c r="A499" s="267"/>
      <c r="B499" s="268"/>
      <c r="C499" s="269"/>
      <c r="D499" s="270"/>
      <c r="E499" s="271"/>
      <c r="F499" s="272"/>
      <c r="G499" s="273"/>
      <c r="H499" s="274" t="str">
        <f t="shared" si="3"/>
        <v xml:space="preserve"> </v>
      </c>
      <c r="I499" s="275" t="str">
        <f t="shared" si="4"/>
        <v xml:space="preserve"> </v>
      </c>
      <c r="J499" s="276" t="str">
        <f t="shared" si="5"/>
        <v xml:space="preserve"> </v>
      </c>
      <c r="K499" s="277" t="str">
        <f t="shared" si="6"/>
        <v xml:space="preserve"> </v>
      </c>
    </row>
    <row r="500" spans="1:11" ht="19.5" x14ac:dyDescent="0.25">
      <c r="A500" s="267"/>
      <c r="B500" s="268"/>
      <c r="C500" s="269"/>
      <c r="D500" s="270"/>
      <c r="E500" s="271"/>
      <c r="F500" s="272"/>
      <c r="G500" s="273"/>
      <c r="H500" s="274" t="str">
        <f t="shared" si="3"/>
        <v xml:space="preserve"> </v>
      </c>
      <c r="I500" s="275" t="str">
        <f t="shared" si="4"/>
        <v xml:space="preserve"> </v>
      </c>
      <c r="J500" s="276" t="str">
        <f t="shared" si="5"/>
        <v xml:space="preserve"> </v>
      </c>
      <c r="K500" s="277" t="str">
        <f t="shared" si="6"/>
        <v xml:space="preserve"> </v>
      </c>
    </row>
    <row r="501" spans="1:11" ht="19.5" x14ac:dyDescent="0.25">
      <c r="A501" s="267"/>
      <c r="B501" s="268"/>
      <c r="C501" s="269"/>
      <c r="D501" s="270"/>
      <c r="E501" s="271"/>
      <c r="F501" s="272"/>
      <c r="G501" s="273"/>
      <c r="H501" s="274" t="str">
        <f t="shared" si="3"/>
        <v xml:space="preserve"> </v>
      </c>
      <c r="I501" s="275" t="str">
        <f t="shared" si="4"/>
        <v xml:space="preserve"> </v>
      </c>
      <c r="J501" s="276" t="str">
        <f t="shared" si="5"/>
        <v xml:space="preserve"> </v>
      </c>
      <c r="K501" s="277" t="str">
        <f t="shared" si="6"/>
        <v xml:space="preserve"> </v>
      </c>
    </row>
    <row r="502" spans="1:11" ht="19.5" x14ac:dyDescent="0.25">
      <c r="A502" s="267"/>
      <c r="B502" s="268"/>
      <c r="C502" s="269"/>
      <c r="D502" s="270"/>
      <c r="E502" s="271"/>
      <c r="F502" s="272"/>
      <c r="G502" s="273"/>
      <c r="H502" s="274" t="str">
        <f t="shared" si="3"/>
        <v xml:space="preserve"> </v>
      </c>
      <c r="I502" s="275" t="str">
        <f t="shared" si="4"/>
        <v xml:space="preserve"> </v>
      </c>
      <c r="J502" s="276" t="str">
        <f t="shared" si="5"/>
        <v xml:space="preserve"> </v>
      </c>
      <c r="K502" s="277" t="str">
        <f t="shared" si="6"/>
        <v xml:space="preserve"> </v>
      </c>
    </row>
    <row r="503" spans="1:11" ht="19.5" x14ac:dyDescent="0.25">
      <c r="A503" s="267"/>
      <c r="B503" s="268"/>
      <c r="C503" s="269"/>
      <c r="D503" s="270"/>
      <c r="E503" s="271"/>
      <c r="F503" s="272"/>
      <c r="G503" s="273"/>
      <c r="H503" s="274" t="str">
        <f t="shared" si="3"/>
        <v xml:space="preserve"> </v>
      </c>
      <c r="I503" s="275" t="str">
        <f t="shared" si="4"/>
        <v xml:space="preserve"> </v>
      </c>
      <c r="J503" s="276" t="str">
        <f t="shared" si="5"/>
        <v xml:space="preserve"> </v>
      </c>
      <c r="K503" s="277" t="str">
        <f t="shared" si="6"/>
        <v xml:space="preserve"> </v>
      </c>
    </row>
    <row r="504" spans="1:11" ht="19.5" x14ac:dyDescent="0.25">
      <c r="A504" s="267"/>
      <c r="B504" s="268"/>
      <c r="C504" s="269"/>
      <c r="D504" s="270"/>
      <c r="E504" s="271"/>
      <c r="F504" s="272"/>
      <c r="G504" s="273"/>
      <c r="H504" s="274" t="str">
        <f t="shared" si="3"/>
        <v xml:space="preserve"> </v>
      </c>
      <c r="I504" s="275" t="str">
        <f t="shared" si="4"/>
        <v xml:space="preserve"> </v>
      </c>
      <c r="J504" s="276" t="str">
        <f t="shared" si="5"/>
        <v xml:space="preserve"> </v>
      </c>
      <c r="K504" s="277" t="str">
        <f t="shared" si="6"/>
        <v xml:space="preserve"> </v>
      </c>
    </row>
    <row r="505" spans="1:11" ht="19.5" x14ac:dyDescent="0.25">
      <c r="A505" s="267"/>
      <c r="B505" s="268"/>
      <c r="C505" s="269"/>
      <c r="D505" s="270"/>
      <c r="E505" s="271"/>
      <c r="F505" s="272"/>
      <c r="G505" s="273"/>
      <c r="H505" s="274" t="str">
        <f t="shared" si="3"/>
        <v xml:space="preserve"> </v>
      </c>
      <c r="I505" s="275" t="str">
        <f t="shared" si="4"/>
        <v xml:space="preserve"> </v>
      </c>
      <c r="J505" s="276" t="str">
        <f t="shared" si="5"/>
        <v xml:space="preserve"> </v>
      </c>
      <c r="K505" s="277" t="str">
        <f t="shared" si="6"/>
        <v xml:space="preserve"> </v>
      </c>
    </row>
    <row r="506" spans="1:11" ht="19.5" x14ac:dyDescent="0.25">
      <c r="A506" s="267"/>
      <c r="B506" s="268"/>
      <c r="C506" s="269"/>
      <c r="D506" s="270"/>
      <c r="E506" s="271"/>
      <c r="F506" s="272"/>
      <c r="G506" s="273"/>
      <c r="H506" s="274" t="str">
        <f t="shared" si="3"/>
        <v xml:space="preserve"> </v>
      </c>
      <c r="I506" s="275" t="str">
        <f t="shared" si="4"/>
        <v xml:space="preserve"> </v>
      </c>
      <c r="J506" s="276" t="str">
        <f t="shared" si="5"/>
        <v xml:space="preserve"> </v>
      </c>
      <c r="K506" s="277" t="str">
        <f t="shared" si="6"/>
        <v xml:space="preserve"> </v>
      </c>
    </row>
    <row r="507" spans="1:11" ht="19.5" x14ac:dyDescent="0.25">
      <c r="A507" s="267"/>
      <c r="B507" s="268"/>
      <c r="C507" s="269"/>
      <c r="D507" s="270"/>
      <c r="E507" s="271"/>
      <c r="F507" s="272"/>
      <c r="G507" s="273"/>
      <c r="H507" s="274" t="str">
        <f t="shared" si="3"/>
        <v xml:space="preserve"> </v>
      </c>
      <c r="I507" s="275" t="str">
        <f t="shared" si="4"/>
        <v xml:space="preserve"> </v>
      </c>
      <c r="J507" s="276" t="str">
        <f t="shared" si="5"/>
        <v xml:space="preserve"> </v>
      </c>
      <c r="K507" s="277" t="str">
        <f t="shared" si="6"/>
        <v xml:space="preserve"> </v>
      </c>
    </row>
    <row r="508" spans="1:11" ht="19.5" x14ac:dyDescent="0.25">
      <c r="A508" s="267"/>
      <c r="B508" s="268"/>
      <c r="C508" s="269"/>
      <c r="D508" s="270"/>
      <c r="E508" s="271"/>
      <c r="F508" s="272"/>
      <c r="G508" s="273"/>
      <c r="H508" s="274" t="str">
        <f t="shared" si="3"/>
        <v xml:space="preserve"> </v>
      </c>
      <c r="I508" s="275" t="str">
        <f t="shared" si="4"/>
        <v xml:space="preserve"> </v>
      </c>
      <c r="J508" s="276" t="str">
        <f t="shared" si="5"/>
        <v xml:space="preserve"> </v>
      </c>
      <c r="K508" s="277" t="str">
        <f t="shared" si="6"/>
        <v xml:space="preserve"> </v>
      </c>
    </row>
    <row r="509" spans="1:11" ht="19.5" x14ac:dyDescent="0.25">
      <c r="A509" s="267"/>
      <c r="B509" s="268"/>
      <c r="C509" s="269"/>
      <c r="D509" s="270"/>
      <c r="E509" s="271"/>
      <c r="F509" s="272"/>
      <c r="G509" s="273"/>
      <c r="H509" s="274" t="str">
        <f t="shared" si="3"/>
        <v xml:space="preserve"> </v>
      </c>
      <c r="I509" s="275" t="str">
        <f t="shared" si="4"/>
        <v xml:space="preserve"> </v>
      </c>
      <c r="J509" s="276" t="str">
        <f t="shared" si="5"/>
        <v xml:space="preserve"> </v>
      </c>
      <c r="K509" s="277" t="str">
        <f t="shared" si="6"/>
        <v xml:space="preserve"> </v>
      </c>
    </row>
    <row r="510" spans="1:11" ht="19.5" x14ac:dyDescent="0.25">
      <c r="A510" s="267"/>
      <c r="B510" s="268"/>
      <c r="C510" s="269"/>
      <c r="D510" s="270"/>
      <c r="E510" s="271"/>
      <c r="F510" s="272"/>
      <c r="G510" s="273"/>
      <c r="H510" s="274" t="str">
        <f t="shared" si="3"/>
        <v xml:space="preserve"> </v>
      </c>
      <c r="I510" s="275" t="str">
        <f t="shared" si="4"/>
        <v xml:space="preserve"> </v>
      </c>
      <c r="J510" s="276" t="str">
        <f t="shared" si="5"/>
        <v xml:space="preserve"> </v>
      </c>
      <c r="K510" s="277" t="str">
        <f t="shared" si="6"/>
        <v xml:space="preserve"> </v>
      </c>
    </row>
    <row r="511" spans="1:11" ht="19.5" x14ac:dyDescent="0.25">
      <c r="A511" s="267"/>
      <c r="B511" s="268"/>
      <c r="C511" s="269"/>
      <c r="D511" s="270"/>
      <c r="E511" s="271"/>
      <c r="F511" s="272"/>
      <c r="G511" s="273"/>
      <c r="H511" s="274" t="str">
        <f t="shared" si="3"/>
        <v xml:space="preserve"> </v>
      </c>
      <c r="I511" s="275" t="str">
        <f t="shared" si="4"/>
        <v xml:space="preserve"> </v>
      </c>
      <c r="J511" s="276" t="str">
        <f t="shared" si="5"/>
        <v xml:space="preserve"> </v>
      </c>
      <c r="K511" s="277" t="str">
        <f t="shared" si="6"/>
        <v xml:space="preserve"> </v>
      </c>
    </row>
    <row r="512" spans="1:11" ht="19.5" x14ac:dyDescent="0.25">
      <c r="A512" s="267"/>
      <c r="B512" s="268"/>
      <c r="C512" s="269"/>
      <c r="D512" s="270"/>
      <c r="E512" s="271"/>
      <c r="F512" s="272"/>
      <c r="G512" s="273"/>
      <c r="H512" s="274" t="str">
        <f t="shared" si="3"/>
        <v xml:space="preserve"> </v>
      </c>
      <c r="I512" s="275" t="str">
        <f t="shared" si="4"/>
        <v xml:space="preserve"> </v>
      </c>
      <c r="J512" s="276" t="str">
        <f t="shared" si="5"/>
        <v xml:space="preserve"> </v>
      </c>
      <c r="K512" s="277" t="str">
        <f t="shared" si="6"/>
        <v xml:space="preserve"> </v>
      </c>
    </row>
    <row r="513" spans="1:11" ht="19.5" x14ac:dyDescent="0.25">
      <c r="A513" s="267"/>
      <c r="B513" s="268"/>
      <c r="C513" s="269"/>
      <c r="D513" s="270"/>
      <c r="E513" s="271"/>
      <c r="F513" s="272"/>
      <c r="G513" s="273"/>
      <c r="H513" s="274" t="str">
        <f t="shared" si="3"/>
        <v xml:space="preserve"> </v>
      </c>
      <c r="I513" s="275" t="str">
        <f t="shared" si="4"/>
        <v xml:space="preserve"> </v>
      </c>
      <c r="J513" s="276" t="str">
        <f t="shared" si="5"/>
        <v xml:space="preserve"> </v>
      </c>
      <c r="K513" s="277" t="str">
        <f t="shared" si="6"/>
        <v xml:space="preserve"> </v>
      </c>
    </row>
    <row r="514" spans="1:11" ht="19.5" x14ac:dyDescent="0.25">
      <c r="A514" s="267"/>
      <c r="B514" s="268"/>
      <c r="C514" s="269"/>
      <c r="D514" s="270"/>
      <c r="E514" s="271"/>
      <c r="F514" s="272"/>
      <c r="G514" s="273"/>
      <c r="H514" s="274" t="str">
        <f t="shared" ref="H514:H577" si="7">IF(ISBLANK(A514), " ", A514)</f>
        <v xml:space="preserve"> </v>
      </c>
      <c r="I514" s="275" t="str">
        <f t="shared" si="4"/>
        <v xml:space="preserve"> </v>
      </c>
      <c r="J514" s="276" t="str">
        <f t="shared" si="5"/>
        <v xml:space="preserve"> </v>
      </c>
      <c r="K514" s="277" t="str">
        <f t="shared" si="6"/>
        <v xml:space="preserve"> </v>
      </c>
    </row>
    <row r="515" spans="1:11" ht="19.5" x14ac:dyDescent="0.25">
      <c r="A515" s="267"/>
      <c r="B515" s="268"/>
      <c r="C515" s="269"/>
      <c r="D515" s="270"/>
      <c r="E515" s="271"/>
      <c r="F515" s="272"/>
      <c r="G515" s="273"/>
      <c r="H515" s="274" t="str">
        <f t="shared" si="7"/>
        <v xml:space="preserve"> </v>
      </c>
      <c r="I515" s="275" t="str">
        <f t="shared" si="4"/>
        <v xml:space="preserve"> </v>
      </c>
      <c r="J515" s="276" t="str">
        <f t="shared" si="5"/>
        <v xml:space="preserve"> </v>
      </c>
      <c r="K515" s="277" t="str">
        <f t="shared" si="6"/>
        <v xml:space="preserve"> </v>
      </c>
    </row>
    <row r="516" spans="1:11" ht="19.5" x14ac:dyDescent="0.25">
      <c r="A516" s="267"/>
      <c r="B516" s="268"/>
      <c r="C516" s="269"/>
      <c r="D516" s="270"/>
      <c r="E516" s="271"/>
      <c r="F516" s="272"/>
      <c r="G516" s="273"/>
      <c r="H516" s="274" t="str">
        <f t="shared" si="7"/>
        <v xml:space="preserve"> </v>
      </c>
      <c r="I516" s="275" t="str">
        <f t="shared" si="4"/>
        <v xml:space="preserve"> </v>
      </c>
      <c r="J516" s="276" t="str">
        <f t="shared" si="5"/>
        <v xml:space="preserve"> </v>
      </c>
      <c r="K516" s="277" t="str">
        <f t="shared" si="6"/>
        <v xml:space="preserve"> </v>
      </c>
    </row>
    <row r="517" spans="1:11" ht="19.5" x14ac:dyDescent="0.25">
      <c r="A517" s="267"/>
      <c r="B517" s="268"/>
      <c r="C517" s="269"/>
      <c r="D517" s="270"/>
      <c r="E517" s="271"/>
      <c r="F517" s="272"/>
      <c r="G517" s="273"/>
      <c r="H517" s="274" t="str">
        <f t="shared" si="7"/>
        <v xml:space="preserve"> </v>
      </c>
      <c r="I517" s="275" t="str">
        <f t="shared" si="4"/>
        <v xml:space="preserve"> </v>
      </c>
      <c r="J517" s="276" t="str">
        <f t="shared" si="5"/>
        <v xml:space="preserve"> </v>
      </c>
      <c r="K517" s="277" t="str">
        <f t="shared" si="6"/>
        <v xml:space="preserve"> </v>
      </c>
    </row>
    <row r="518" spans="1:11" ht="19.5" x14ac:dyDescent="0.25">
      <c r="A518" s="267"/>
      <c r="B518" s="268"/>
      <c r="C518" s="269"/>
      <c r="D518" s="270"/>
      <c r="E518" s="271"/>
      <c r="F518" s="272"/>
      <c r="G518" s="273"/>
      <c r="H518" s="274" t="str">
        <f t="shared" si="7"/>
        <v xml:space="preserve"> </v>
      </c>
      <c r="I518" s="275" t="str">
        <f t="shared" si="4"/>
        <v xml:space="preserve"> </v>
      </c>
      <c r="J518" s="276" t="str">
        <f t="shared" si="5"/>
        <v xml:space="preserve"> </v>
      </c>
      <c r="K518" s="277" t="str">
        <f t="shared" si="6"/>
        <v xml:space="preserve"> </v>
      </c>
    </row>
    <row r="519" spans="1:11" ht="19.5" x14ac:dyDescent="0.25">
      <c r="A519" s="267"/>
      <c r="B519" s="268"/>
      <c r="C519" s="269"/>
      <c r="D519" s="270"/>
      <c r="E519" s="271"/>
      <c r="F519" s="272"/>
      <c r="G519" s="273"/>
      <c r="H519" s="274" t="str">
        <f t="shared" si="7"/>
        <v xml:space="preserve"> </v>
      </c>
      <c r="I519" s="275" t="str">
        <f t="shared" si="4"/>
        <v xml:space="preserve"> </v>
      </c>
      <c r="J519" s="276" t="str">
        <f t="shared" si="5"/>
        <v xml:space="preserve"> </v>
      </c>
      <c r="K519" s="277" t="str">
        <f t="shared" si="6"/>
        <v xml:space="preserve"> </v>
      </c>
    </row>
    <row r="520" spans="1:11" ht="19.5" x14ac:dyDescent="0.25">
      <c r="A520" s="267"/>
      <c r="B520" s="268"/>
      <c r="C520" s="269"/>
      <c r="D520" s="270"/>
      <c r="E520" s="271"/>
      <c r="F520" s="272"/>
      <c r="G520" s="273"/>
      <c r="H520" s="274" t="str">
        <f t="shared" si="7"/>
        <v xml:space="preserve"> </v>
      </c>
      <c r="I520" s="275" t="str">
        <f t="shared" si="4"/>
        <v xml:space="preserve"> </v>
      </c>
      <c r="J520" s="276" t="str">
        <f t="shared" si="5"/>
        <v xml:space="preserve"> </v>
      </c>
      <c r="K520" s="277" t="str">
        <f t="shared" si="6"/>
        <v xml:space="preserve"> </v>
      </c>
    </row>
    <row r="521" spans="1:11" ht="19.5" x14ac:dyDescent="0.25">
      <c r="A521" s="267"/>
      <c r="B521" s="268"/>
      <c r="C521" s="269"/>
      <c r="D521" s="270"/>
      <c r="E521" s="271"/>
      <c r="F521" s="272"/>
      <c r="G521" s="273"/>
      <c r="H521" s="274" t="str">
        <f t="shared" si="7"/>
        <v xml:space="preserve"> </v>
      </c>
      <c r="I521" s="275" t="str">
        <f t="shared" si="4"/>
        <v xml:space="preserve"> </v>
      </c>
      <c r="J521" s="276" t="str">
        <f t="shared" si="5"/>
        <v xml:space="preserve"> </v>
      </c>
      <c r="K521" s="277" t="str">
        <f t="shared" si="6"/>
        <v xml:space="preserve"> </v>
      </c>
    </row>
    <row r="522" spans="1:11" ht="19.5" x14ac:dyDescent="0.25">
      <c r="A522" s="267"/>
      <c r="B522" s="268"/>
      <c r="C522" s="269"/>
      <c r="D522" s="270"/>
      <c r="E522" s="271"/>
      <c r="F522" s="272"/>
      <c r="G522" s="273"/>
      <c r="H522" s="274" t="str">
        <f t="shared" si="7"/>
        <v xml:space="preserve"> </v>
      </c>
      <c r="I522" s="275" t="str">
        <f t="shared" si="4"/>
        <v xml:space="preserve"> </v>
      </c>
      <c r="J522" s="276" t="str">
        <f t="shared" si="5"/>
        <v xml:space="preserve"> </v>
      </c>
      <c r="K522" s="277" t="str">
        <f t="shared" si="6"/>
        <v xml:space="preserve"> </v>
      </c>
    </row>
    <row r="523" spans="1:11" ht="19.5" x14ac:dyDescent="0.25">
      <c r="A523" s="267"/>
      <c r="B523" s="268"/>
      <c r="C523" s="269"/>
      <c r="D523" s="270"/>
      <c r="E523" s="271"/>
      <c r="F523" s="272"/>
      <c r="G523" s="273"/>
      <c r="H523" s="274" t="str">
        <f t="shared" si="7"/>
        <v xml:space="preserve"> </v>
      </c>
      <c r="I523" s="275" t="str">
        <f t="shared" si="4"/>
        <v xml:space="preserve"> </v>
      </c>
      <c r="J523" s="276" t="str">
        <f t="shared" si="5"/>
        <v xml:space="preserve"> </v>
      </c>
      <c r="K523" s="277" t="str">
        <f t="shared" si="6"/>
        <v xml:space="preserve"> </v>
      </c>
    </row>
    <row r="524" spans="1:11" ht="19.5" x14ac:dyDescent="0.25">
      <c r="A524" s="267"/>
      <c r="B524" s="268"/>
      <c r="C524" s="269"/>
      <c r="D524" s="270"/>
      <c r="E524" s="271"/>
      <c r="F524" s="272"/>
      <c r="G524" s="273"/>
      <c r="H524" s="274" t="str">
        <f t="shared" si="7"/>
        <v xml:space="preserve"> </v>
      </c>
      <c r="I524" s="275" t="str">
        <f t="shared" si="4"/>
        <v xml:space="preserve"> </v>
      </c>
      <c r="J524" s="276" t="str">
        <f t="shared" si="5"/>
        <v xml:space="preserve"> </v>
      </c>
      <c r="K524" s="277" t="str">
        <f t="shared" si="6"/>
        <v xml:space="preserve"> </v>
      </c>
    </row>
    <row r="525" spans="1:11" ht="19.5" x14ac:dyDescent="0.25">
      <c r="A525" s="267"/>
      <c r="B525" s="268"/>
      <c r="C525" s="269"/>
      <c r="D525" s="270"/>
      <c r="E525" s="271"/>
      <c r="F525" s="272"/>
      <c r="G525" s="273"/>
      <c r="H525" s="274" t="str">
        <f t="shared" si="7"/>
        <v xml:space="preserve"> </v>
      </c>
      <c r="I525" s="275" t="str">
        <f t="shared" si="4"/>
        <v xml:space="preserve"> </v>
      </c>
      <c r="J525" s="276" t="str">
        <f t="shared" si="5"/>
        <v xml:space="preserve"> </v>
      </c>
      <c r="K525" s="277" t="str">
        <f t="shared" si="6"/>
        <v xml:space="preserve"> </v>
      </c>
    </row>
    <row r="526" spans="1:11" ht="19.5" x14ac:dyDescent="0.25">
      <c r="A526" s="267"/>
      <c r="B526" s="268"/>
      <c r="C526" s="269"/>
      <c r="D526" s="270"/>
      <c r="E526" s="271"/>
      <c r="F526" s="272"/>
      <c r="G526" s="273"/>
      <c r="H526" s="274" t="str">
        <f t="shared" si="7"/>
        <v xml:space="preserve"> </v>
      </c>
      <c r="I526" s="275" t="str">
        <f t="shared" si="4"/>
        <v xml:space="preserve"> </v>
      </c>
      <c r="J526" s="276" t="str">
        <f t="shared" si="5"/>
        <v xml:space="preserve"> </v>
      </c>
      <c r="K526" s="277" t="str">
        <f t="shared" si="6"/>
        <v xml:space="preserve"> </v>
      </c>
    </row>
    <row r="527" spans="1:11" ht="19.5" x14ac:dyDescent="0.25">
      <c r="A527" s="267"/>
      <c r="B527" s="268"/>
      <c r="C527" s="269"/>
      <c r="D527" s="270"/>
      <c r="E527" s="271"/>
      <c r="F527" s="272"/>
      <c r="G527" s="273"/>
      <c r="H527" s="274" t="str">
        <f t="shared" si="7"/>
        <v xml:space="preserve"> </v>
      </c>
      <c r="I527" s="275" t="str">
        <f t="shared" si="4"/>
        <v xml:space="preserve"> </v>
      </c>
      <c r="J527" s="276" t="str">
        <f t="shared" si="5"/>
        <v xml:space="preserve"> </v>
      </c>
      <c r="K527" s="277" t="str">
        <f t="shared" si="6"/>
        <v xml:space="preserve"> </v>
      </c>
    </row>
    <row r="528" spans="1:11" ht="19.5" x14ac:dyDescent="0.25">
      <c r="A528" s="267"/>
      <c r="B528" s="268"/>
      <c r="C528" s="269"/>
      <c r="D528" s="270"/>
      <c r="E528" s="271"/>
      <c r="F528" s="272"/>
      <c r="G528" s="273"/>
      <c r="H528" s="274" t="str">
        <f t="shared" si="7"/>
        <v xml:space="preserve"> </v>
      </c>
      <c r="I528" s="275" t="str">
        <f t="shared" si="4"/>
        <v xml:space="preserve"> </v>
      </c>
      <c r="J528" s="276" t="str">
        <f t="shared" si="5"/>
        <v xml:space="preserve"> </v>
      </c>
      <c r="K528" s="277" t="str">
        <f t="shared" si="6"/>
        <v xml:space="preserve"> </v>
      </c>
    </row>
    <row r="529" spans="1:11" ht="19.5" x14ac:dyDescent="0.25">
      <c r="A529" s="267"/>
      <c r="B529" s="268"/>
      <c r="C529" s="269"/>
      <c r="D529" s="270"/>
      <c r="E529" s="271"/>
      <c r="F529" s="272"/>
      <c r="G529" s="273"/>
      <c r="H529" s="274" t="str">
        <f t="shared" si="7"/>
        <v xml:space="preserve"> </v>
      </c>
      <c r="I529" s="275" t="str">
        <f t="shared" si="4"/>
        <v xml:space="preserve"> </v>
      </c>
      <c r="J529" s="276" t="str">
        <f t="shared" si="5"/>
        <v xml:space="preserve"> </v>
      </c>
      <c r="K529" s="277" t="str">
        <f t="shared" si="6"/>
        <v xml:space="preserve"> </v>
      </c>
    </row>
    <row r="530" spans="1:11" ht="19.5" x14ac:dyDescent="0.25">
      <c r="A530" s="267"/>
      <c r="B530" s="268"/>
      <c r="C530" s="269"/>
      <c r="D530" s="270"/>
      <c r="E530" s="271"/>
      <c r="F530" s="272"/>
      <c r="G530" s="273"/>
      <c r="H530" s="274" t="str">
        <f t="shared" si="7"/>
        <v xml:space="preserve"> </v>
      </c>
      <c r="I530" s="275" t="str">
        <f t="shared" si="4"/>
        <v xml:space="preserve"> </v>
      </c>
      <c r="J530" s="276" t="str">
        <f t="shared" si="5"/>
        <v xml:space="preserve"> </v>
      </c>
      <c r="K530" s="277" t="str">
        <f t="shared" si="6"/>
        <v xml:space="preserve"> </v>
      </c>
    </row>
    <row r="531" spans="1:11" ht="19.5" x14ac:dyDescent="0.25">
      <c r="A531" s="267"/>
      <c r="B531" s="268"/>
      <c r="C531" s="269"/>
      <c r="D531" s="270"/>
      <c r="E531" s="271"/>
      <c r="F531" s="272"/>
      <c r="G531" s="273"/>
      <c r="H531" s="274" t="str">
        <f t="shared" si="7"/>
        <v xml:space="preserve"> </v>
      </c>
      <c r="I531" s="275" t="str">
        <f t="shared" si="4"/>
        <v xml:space="preserve"> </v>
      </c>
      <c r="J531" s="276" t="str">
        <f t="shared" si="5"/>
        <v xml:space="preserve"> </v>
      </c>
      <c r="K531" s="277" t="str">
        <f t="shared" si="6"/>
        <v xml:space="preserve"> </v>
      </c>
    </row>
    <row r="532" spans="1:11" ht="19.5" x14ac:dyDescent="0.25">
      <c r="A532" s="267"/>
      <c r="B532" s="268"/>
      <c r="C532" s="269"/>
      <c r="D532" s="270"/>
      <c r="E532" s="271"/>
      <c r="F532" s="272"/>
      <c r="G532" s="273"/>
      <c r="H532" s="274" t="str">
        <f t="shared" si="7"/>
        <v xml:space="preserve"> </v>
      </c>
      <c r="I532" s="275" t="str">
        <f t="shared" si="4"/>
        <v xml:space="preserve"> </v>
      </c>
      <c r="J532" s="276" t="str">
        <f t="shared" si="5"/>
        <v xml:space="preserve"> </v>
      </c>
      <c r="K532" s="277" t="str">
        <f t="shared" si="6"/>
        <v xml:space="preserve"> </v>
      </c>
    </row>
    <row r="533" spans="1:11" ht="19.5" x14ac:dyDescent="0.25">
      <c r="A533" s="267"/>
      <c r="B533" s="268"/>
      <c r="C533" s="269"/>
      <c r="D533" s="270"/>
      <c r="E533" s="271"/>
      <c r="F533" s="272"/>
      <c r="G533" s="273"/>
      <c r="H533" s="274" t="str">
        <f t="shared" si="7"/>
        <v xml:space="preserve"> </v>
      </c>
      <c r="I533" s="275" t="str">
        <f t="shared" si="4"/>
        <v xml:space="preserve"> </v>
      </c>
      <c r="J533" s="276" t="str">
        <f t="shared" si="5"/>
        <v xml:space="preserve"> </v>
      </c>
      <c r="K533" s="277" t="str">
        <f t="shared" si="6"/>
        <v xml:space="preserve"> </v>
      </c>
    </row>
    <row r="534" spans="1:11" ht="19.5" x14ac:dyDescent="0.25">
      <c r="A534" s="267"/>
      <c r="B534" s="268"/>
      <c r="C534" s="269"/>
      <c r="D534" s="270"/>
      <c r="E534" s="271"/>
      <c r="F534" s="272"/>
      <c r="G534" s="273"/>
      <c r="H534" s="274" t="str">
        <f t="shared" si="7"/>
        <v xml:space="preserve"> </v>
      </c>
      <c r="I534" s="275" t="str">
        <f t="shared" si="4"/>
        <v xml:space="preserve"> </v>
      </c>
      <c r="J534" s="276" t="str">
        <f t="shared" si="5"/>
        <v xml:space="preserve"> </v>
      </c>
      <c r="K534" s="277" t="str">
        <f t="shared" si="6"/>
        <v xml:space="preserve"> </v>
      </c>
    </row>
    <row r="535" spans="1:11" ht="19.5" x14ac:dyDescent="0.25">
      <c r="A535" s="267"/>
      <c r="B535" s="268"/>
      <c r="C535" s="269"/>
      <c r="D535" s="270"/>
      <c r="E535" s="271"/>
      <c r="F535" s="272"/>
      <c r="G535" s="273"/>
      <c r="H535" s="274" t="str">
        <f t="shared" si="7"/>
        <v xml:space="preserve"> </v>
      </c>
      <c r="I535" s="275" t="str">
        <f t="shared" si="4"/>
        <v xml:space="preserve"> </v>
      </c>
      <c r="J535" s="276" t="str">
        <f t="shared" si="5"/>
        <v xml:space="preserve"> </v>
      </c>
      <c r="K535" s="277" t="str">
        <f t="shared" si="6"/>
        <v xml:space="preserve"> </v>
      </c>
    </row>
    <row r="536" spans="1:11" ht="19.5" x14ac:dyDescent="0.25">
      <c r="A536" s="267"/>
      <c r="B536" s="268"/>
      <c r="C536" s="269"/>
      <c r="D536" s="270"/>
      <c r="E536" s="271"/>
      <c r="F536" s="272"/>
      <c r="G536" s="273"/>
      <c r="H536" s="274" t="str">
        <f t="shared" si="7"/>
        <v xml:space="preserve"> </v>
      </c>
      <c r="I536" s="275" t="str">
        <f t="shared" si="4"/>
        <v xml:space="preserve"> </v>
      </c>
      <c r="J536" s="276" t="str">
        <f t="shared" si="5"/>
        <v xml:space="preserve"> </v>
      </c>
      <c r="K536" s="277" t="str">
        <f t="shared" si="6"/>
        <v xml:space="preserve"> </v>
      </c>
    </row>
    <row r="537" spans="1:11" ht="19.5" x14ac:dyDescent="0.25">
      <c r="A537" s="267"/>
      <c r="B537" s="268"/>
      <c r="C537" s="269"/>
      <c r="D537" s="270"/>
      <c r="E537" s="271"/>
      <c r="F537" s="272"/>
      <c r="G537" s="273"/>
      <c r="H537" s="274" t="str">
        <f t="shared" si="7"/>
        <v xml:space="preserve"> </v>
      </c>
      <c r="I537" s="275" t="str">
        <f t="shared" si="4"/>
        <v xml:space="preserve"> </v>
      </c>
      <c r="J537" s="276" t="str">
        <f t="shared" si="5"/>
        <v xml:space="preserve"> </v>
      </c>
      <c r="K537" s="277" t="str">
        <f t="shared" si="6"/>
        <v xml:space="preserve"> </v>
      </c>
    </row>
    <row r="538" spans="1:11" ht="19.5" x14ac:dyDescent="0.25">
      <c r="A538" s="267"/>
      <c r="B538" s="268"/>
      <c r="C538" s="269"/>
      <c r="D538" s="270"/>
      <c r="E538" s="271"/>
      <c r="F538" s="272"/>
      <c r="G538" s="273"/>
      <c r="H538" s="274" t="str">
        <f t="shared" si="7"/>
        <v xml:space="preserve"> </v>
      </c>
      <c r="I538" s="275" t="str">
        <f t="shared" si="4"/>
        <v xml:space="preserve"> </v>
      </c>
      <c r="J538" s="276" t="str">
        <f t="shared" si="5"/>
        <v xml:space="preserve"> </v>
      </c>
      <c r="K538" s="277" t="str">
        <f t="shared" si="6"/>
        <v xml:space="preserve"> </v>
      </c>
    </row>
    <row r="539" spans="1:11" ht="19.5" x14ac:dyDescent="0.25">
      <c r="A539" s="267"/>
      <c r="B539" s="268"/>
      <c r="C539" s="269"/>
      <c r="D539" s="270"/>
      <c r="E539" s="271"/>
      <c r="F539" s="272"/>
      <c r="G539" s="273"/>
      <c r="H539" s="274" t="str">
        <f t="shared" si="7"/>
        <v xml:space="preserve"> </v>
      </c>
      <c r="I539" s="275" t="str">
        <f t="shared" si="4"/>
        <v xml:space="preserve"> </v>
      </c>
      <c r="J539" s="276" t="str">
        <f t="shared" si="5"/>
        <v xml:space="preserve"> </v>
      </c>
      <c r="K539" s="277" t="str">
        <f t="shared" si="6"/>
        <v xml:space="preserve"> </v>
      </c>
    </row>
    <row r="540" spans="1:11" ht="19.5" x14ac:dyDescent="0.25">
      <c r="A540" s="267"/>
      <c r="B540" s="268"/>
      <c r="C540" s="269"/>
      <c r="D540" s="270"/>
      <c r="E540" s="271"/>
      <c r="F540" s="272"/>
      <c r="G540" s="273"/>
      <c r="H540" s="274" t="str">
        <f t="shared" si="7"/>
        <v xml:space="preserve"> </v>
      </c>
      <c r="I540" s="275" t="str">
        <f t="shared" si="4"/>
        <v xml:space="preserve"> </v>
      </c>
      <c r="J540" s="276" t="str">
        <f t="shared" si="5"/>
        <v xml:space="preserve"> </v>
      </c>
      <c r="K540" s="277" t="str">
        <f t="shared" si="6"/>
        <v xml:space="preserve"> </v>
      </c>
    </row>
    <row r="541" spans="1:11" ht="19.5" x14ac:dyDescent="0.25">
      <c r="A541" s="267"/>
      <c r="B541" s="268"/>
      <c r="C541" s="269"/>
      <c r="D541" s="270"/>
      <c r="E541" s="271"/>
      <c r="F541" s="272"/>
      <c r="G541" s="273"/>
      <c r="H541" s="274" t="str">
        <f t="shared" si="7"/>
        <v xml:space="preserve"> </v>
      </c>
      <c r="I541" s="275" t="str">
        <f t="shared" si="4"/>
        <v xml:space="preserve"> </v>
      </c>
      <c r="J541" s="276" t="str">
        <f t="shared" si="5"/>
        <v xml:space="preserve"> </v>
      </c>
      <c r="K541" s="277" t="str">
        <f t="shared" si="6"/>
        <v xml:space="preserve"> </v>
      </c>
    </row>
    <row r="542" spans="1:11" ht="19.5" x14ac:dyDescent="0.25">
      <c r="A542" s="267"/>
      <c r="B542" s="268"/>
      <c r="C542" s="269"/>
      <c r="D542" s="270"/>
      <c r="E542" s="271"/>
      <c r="F542" s="272"/>
      <c r="G542" s="273"/>
      <c r="H542" s="274" t="str">
        <f t="shared" si="7"/>
        <v xml:space="preserve"> </v>
      </c>
      <c r="I542" s="275" t="str">
        <f t="shared" si="4"/>
        <v xml:space="preserve"> </v>
      </c>
      <c r="J542" s="276" t="str">
        <f t="shared" si="5"/>
        <v xml:space="preserve"> </v>
      </c>
      <c r="K542" s="277" t="str">
        <f t="shared" si="6"/>
        <v xml:space="preserve"> </v>
      </c>
    </row>
    <row r="543" spans="1:11" ht="19.5" x14ac:dyDescent="0.25">
      <c r="A543" s="267"/>
      <c r="B543" s="268"/>
      <c r="C543" s="269"/>
      <c r="D543" s="270"/>
      <c r="E543" s="271"/>
      <c r="F543" s="272"/>
      <c r="G543" s="273"/>
      <c r="H543" s="274" t="str">
        <f t="shared" si="7"/>
        <v xml:space="preserve"> </v>
      </c>
      <c r="I543" s="275" t="str">
        <f t="shared" si="4"/>
        <v xml:space="preserve"> </v>
      </c>
      <c r="J543" s="276" t="str">
        <f t="shared" si="5"/>
        <v xml:space="preserve"> </v>
      </c>
      <c r="K543" s="277" t="str">
        <f t="shared" si="6"/>
        <v xml:space="preserve"> </v>
      </c>
    </row>
    <row r="544" spans="1:11" ht="19.5" x14ac:dyDescent="0.25">
      <c r="A544" s="267"/>
      <c r="B544" s="268"/>
      <c r="C544" s="269"/>
      <c r="D544" s="270"/>
      <c r="E544" s="271"/>
      <c r="F544" s="272"/>
      <c r="G544" s="273"/>
      <c r="H544" s="274" t="str">
        <f t="shared" si="7"/>
        <v xml:space="preserve"> </v>
      </c>
      <c r="I544" s="275" t="str">
        <f t="shared" si="4"/>
        <v xml:space="preserve"> </v>
      </c>
      <c r="J544" s="276" t="str">
        <f t="shared" si="5"/>
        <v xml:space="preserve"> </v>
      </c>
      <c r="K544" s="277" t="str">
        <f t="shared" si="6"/>
        <v xml:space="preserve"> </v>
      </c>
    </row>
    <row r="545" spans="1:11" ht="19.5" x14ac:dyDescent="0.25">
      <c r="A545" s="267"/>
      <c r="B545" s="268"/>
      <c r="C545" s="269"/>
      <c r="D545" s="270"/>
      <c r="E545" s="271"/>
      <c r="F545" s="272"/>
      <c r="G545" s="273"/>
      <c r="H545" s="274" t="str">
        <f t="shared" si="7"/>
        <v xml:space="preserve"> </v>
      </c>
      <c r="I545" s="275" t="str">
        <f t="shared" si="4"/>
        <v xml:space="preserve"> </v>
      </c>
      <c r="J545" s="276" t="str">
        <f t="shared" si="5"/>
        <v xml:space="preserve"> </v>
      </c>
      <c r="K545" s="277" t="str">
        <f t="shared" si="6"/>
        <v xml:space="preserve"> </v>
      </c>
    </row>
    <row r="546" spans="1:11" ht="19.5" x14ac:dyDescent="0.25">
      <c r="A546" s="267"/>
      <c r="B546" s="268"/>
      <c r="C546" s="269"/>
      <c r="D546" s="270"/>
      <c r="E546" s="271"/>
      <c r="F546" s="272"/>
      <c r="G546" s="273"/>
      <c r="H546" s="274" t="str">
        <f t="shared" si="7"/>
        <v xml:space="preserve"> </v>
      </c>
      <c r="I546" s="275" t="str">
        <f t="shared" si="4"/>
        <v xml:space="preserve"> </v>
      </c>
      <c r="J546" s="276" t="str">
        <f t="shared" si="5"/>
        <v xml:space="preserve"> </v>
      </c>
      <c r="K546" s="277" t="str">
        <f t="shared" si="6"/>
        <v xml:space="preserve"> </v>
      </c>
    </row>
    <row r="547" spans="1:11" ht="19.5" x14ac:dyDescent="0.25">
      <c r="A547" s="267"/>
      <c r="B547" s="268"/>
      <c r="C547" s="269"/>
      <c r="D547" s="270"/>
      <c r="E547" s="271"/>
      <c r="F547" s="272"/>
      <c r="G547" s="273"/>
      <c r="H547" s="274" t="str">
        <f t="shared" si="7"/>
        <v xml:space="preserve"> </v>
      </c>
      <c r="I547" s="275" t="str">
        <f t="shared" si="4"/>
        <v xml:space="preserve"> </v>
      </c>
      <c r="J547" s="276" t="str">
        <f t="shared" si="5"/>
        <v xml:space="preserve"> </v>
      </c>
      <c r="K547" s="277" t="str">
        <f t="shared" si="6"/>
        <v xml:space="preserve"> </v>
      </c>
    </row>
    <row r="548" spans="1:11" ht="19.5" x14ac:dyDescent="0.25">
      <c r="A548" s="267"/>
      <c r="B548" s="268"/>
      <c r="C548" s="269"/>
      <c r="D548" s="270"/>
      <c r="E548" s="271"/>
      <c r="F548" s="272"/>
      <c r="G548" s="273"/>
      <c r="H548" s="274" t="str">
        <f t="shared" si="7"/>
        <v xml:space="preserve"> </v>
      </c>
      <c r="I548" s="275" t="str">
        <f t="shared" si="4"/>
        <v xml:space="preserve"> </v>
      </c>
      <c r="J548" s="276" t="str">
        <f t="shared" si="5"/>
        <v xml:space="preserve"> </v>
      </c>
      <c r="K548" s="277" t="str">
        <f t="shared" si="6"/>
        <v xml:space="preserve"> </v>
      </c>
    </row>
    <row r="549" spans="1:11" ht="19.5" x14ac:dyDescent="0.25">
      <c r="A549" s="267"/>
      <c r="B549" s="268"/>
      <c r="C549" s="269"/>
      <c r="D549" s="270"/>
      <c r="E549" s="271"/>
      <c r="F549" s="272"/>
      <c r="G549" s="273"/>
      <c r="H549" s="274" t="str">
        <f t="shared" si="7"/>
        <v xml:space="preserve"> </v>
      </c>
      <c r="I549" s="275" t="str">
        <f t="shared" si="4"/>
        <v xml:space="preserve"> </v>
      </c>
      <c r="J549" s="276" t="str">
        <f t="shared" si="5"/>
        <v xml:space="preserve"> </v>
      </c>
      <c r="K549" s="277" t="str">
        <f t="shared" si="6"/>
        <v xml:space="preserve"> </v>
      </c>
    </row>
    <row r="550" spans="1:11" ht="19.5" x14ac:dyDescent="0.25">
      <c r="A550" s="267"/>
      <c r="B550" s="268"/>
      <c r="C550" s="269"/>
      <c r="D550" s="270"/>
      <c r="E550" s="271"/>
      <c r="F550" s="272"/>
      <c r="G550" s="273"/>
      <c r="H550" s="274" t="str">
        <f t="shared" si="7"/>
        <v xml:space="preserve"> </v>
      </c>
      <c r="I550" s="275" t="str">
        <f t="shared" si="4"/>
        <v xml:space="preserve"> </v>
      </c>
      <c r="J550" s="276" t="str">
        <f t="shared" si="5"/>
        <v xml:space="preserve"> </v>
      </c>
      <c r="K550" s="277" t="str">
        <f t="shared" si="6"/>
        <v xml:space="preserve"> </v>
      </c>
    </row>
    <row r="551" spans="1:11" ht="19.5" x14ac:dyDescent="0.25">
      <c r="A551" s="267"/>
      <c r="B551" s="268"/>
      <c r="C551" s="269"/>
      <c r="D551" s="270"/>
      <c r="E551" s="271"/>
      <c r="F551" s="272"/>
      <c r="G551" s="273"/>
      <c r="H551" s="274" t="str">
        <f t="shared" si="7"/>
        <v xml:space="preserve"> </v>
      </c>
      <c r="I551" s="275" t="str">
        <f t="shared" si="4"/>
        <v xml:space="preserve"> </v>
      </c>
      <c r="J551" s="276" t="str">
        <f t="shared" si="5"/>
        <v xml:space="preserve"> </v>
      </c>
      <c r="K551" s="277" t="str">
        <f t="shared" si="6"/>
        <v xml:space="preserve"> </v>
      </c>
    </row>
    <row r="552" spans="1:11" ht="19.5" x14ac:dyDescent="0.25">
      <c r="A552" s="267"/>
      <c r="B552" s="268"/>
      <c r="C552" s="269"/>
      <c r="D552" s="270"/>
      <c r="E552" s="271"/>
      <c r="F552" s="272"/>
      <c r="G552" s="273"/>
      <c r="H552" s="274" t="str">
        <f t="shared" si="7"/>
        <v xml:space="preserve"> </v>
      </c>
      <c r="I552" s="275" t="str">
        <f t="shared" si="4"/>
        <v xml:space="preserve"> </v>
      </c>
      <c r="J552" s="276" t="str">
        <f t="shared" si="5"/>
        <v xml:space="preserve"> </v>
      </c>
      <c r="K552" s="277" t="str">
        <f t="shared" si="6"/>
        <v xml:space="preserve"> </v>
      </c>
    </row>
    <row r="553" spans="1:11" ht="19.5" x14ac:dyDescent="0.25">
      <c r="A553" s="267"/>
      <c r="B553" s="268"/>
      <c r="C553" s="269"/>
      <c r="D553" s="270"/>
      <c r="E553" s="271"/>
      <c r="F553" s="272"/>
      <c r="G553" s="273"/>
      <c r="H553" s="274" t="str">
        <f t="shared" si="7"/>
        <v xml:space="preserve"> </v>
      </c>
      <c r="I553" s="275" t="str">
        <f t="shared" si="4"/>
        <v xml:space="preserve"> </v>
      </c>
      <c r="J553" s="276" t="str">
        <f t="shared" si="5"/>
        <v xml:space="preserve"> </v>
      </c>
      <c r="K553" s="277" t="str">
        <f t="shared" si="6"/>
        <v xml:space="preserve"> </v>
      </c>
    </row>
    <row r="554" spans="1:11" ht="19.5" x14ac:dyDescent="0.25">
      <c r="A554" s="267"/>
      <c r="B554" s="268"/>
      <c r="C554" s="269"/>
      <c r="D554" s="270"/>
      <c r="E554" s="271"/>
      <c r="F554" s="272"/>
      <c r="G554" s="273"/>
      <c r="H554" s="274" t="str">
        <f t="shared" si="7"/>
        <v xml:space="preserve"> </v>
      </c>
      <c r="I554" s="275" t="str">
        <f t="shared" si="4"/>
        <v xml:space="preserve"> </v>
      </c>
      <c r="J554" s="276" t="str">
        <f t="shared" si="5"/>
        <v xml:space="preserve"> </v>
      </c>
      <c r="K554" s="277" t="str">
        <f t="shared" si="6"/>
        <v xml:space="preserve"> </v>
      </c>
    </row>
    <row r="555" spans="1:11" ht="19.5" x14ac:dyDescent="0.25">
      <c r="A555" s="267"/>
      <c r="B555" s="268"/>
      <c r="C555" s="269"/>
      <c r="D555" s="270"/>
      <c r="E555" s="271"/>
      <c r="F555" s="272"/>
      <c r="G555" s="273"/>
      <c r="H555" s="274" t="str">
        <f t="shared" si="7"/>
        <v xml:space="preserve"> </v>
      </c>
      <c r="I555" s="275" t="str">
        <f t="shared" si="4"/>
        <v xml:space="preserve"> </v>
      </c>
      <c r="J555" s="276" t="str">
        <f t="shared" si="5"/>
        <v xml:space="preserve"> </v>
      </c>
      <c r="K555" s="277" t="str">
        <f t="shared" si="6"/>
        <v xml:space="preserve"> </v>
      </c>
    </row>
    <row r="556" spans="1:11" ht="19.5" x14ac:dyDescent="0.25">
      <c r="A556" s="267"/>
      <c r="B556" s="268"/>
      <c r="C556" s="269"/>
      <c r="D556" s="270"/>
      <c r="E556" s="271"/>
      <c r="F556" s="272"/>
      <c r="G556" s="273"/>
      <c r="H556" s="274" t="str">
        <f t="shared" si="7"/>
        <v xml:space="preserve"> </v>
      </c>
      <c r="I556" s="275" t="str">
        <f t="shared" si="4"/>
        <v xml:space="preserve"> </v>
      </c>
      <c r="J556" s="276" t="str">
        <f t="shared" si="5"/>
        <v xml:space="preserve"> </v>
      </c>
      <c r="K556" s="277" t="str">
        <f t="shared" si="6"/>
        <v xml:space="preserve"> </v>
      </c>
    </row>
    <row r="557" spans="1:11" ht="19.5" x14ac:dyDescent="0.25">
      <c r="A557" s="267"/>
      <c r="B557" s="268"/>
      <c r="C557" s="269"/>
      <c r="D557" s="270"/>
      <c r="E557" s="271"/>
      <c r="F557" s="272"/>
      <c r="G557" s="273"/>
      <c r="H557" s="274" t="str">
        <f t="shared" si="7"/>
        <v xml:space="preserve"> </v>
      </c>
      <c r="I557" s="275" t="str">
        <f t="shared" si="4"/>
        <v xml:space="preserve"> </v>
      </c>
      <c r="J557" s="276" t="str">
        <f t="shared" si="5"/>
        <v xml:space="preserve"> </v>
      </c>
      <c r="K557" s="277" t="str">
        <f t="shared" si="6"/>
        <v xml:space="preserve"> </v>
      </c>
    </row>
    <row r="558" spans="1:11" ht="19.5" x14ac:dyDescent="0.25">
      <c r="A558" s="267"/>
      <c r="B558" s="268"/>
      <c r="C558" s="269"/>
      <c r="D558" s="270"/>
      <c r="E558" s="271"/>
      <c r="F558" s="272"/>
      <c r="G558" s="273"/>
      <c r="H558" s="274" t="str">
        <f t="shared" si="7"/>
        <v xml:space="preserve"> </v>
      </c>
      <c r="I558" s="275" t="str">
        <f t="shared" si="4"/>
        <v xml:space="preserve"> </v>
      </c>
      <c r="J558" s="276" t="str">
        <f t="shared" si="5"/>
        <v xml:space="preserve"> </v>
      </c>
      <c r="K558" s="277" t="str">
        <f t="shared" si="6"/>
        <v xml:space="preserve"> </v>
      </c>
    </row>
    <row r="559" spans="1:11" ht="19.5" x14ac:dyDescent="0.25">
      <c r="A559" s="267"/>
      <c r="B559" s="268"/>
      <c r="C559" s="269"/>
      <c r="D559" s="270"/>
      <c r="E559" s="271"/>
      <c r="F559" s="272"/>
      <c r="G559" s="273"/>
      <c r="H559" s="274" t="str">
        <f t="shared" si="7"/>
        <v xml:space="preserve"> </v>
      </c>
      <c r="I559" s="275" t="str">
        <f t="shared" si="4"/>
        <v xml:space="preserve"> </v>
      </c>
      <c r="J559" s="276" t="str">
        <f t="shared" si="5"/>
        <v xml:space="preserve"> </v>
      </c>
      <c r="K559" s="277" t="str">
        <f t="shared" si="6"/>
        <v xml:space="preserve"> </v>
      </c>
    </row>
    <row r="560" spans="1:11" ht="19.5" x14ac:dyDescent="0.25">
      <c r="A560" s="267"/>
      <c r="B560" s="268"/>
      <c r="C560" s="269"/>
      <c r="D560" s="270"/>
      <c r="E560" s="271"/>
      <c r="F560" s="272"/>
      <c r="G560" s="273"/>
      <c r="H560" s="274" t="str">
        <f t="shared" si="7"/>
        <v xml:space="preserve"> </v>
      </c>
      <c r="I560" s="275" t="str">
        <f t="shared" ref="I560:I623" si="8">IF($D560="Заплыв №", "РЕЗУЛЬТАТ", " ")</f>
        <v xml:space="preserve"> </v>
      </c>
      <c r="J560" s="276" t="str">
        <f t="shared" ref="J560:J623" si="9">IF($D560="Заплыв №", "ФИНИШ", " ")</f>
        <v xml:space="preserve"> </v>
      </c>
      <c r="K560" s="277" t="str">
        <f t="shared" ref="K560:K623" si="10">IF($D560="Заплыв №", "ПРИМ.", " ")</f>
        <v xml:space="preserve"> </v>
      </c>
    </row>
    <row r="561" spans="1:11" ht="19.5" x14ac:dyDescent="0.25">
      <c r="A561" s="267"/>
      <c r="B561" s="268"/>
      <c r="C561" s="269"/>
      <c r="D561" s="270"/>
      <c r="E561" s="271"/>
      <c r="F561" s="272"/>
      <c r="G561" s="273"/>
      <c r="H561" s="274" t="str">
        <f t="shared" si="7"/>
        <v xml:space="preserve"> </v>
      </c>
      <c r="I561" s="275" t="str">
        <f t="shared" si="8"/>
        <v xml:space="preserve"> </v>
      </c>
      <c r="J561" s="276" t="str">
        <f t="shared" si="9"/>
        <v xml:space="preserve"> </v>
      </c>
      <c r="K561" s="277" t="str">
        <f t="shared" si="10"/>
        <v xml:space="preserve"> </v>
      </c>
    </row>
    <row r="562" spans="1:11" ht="19.5" x14ac:dyDescent="0.25">
      <c r="A562" s="267"/>
      <c r="B562" s="268"/>
      <c r="C562" s="269"/>
      <c r="D562" s="270"/>
      <c r="E562" s="271"/>
      <c r="F562" s="272"/>
      <c r="G562" s="273"/>
      <c r="H562" s="274" t="str">
        <f t="shared" si="7"/>
        <v xml:space="preserve"> </v>
      </c>
      <c r="I562" s="275" t="str">
        <f t="shared" si="8"/>
        <v xml:space="preserve"> </v>
      </c>
      <c r="J562" s="276" t="str">
        <f t="shared" si="9"/>
        <v xml:space="preserve"> </v>
      </c>
      <c r="K562" s="277" t="str">
        <f t="shared" si="10"/>
        <v xml:space="preserve"> </v>
      </c>
    </row>
    <row r="563" spans="1:11" ht="19.5" x14ac:dyDescent="0.25">
      <c r="A563" s="267"/>
      <c r="B563" s="268"/>
      <c r="C563" s="269"/>
      <c r="D563" s="270"/>
      <c r="E563" s="271"/>
      <c r="F563" s="272"/>
      <c r="G563" s="273"/>
      <c r="H563" s="274" t="str">
        <f t="shared" si="7"/>
        <v xml:space="preserve"> </v>
      </c>
      <c r="I563" s="275" t="str">
        <f t="shared" si="8"/>
        <v xml:space="preserve"> </v>
      </c>
      <c r="J563" s="276" t="str">
        <f t="shared" si="9"/>
        <v xml:space="preserve"> </v>
      </c>
      <c r="K563" s="277" t="str">
        <f t="shared" si="10"/>
        <v xml:space="preserve"> </v>
      </c>
    </row>
    <row r="564" spans="1:11" ht="19.5" x14ac:dyDescent="0.25">
      <c r="A564" s="267"/>
      <c r="B564" s="268"/>
      <c r="C564" s="269"/>
      <c r="D564" s="270"/>
      <c r="E564" s="271"/>
      <c r="F564" s="272"/>
      <c r="G564" s="273"/>
      <c r="H564" s="274" t="str">
        <f t="shared" si="7"/>
        <v xml:space="preserve"> </v>
      </c>
      <c r="I564" s="275" t="str">
        <f t="shared" si="8"/>
        <v xml:space="preserve"> </v>
      </c>
      <c r="J564" s="276" t="str">
        <f t="shared" si="9"/>
        <v xml:space="preserve"> </v>
      </c>
      <c r="K564" s="277" t="str">
        <f t="shared" si="10"/>
        <v xml:space="preserve"> </v>
      </c>
    </row>
    <row r="565" spans="1:11" ht="19.5" x14ac:dyDescent="0.25">
      <c r="A565" s="267"/>
      <c r="B565" s="268"/>
      <c r="C565" s="269"/>
      <c r="D565" s="270"/>
      <c r="E565" s="271"/>
      <c r="F565" s="272"/>
      <c r="G565" s="273"/>
      <c r="H565" s="274" t="str">
        <f t="shared" si="7"/>
        <v xml:space="preserve"> </v>
      </c>
      <c r="I565" s="275" t="str">
        <f t="shared" si="8"/>
        <v xml:space="preserve"> </v>
      </c>
      <c r="J565" s="276" t="str">
        <f t="shared" si="9"/>
        <v xml:space="preserve"> </v>
      </c>
      <c r="K565" s="277" t="str">
        <f t="shared" si="10"/>
        <v xml:space="preserve"> </v>
      </c>
    </row>
    <row r="566" spans="1:11" ht="19.5" x14ac:dyDescent="0.25">
      <c r="A566" s="267"/>
      <c r="B566" s="268"/>
      <c r="C566" s="269"/>
      <c r="D566" s="270"/>
      <c r="E566" s="271"/>
      <c r="F566" s="272"/>
      <c r="G566" s="273"/>
      <c r="H566" s="274" t="str">
        <f t="shared" si="7"/>
        <v xml:space="preserve"> </v>
      </c>
      <c r="I566" s="275" t="str">
        <f t="shared" si="8"/>
        <v xml:space="preserve"> </v>
      </c>
      <c r="J566" s="276" t="str">
        <f t="shared" si="9"/>
        <v xml:space="preserve"> </v>
      </c>
      <c r="K566" s="277" t="str">
        <f t="shared" si="10"/>
        <v xml:space="preserve"> </v>
      </c>
    </row>
    <row r="567" spans="1:11" ht="19.5" x14ac:dyDescent="0.25">
      <c r="A567" s="267"/>
      <c r="B567" s="268"/>
      <c r="C567" s="269"/>
      <c r="D567" s="270"/>
      <c r="E567" s="271"/>
      <c r="F567" s="272"/>
      <c r="G567" s="273"/>
      <c r="H567" s="274" t="str">
        <f t="shared" si="7"/>
        <v xml:space="preserve"> </v>
      </c>
      <c r="I567" s="275" t="str">
        <f t="shared" si="8"/>
        <v xml:space="preserve"> </v>
      </c>
      <c r="J567" s="276" t="str">
        <f t="shared" si="9"/>
        <v xml:space="preserve"> </v>
      </c>
      <c r="K567" s="277" t="str">
        <f t="shared" si="10"/>
        <v xml:space="preserve"> </v>
      </c>
    </row>
    <row r="568" spans="1:11" ht="19.5" x14ac:dyDescent="0.25">
      <c r="A568" s="267"/>
      <c r="B568" s="268"/>
      <c r="C568" s="269"/>
      <c r="D568" s="270"/>
      <c r="E568" s="271"/>
      <c r="F568" s="272"/>
      <c r="G568" s="273"/>
      <c r="H568" s="274" t="str">
        <f t="shared" si="7"/>
        <v xml:space="preserve"> </v>
      </c>
      <c r="I568" s="275" t="str">
        <f t="shared" si="8"/>
        <v xml:space="preserve"> </v>
      </c>
      <c r="J568" s="276" t="str">
        <f t="shared" si="9"/>
        <v xml:space="preserve"> </v>
      </c>
      <c r="K568" s="277" t="str">
        <f t="shared" si="10"/>
        <v xml:space="preserve"> </v>
      </c>
    </row>
    <row r="569" spans="1:11" ht="19.5" x14ac:dyDescent="0.25">
      <c r="A569" s="267"/>
      <c r="B569" s="268"/>
      <c r="C569" s="269"/>
      <c r="D569" s="270"/>
      <c r="E569" s="271"/>
      <c r="F569" s="272"/>
      <c r="G569" s="273"/>
      <c r="H569" s="274" t="str">
        <f t="shared" si="7"/>
        <v xml:space="preserve"> </v>
      </c>
      <c r="I569" s="275" t="str">
        <f t="shared" si="8"/>
        <v xml:space="preserve"> </v>
      </c>
      <c r="J569" s="276" t="str">
        <f t="shared" si="9"/>
        <v xml:space="preserve"> </v>
      </c>
      <c r="K569" s="277" t="str">
        <f t="shared" si="10"/>
        <v xml:space="preserve"> </v>
      </c>
    </row>
    <row r="570" spans="1:11" ht="19.5" x14ac:dyDescent="0.25">
      <c r="A570" s="267"/>
      <c r="B570" s="268"/>
      <c r="C570" s="269"/>
      <c r="D570" s="270"/>
      <c r="E570" s="271"/>
      <c r="F570" s="272"/>
      <c r="G570" s="273"/>
      <c r="H570" s="274" t="str">
        <f t="shared" si="7"/>
        <v xml:space="preserve"> </v>
      </c>
      <c r="I570" s="275" t="str">
        <f t="shared" si="8"/>
        <v xml:space="preserve"> </v>
      </c>
      <c r="J570" s="276" t="str">
        <f t="shared" si="9"/>
        <v xml:space="preserve"> </v>
      </c>
      <c r="K570" s="277" t="str">
        <f t="shared" si="10"/>
        <v xml:space="preserve"> </v>
      </c>
    </row>
    <row r="571" spans="1:11" ht="19.5" x14ac:dyDescent="0.25">
      <c r="A571" s="267"/>
      <c r="B571" s="268"/>
      <c r="C571" s="269"/>
      <c r="D571" s="270"/>
      <c r="E571" s="271"/>
      <c r="F571" s="272"/>
      <c r="G571" s="273"/>
      <c r="H571" s="274" t="str">
        <f t="shared" si="7"/>
        <v xml:space="preserve"> </v>
      </c>
      <c r="I571" s="275" t="str">
        <f t="shared" si="8"/>
        <v xml:space="preserve"> </v>
      </c>
      <c r="J571" s="276" t="str">
        <f t="shared" si="9"/>
        <v xml:space="preserve"> </v>
      </c>
      <c r="K571" s="277" t="str">
        <f t="shared" si="10"/>
        <v xml:space="preserve"> </v>
      </c>
    </row>
    <row r="572" spans="1:11" ht="19.5" x14ac:dyDescent="0.25">
      <c r="A572" s="267"/>
      <c r="B572" s="268"/>
      <c r="C572" s="269"/>
      <c r="D572" s="270"/>
      <c r="E572" s="271"/>
      <c r="F572" s="272"/>
      <c r="G572" s="273"/>
      <c r="H572" s="274" t="str">
        <f t="shared" si="7"/>
        <v xml:space="preserve"> </v>
      </c>
      <c r="I572" s="275" t="str">
        <f t="shared" si="8"/>
        <v xml:space="preserve"> </v>
      </c>
      <c r="J572" s="276" t="str">
        <f t="shared" si="9"/>
        <v xml:space="preserve"> </v>
      </c>
      <c r="K572" s="277" t="str">
        <f t="shared" si="10"/>
        <v xml:space="preserve"> </v>
      </c>
    </row>
    <row r="573" spans="1:11" ht="19.5" x14ac:dyDescent="0.25">
      <c r="A573" s="267"/>
      <c r="B573" s="268"/>
      <c r="C573" s="269"/>
      <c r="D573" s="270"/>
      <c r="E573" s="271"/>
      <c r="F573" s="272"/>
      <c r="G573" s="273"/>
      <c r="H573" s="274" t="str">
        <f t="shared" si="7"/>
        <v xml:space="preserve"> </v>
      </c>
      <c r="I573" s="275" t="str">
        <f t="shared" si="8"/>
        <v xml:space="preserve"> </v>
      </c>
      <c r="J573" s="276" t="str">
        <f t="shared" si="9"/>
        <v xml:space="preserve"> </v>
      </c>
      <c r="K573" s="277" t="str">
        <f t="shared" si="10"/>
        <v xml:space="preserve"> </v>
      </c>
    </row>
    <row r="574" spans="1:11" ht="19.5" x14ac:dyDescent="0.25">
      <c r="A574" s="267"/>
      <c r="B574" s="268"/>
      <c r="C574" s="269"/>
      <c r="D574" s="270"/>
      <c r="E574" s="271"/>
      <c r="F574" s="272"/>
      <c r="G574" s="273"/>
      <c r="H574" s="274" t="str">
        <f t="shared" si="7"/>
        <v xml:space="preserve"> </v>
      </c>
      <c r="I574" s="275" t="str">
        <f t="shared" si="8"/>
        <v xml:space="preserve"> </v>
      </c>
      <c r="J574" s="276" t="str">
        <f t="shared" si="9"/>
        <v xml:space="preserve"> </v>
      </c>
      <c r="K574" s="277" t="str">
        <f t="shared" si="10"/>
        <v xml:space="preserve"> </v>
      </c>
    </row>
    <row r="575" spans="1:11" ht="19.5" x14ac:dyDescent="0.25">
      <c r="A575" s="267"/>
      <c r="B575" s="268"/>
      <c r="C575" s="269"/>
      <c r="D575" s="270"/>
      <c r="E575" s="271"/>
      <c r="F575" s="272"/>
      <c r="G575" s="273"/>
      <c r="H575" s="274" t="str">
        <f t="shared" si="7"/>
        <v xml:space="preserve"> </v>
      </c>
      <c r="I575" s="275" t="str">
        <f t="shared" si="8"/>
        <v xml:space="preserve"> </v>
      </c>
      <c r="J575" s="276" t="str">
        <f t="shared" si="9"/>
        <v xml:space="preserve"> </v>
      </c>
      <c r="K575" s="277" t="str">
        <f t="shared" si="10"/>
        <v xml:space="preserve"> </v>
      </c>
    </row>
    <row r="576" spans="1:11" ht="19.5" x14ac:dyDescent="0.25">
      <c r="A576" s="267"/>
      <c r="B576" s="268"/>
      <c r="C576" s="269"/>
      <c r="D576" s="270"/>
      <c r="E576" s="271"/>
      <c r="F576" s="272"/>
      <c r="G576" s="273"/>
      <c r="H576" s="274" t="str">
        <f t="shared" si="7"/>
        <v xml:space="preserve"> </v>
      </c>
      <c r="I576" s="275" t="str">
        <f t="shared" si="8"/>
        <v xml:space="preserve"> </v>
      </c>
      <c r="J576" s="276" t="str">
        <f t="shared" si="9"/>
        <v xml:space="preserve"> </v>
      </c>
      <c r="K576" s="277" t="str">
        <f t="shared" si="10"/>
        <v xml:space="preserve"> </v>
      </c>
    </row>
    <row r="577" spans="1:11" ht="19.5" x14ac:dyDescent="0.25">
      <c r="A577" s="267"/>
      <c r="B577" s="268"/>
      <c r="C577" s="269"/>
      <c r="D577" s="270"/>
      <c r="E577" s="271"/>
      <c r="F577" s="272"/>
      <c r="G577" s="273"/>
      <c r="H577" s="274" t="str">
        <f t="shared" si="7"/>
        <v xml:space="preserve"> </v>
      </c>
      <c r="I577" s="275" t="str">
        <f t="shared" si="8"/>
        <v xml:space="preserve"> </v>
      </c>
      <c r="J577" s="276" t="str">
        <f t="shared" si="9"/>
        <v xml:space="preserve"> </v>
      </c>
      <c r="K577" s="277" t="str">
        <f t="shared" si="10"/>
        <v xml:space="preserve"> </v>
      </c>
    </row>
    <row r="578" spans="1:11" ht="19.5" x14ac:dyDescent="0.25">
      <c r="A578" s="267"/>
      <c r="B578" s="268"/>
      <c r="C578" s="269"/>
      <c r="D578" s="270"/>
      <c r="E578" s="271"/>
      <c r="F578" s="272"/>
      <c r="G578" s="273"/>
      <c r="H578" s="274" t="str">
        <f t="shared" ref="H578:H641" si="11">IF(ISBLANK(A578), " ", A578)</f>
        <v xml:space="preserve"> </v>
      </c>
      <c r="I578" s="275" t="str">
        <f t="shared" si="8"/>
        <v xml:space="preserve"> </v>
      </c>
      <c r="J578" s="276" t="str">
        <f t="shared" si="9"/>
        <v xml:space="preserve"> </v>
      </c>
      <c r="K578" s="277" t="str">
        <f t="shared" si="10"/>
        <v xml:space="preserve"> </v>
      </c>
    </row>
    <row r="579" spans="1:11" ht="19.5" x14ac:dyDescent="0.25">
      <c r="A579" s="267"/>
      <c r="B579" s="268"/>
      <c r="C579" s="269"/>
      <c r="D579" s="270"/>
      <c r="E579" s="271"/>
      <c r="F579" s="272"/>
      <c r="G579" s="273"/>
      <c r="H579" s="274" t="str">
        <f t="shared" si="11"/>
        <v xml:space="preserve"> </v>
      </c>
      <c r="I579" s="275" t="str">
        <f t="shared" si="8"/>
        <v xml:space="preserve"> </v>
      </c>
      <c r="J579" s="276" t="str">
        <f t="shared" si="9"/>
        <v xml:space="preserve"> </v>
      </c>
      <c r="K579" s="277" t="str">
        <f t="shared" si="10"/>
        <v xml:space="preserve"> </v>
      </c>
    </row>
    <row r="580" spans="1:11" ht="19.5" x14ac:dyDescent="0.25">
      <c r="A580" s="267"/>
      <c r="B580" s="268"/>
      <c r="C580" s="269"/>
      <c r="D580" s="270"/>
      <c r="E580" s="271"/>
      <c r="F580" s="272"/>
      <c r="G580" s="273"/>
      <c r="H580" s="274" t="str">
        <f t="shared" si="11"/>
        <v xml:space="preserve"> </v>
      </c>
      <c r="I580" s="275" t="str">
        <f t="shared" si="8"/>
        <v xml:space="preserve"> </v>
      </c>
      <c r="J580" s="276" t="str">
        <f t="shared" si="9"/>
        <v xml:space="preserve"> </v>
      </c>
      <c r="K580" s="277" t="str">
        <f t="shared" si="10"/>
        <v xml:space="preserve"> </v>
      </c>
    </row>
    <row r="581" spans="1:11" ht="19.5" x14ac:dyDescent="0.25">
      <c r="A581" s="267"/>
      <c r="B581" s="268"/>
      <c r="C581" s="269"/>
      <c r="D581" s="270"/>
      <c r="E581" s="271"/>
      <c r="F581" s="272"/>
      <c r="G581" s="273"/>
      <c r="H581" s="274" t="str">
        <f t="shared" si="11"/>
        <v xml:space="preserve"> </v>
      </c>
      <c r="I581" s="275" t="str">
        <f t="shared" si="8"/>
        <v xml:space="preserve"> </v>
      </c>
      <c r="J581" s="276" t="str">
        <f t="shared" si="9"/>
        <v xml:space="preserve"> </v>
      </c>
      <c r="K581" s="277" t="str">
        <f t="shared" si="10"/>
        <v xml:space="preserve"> </v>
      </c>
    </row>
    <row r="582" spans="1:11" ht="19.5" x14ac:dyDescent="0.25">
      <c r="A582" s="267"/>
      <c r="B582" s="268"/>
      <c r="C582" s="269"/>
      <c r="D582" s="270"/>
      <c r="E582" s="271"/>
      <c r="F582" s="272"/>
      <c r="G582" s="273"/>
      <c r="H582" s="274" t="str">
        <f t="shared" si="11"/>
        <v xml:space="preserve"> </v>
      </c>
      <c r="I582" s="275" t="str">
        <f t="shared" si="8"/>
        <v xml:space="preserve"> </v>
      </c>
      <c r="J582" s="276" t="str">
        <f t="shared" si="9"/>
        <v xml:space="preserve"> </v>
      </c>
      <c r="K582" s="277" t="str">
        <f t="shared" si="10"/>
        <v xml:space="preserve"> </v>
      </c>
    </row>
    <row r="583" spans="1:11" ht="19.5" x14ac:dyDescent="0.25">
      <c r="A583" s="267"/>
      <c r="B583" s="268"/>
      <c r="C583" s="269"/>
      <c r="D583" s="270"/>
      <c r="E583" s="271"/>
      <c r="F583" s="272"/>
      <c r="G583" s="273"/>
      <c r="H583" s="274" t="str">
        <f t="shared" si="11"/>
        <v xml:space="preserve"> </v>
      </c>
      <c r="I583" s="275" t="str">
        <f t="shared" si="8"/>
        <v xml:space="preserve"> </v>
      </c>
      <c r="J583" s="276" t="str">
        <f t="shared" si="9"/>
        <v xml:space="preserve"> </v>
      </c>
      <c r="K583" s="277" t="str">
        <f t="shared" si="10"/>
        <v xml:space="preserve"> </v>
      </c>
    </row>
    <row r="584" spans="1:11" ht="19.5" x14ac:dyDescent="0.25">
      <c r="A584" s="267"/>
      <c r="B584" s="268"/>
      <c r="C584" s="269"/>
      <c r="D584" s="270"/>
      <c r="E584" s="271"/>
      <c r="F584" s="272"/>
      <c r="G584" s="273"/>
      <c r="H584" s="274" t="str">
        <f t="shared" si="11"/>
        <v xml:space="preserve"> </v>
      </c>
      <c r="I584" s="275" t="str">
        <f t="shared" si="8"/>
        <v xml:space="preserve"> </v>
      </c>
      <c r="J584" s="276" t="str">
        <f t="shared" si="9"/>
        <v xml:space="preserve"> </v>
      </c>
      <c r="K584" s="277" t="str">
        <f t="shared" si="10"/>
        <v xml:space="preserve"> </v>
      </c>
    </row>
    <row r="585" spans="1:11" ht="19.5" x14ac:dyDescent="0.25">
      <c r="A585" s="267"/>
      <c r="B585" s="268"/>
      <c r="C585" s="269"/>
      <c r="D585" s="270"/>
      <c r="E585" s="271"/>
      <c r="F585" s="272"/>
      <c r="G585" s="273"/>
      <c r="H585" s="274" t="str">
        <f t="shared" si="11"/>
        <v xml:space="preserve"> </v>
      </c>
      <c r="I585" s="275" t="str">
        <f t="shared" si="8"/>
        <v xml:space="preserve"> </v>
      </c>
      <c r="J585" s="276" t="str">
        <f t="shared" si="9"/>
        <v xml:space="preserve"> </v>
      </c>
      <c r="K585" s="277" t="str">
        <f t="shared" si="10"/>
        <v xml:space="preserve"> </v>
      </c>
    </row>
    <row r="586" spans="1:11" ht="19.5" x14ac:dyDescent="0.25">
      <c r="A586" s="267"/>
      <c r="B586" s="268"/>
      <c r="C586" s="269"/>
      <c r="D586" s="270"/>
      <c r="E586" s="271"/>
      <c r="F586" s="272"/>
      <c r="G586" s="273"/>
      <c r="H586" s="274" t="str">
        <f t="shared" si="11"/>
        <v xml:space="preserve"> </v>
      </c>
      <c r="I586" s="275" t="str">
        <f t="shared" si="8"/>
        <v xml:space="preserve"> </v>
      </c>
      <c r="J586" s="276" t="str">
        <f t="shared" si="9"/>
        <v xml:space="preserve"> </v>
      </c>
      <c r="K586" s="277" t="str">
        <f t="shared" si="10"/>
        <v xml:space="preserve"> </v>
      </c>
    </row>
    <row r="587" spans="1:11" ht="19.5" x14ac:dyDescent="0.25">
      <c r="A587" s="267"/>
      <c r="B587" s="268"/>
      <c r="C587" s="269"/>
      <c r="D587" s="270"/>
      <c r="E587" s="271"/>
      <c r="F587" s="272"/>
      <c r="G587" s="273"/>
      <c r="H587" s="274" t="str">
        <f t="shared" si="11"/>
        <v xml:space="preserve"> </v>
      </c>
      <c r="I587" s="275" t="str">
        <f t="shared" si="8"/>
        <v xml:space="preserve"> </v>
      </c>
      <c r="J587" s="276" t="str">
        <f t="shared" si="9"/>
        <v xml:space="preserve"> </v>
      </c>
      <c r="K587" s="277" t="str">
        <f t="shared" si="10"/>
        <v xml:space="preserve"> </v>
      </c>
    </row>
    <row r="588" spans="1:11" ht="19.5" x14ac:dyDescent="0.25">
      <c r="A588" s="267"/>
      <c r="B588" s="268"/>
      <c r="C588" s="269"/>
      <c r="D588" s="270"/>
      <c r="E588" s="271"/>
      <c r="F588" s="272"/>
      <c r="G588" s="273"/>
      <c r="H588" s="274" t="str">
        <f t="shared" si="11"/>
        <v xml:space="preserve"> </v>
      </c>
      <c r="I588" s="275" t="str">
        <f t="shared" si="8"/>
        <v xml:space="preserve"> </v>
      </c>
      <c r="J588" s="276" t="str">
        <f t="shared" si="9"/>
        <v xml:space="preserve"> </v>
      </c>
      <c r="K588" s="277" t="str">
        <f t="shared" si="10"/>
        <v xml:space="preserve"> </v>
      </c>
    </row>
    <row r="589" spans="1:11" ht="19.5" x14ac:dyDescent="0.25">
      <c r="A589" s="267"/>
      <c r="B589" s="268"/>
      <c r="C589" s="269"/>
      <c r="D589" s="270"/>
      <c r="E589" s="271"/>
      <c r="F589" s="272"/>
      <c r="G589" s="273"/>
      <c r="H589" s="274" t="str">
        <f t="shared" si="11"/>
        <v xml:space="preserve"> </v>
      </c>
      <c r="I589" s="275" t="str">
        <f t="shared" si="8"/>
        <v xml:space="preserve"> </v>
      </c>
      <c r="J589" s="276" t="str">
        <f t="shared" si="9"/>
        <v xml:space="preserve"> </v>
      </c>
      <c r="K589" s="277" t="str">
        <f t="shared" si="10"/>
        <v xml:space="preserve"> </v>
      </c>
    </row>
    <row r="590" spans="1:11" ht="19.5" x14ac:dyDescent="0.25">
      <c r="A590" s="267"/>
      <c r="B590" s="268"/>
      <c r="C590" s="269"/>
      <c r="D590" s="270"/>
      <c r="E590" s="271"/>
      <c r="F590" s="272"/>
      <c r="G590" s="273"/>
      <c r="H590" s="274" t="str">
        <f t="shared" si="11"/>
        <v xml:space="preserve"> </v>
      </c>
      <c r="I590" s="275" t="str">
        <f t="shared" si="8"/>
        <v xml:space="preserve"> </v>
      </c>
      <c r="J590" s="276" t="str">
        <f t="shared" si="9"/>
        <v xml:space="preserve"> </v>
      </c>
      <c r="K590" s="277" t="str">
        <f t="shared" si="10"/>
        <v xml:space="preserve"> </v>
      </c>
    </row>
    <row r="591" spans="1:11" ht="19.5" x14ac:dyDescent="0.25">
      <c r="A591" s="267"/>
      <c r="B591" s="268"/>
      <c r="C591" s="269"/>
      <c r="D591" s="270"/>
      <c r="E591" s="271"/>
      <c r="F591" s="272"/>
      <c r="G591" s="273"/>
      <c r="H591" s="274" t="str">
        <f t="shared" si="11"/>
        <v xml:space="preserve"> </v>
      </c>
      <c r="I591" s="275" t="str">
        <f t="shared" si="8"/>
        <v xml:space="preserve"> </v>
      </c>
      <c r="J591" s="276" t="str">
        <f t="shared" si="9"/>
        <v xml:space="preserve"> </v>
      </c>
      <c r="K591" s="277" t="str">
        <f t="shared" si="10"/>
        <v xml:space="preserve"> </v>
      </c>
    </row>
    <row r="592" spans="1:11" ht="19.5" x14ac:dyDescent="0.25">
      <c r="A592" s="267"/>
      <c r="B592" s="268"/>
      <c r="C592" s="269"/>
      <c r="D592" s="270"/>
      <c r="E592" s="271"/>
      <c r="F592" s="272"/>
      <c r="G592" s="273"/>
      <c r="H592" s="274" t="str">
        <f t="shared" si="11"/>
        <v xml:space="preserve"> </v>
      </c>
      <c r="I592" s="275" t="str">
        <f t="shared" si="8"/>
        <v xml:space="preserve"> </v>
      </c>
      <c r="J592" s="276" t="str">
        <f t="shared" si="9"/>
        <v xml:space="preserve"> </v>
      </c>
      <c r="K592" s="277" t="str">
        <f t="shared" si="10"/>
        <v xml:space="preserve"> </v>
      </c>
    </row>
    <row r="593" spans="1:11" ht="19.5" x14ac:dyDescent="0.25">
      <c r="A593" s="267"/>
      <c r="B593" s="268"/>
      <c r="C593" s="269"/>
      <c r="D593" s="270"/>
      <c r="E593" s="271"/>
      <c r="F593" s="272"/>
      <c r="G593" s="273"/>
      <c r="H593" s="274" t="str">
        <f t="shared" si="11"/>
        <v xml:space="preserve"> </v>
      </c>
      <c r="I593" s="275" t="str">
        <f t="shared" si="8"/>
        <v xml:space="preserve"> </v>
      </c>
      <c r="J593" s="276" t="str">
        <f t="shared" si="9"/>
        <v xml:space="preserve"> </v>
      </c>
      <c r="K593" s="277" t="str">
        <f t="shared" si="10"/>
        <v xml:space="preserve"> </v>
      </c>
    </row>
    <row r="594" spans="1:11" ht="19.5" x14ac:dyDescent="0.25">
      <c r="A594" s="267"/>
      <c r="B594" s="268"/>
      <c r="C594" s="269"/>
      <c r="D594" s="270"/>
      <c r="E594" s="271"/>
      <c r="F594" s="272"/>
      <c r="G594" s="273"/>
      <c r="H594" s="274" t="str">
        <f t="shared" si="11"/>
        <v xml:space="preserve"> </v>
      </c>
      <c r="I594" s="275" t="str">
        <f t="shared" si="8"/>
        <v xml:space="preserve"> </v>
      </c>
      <c r="J594" s="276" t="str">
        <f t="shared" si="9"/>
        <v xml:space="preserve"> </v>
      </c>
      <c r="K594" s="277" t="str">
        <f t="shared" si="10"/>
        <v xml:space="preserve"> </v>
      </c>
    </row>
    <row r="595" spans="1:11" ht="19.5" x14ac:dyDescent="0.25">
      <c r="A595" s="267"/>
      <c r="B595" s="268"/>
      <c r="C595" s="269"/>
      <c r="D595" s="270"/>
      <c r="E595" s="271"/>
      <c r="F595" s="272"/>
      <c r="G595" s="273"/>
      <c r="H595" s="274" t="str">
        <f t="shared" si="11"/>
        <v xml:space="preserve"> </v>
      </c>
      <c r="I595" s="275" t="str">
        <f t="shared" si="8"/>
        <v xml:space="preserve"> </v>
      </c>
      <c r="J595" s="276" t="str">
        <f t="shared" si="9"/>
        <v xml:space="preserve"> </v>
      </c>
      <c r="K595" s="277" t="str">
        <f t="shared" si="10"/>
        <v xml:space="preserve"> </v>
      </c>
    </row>
    <row r="596" spans="1:11" ht="19.5" x14ac:dyDescent="0.25">
      <c r="A596" s="267"/>
      <c r="B596" s="268"/>
      <c r="C596" s="269"/>
      <c r="D596" s="270"/>
      <c r="E596" s="271"/>
      <c r="F596" s="272"/>
      <c r="G596" s="273"/>
      <c r="H596" s="274" t="str">
        <f t="shared" si="11"/>
        <v xml:space="preserve"> </v>
      </c>
      <c r="I596" s="275" t="str">
        <f t="shared" si="8"/>
        <v xml:space="preserve"> </v>
      </c>
      <c r="J596" s="276" t="str">
        <f t="shared" si="9"/>
        <v xml:space="preserve"> </v>
      </c>
      <c r="K596" s="277" t="str">
        <f t="shared" si="10"/>
        <v xml:space="preserve"> </v>
      </c>
    </row>
    <row r="597" spans="1:11" ht="19.5" x14ac:dyDescent="0.25">
      <c r="A597" s="267"/>
      <c r="B597" s="268"/>
      <c r="C597" s="269"/>
      <c r="D597" s="270"/>
      <c r="E597" s="271"/>
      <c r="F597" s="272"/>
      <c r="G597" s="273"/>
      <c r="H597" s="274" t="str">
        <f t="shared" si="11"/>
        <v xml:space="preserve"> </v>
      </c>
      <c r="I597" s="275" t="str">
        <f t="shared" si="8"/>
        <v xml:space="preserve"> </v>
      </c>
      <c r="J597" s="276" t="str">
        <f t="shared" si="9"/>
        <v xml:space="preserve"> </v>
      </c>
      <c r="K597" s="277" t="str">
        <f t="shared" si="10"/>
        <v xml:space="preserve"> </v>
      </c>
    </row>
    <row r="598" spans="1:11" ht="19.5" x14ac:dyDescent="0.25">
      <c r="A598" s="267"/>
      <c r="B598" s="268"/>
      <c r="C598" s="269"/>
      <c r="D598" s="270"/>
      <c r="E598" s="271"/>
      <c r="F598" s="272"/>
      <c r="G598" s="273"/>
      <c r="H598" s="274" t="str">
        <f t="shared" si="11"/>
        <v xml:space="preserve"> </v>
      </c>
      <c r="I598" s="275" t="str">
        <f t="shared" si="8"/>
        <v xml:space="preserve"> </v>
      </c>
      <c r="J598" s="276" t="str">
        <f t="shared" si="9"/>
        <v xml:space="preserve"> </v>
      </c>
      <c r="K598" s="277" t="str">
        <f t="shared" si="10"/>
        <v xml:space="preserve"> </v>
      </c>
    </row>
    <row r="599" spans="1:11" ht="19.5" x14ac:dyDescent="0.25">
      <c r="A599" s="267"/>
      <c r="B599" s="268"/>
      <c r="C599" s="269"/>
      <c r="D599" s="270"/>
      <c r="E599" s="271"/>
      <c r="F599" s="272"/>
      <c r="G599" s="273"/>
      <c r="H599" s="274" t="str">
        <f t="shared" si="11"/>
        <v xml:space="preserve"> </v>
      </c>
      <c r="I599" s="275" t="str">
        <f t="shared" si="8"/>
        <v xml:space="preserve"> </v>
      </c>
      <c r="J599" s="276" t="str">
        <f t="shared" si="9"/>
        <v xml:space="preserve"> </v>
      </c>
      <c r="K599" s="277" t="str">
        <f t="shared" si="10"/>
        <v xml:space="preserve"> </v>
      </c>
    </row>
    <row r="600" spans="1:11" ht="19.5" x14ac:dyDescent="0.25">
      <c r="A600" s="267"/>
      <c r="B600" s="268"/>
      <c r="C600" s="269"/>
      <c r="D600" s="270"/>
      <c r="E600" s="271"/>
      <c r="F600" s="272"/>
      <c r="G600" s="273"/>
      <c r="H600" s="274" t="str">
        <f t="shared" si="11"/>
        <v xml:space="preserve"> </v>
      </c>
      <c r="I600" s="275" t="str">
        <f t="shared" si="8"/>
        <v xml:space="preserve"> </v>
      </c>
      <c r="J600" s="276" t="str">
        <f t="shared" si="9"/>
        <v xml:space="preserve"> </v>
      </c>
      <c r="K600" s="277" t="str">
        <f t="shared" si="10"/>
        <v xml:space="preserve"> </v>
      </c>
    </row>
    <row r="601" spans="1:11" ht="19.5" x14ac:dyDescent="0.25">
      <c r="A601" s="267"/>
      <c r="B601" s="268"/>
      <c r="C601" s="269"/>
      <c r="D601" s="270"/>
      <c r="E601" s="271"/>
      <c r="F601" s="272"/>
      <c r="G601" s="273"/>
      <c r="H601" s="274" t="str">
        <f t="shared" si="11"/>
        <v xml:space="preserve"> </v>
      </c>
      <c r="I601" s="275" t="str">
        <f t="shared" si="8"/>
        <v xml:space="preserve"> </v>
      </c>
      <c r="J601" s="276" t="str">
        <f t="shared" si="9"/>
        <v xml:space="preserve"> </v>
      </c>
      <c r="K601" s="277" t="str">
        <f t="shared" si="10"/>
        <v xml:space="preserve"> </v>
      </c>
    </row>
    <row r="602" spans="1:11" ht="19.5" x14ac:dyDescent="0.25">
      <c r="A602" s="267"/>
      <c r="B602" s="268"/>
      <c r="C602" s="269"/>
      <c r="D602" s="270"/>
      <c r="E602" s="271"/>
      <c r="F602" s="272"/>
      <c r="G602" s="273"/>
      <c r="H602" s="274" t="str">
        <f t="shared" si="11"/>
        <v xml:space="preserve"> </v>
      </c>
      <c r="I602" s="275" t="str">
        <f t="shared" si="8"/>
        <v xml:space="preserve"> </v>
      </c>
      <c r="J602" s="276" t="str">
        <f t="shared" si="9"/>
        <v xml:space="preserve"> </v>
      </c>
      <c r="K602" s="277" t="str">
        <f t="shared" si="10"/>
        <v xml:space="preserve"> </v>
      </c>
    </row>
    <row r="603" spans="1:11" ht="19.5" x14ac:dyDescent="0.25">
      <c r="A603" s="267"/>
      <c r="B603" s="268"/>
      <c r="C603" s="269"/>
      <c r="D603" s="270"/>
      <c r="E603" s="271"/>
      <c r="F603" s="272"/>
      <c r="G603" s="273"/>
      <c r="H603" s="274" t="str">
        <f t="shared" si="11"/>
        <v xml:space="preserve"> </v>
      </c>
      <c r="I603" s="275" t="str">
        <f t="shared" si="8"/>
        <v xml:space="preserve"> </v>
      </c>
      <c r="J603" s="276" t="str">
        <f t="shared" si="9"/>
        <v xml:space="preserve"> </v>
      </c>
      <c r="K603" s="277" t="str">
        <f t="shared" si="10"/>
        <v xml:space="preserve"> </v>
      </c>
    </row>
    <row r="604" spans="1:11" ht="19.5" x14ac:dyDescent="0.25">
      <c r="A604" s="267"/>
      <c r="B604" s="268"/>
      <c r="C604" s="269"/>
      <c r="D604" s="270"/>
      <c r="E604" s="271"/>
      <c r="F604" s="272"/>
      <c r="G604" s="273"/>
      <c r="H604" s="274" t="str">
        <f t="shared" si="11"/>
        <v xml:space="preserve"> </v>
      </c>
      <c r="I604" s="275" t="str">
        <f t="shared" si="8"/>
        <v xml:space="preserve"> </v>
      </c>
      <c r="J604" s="276" t="str">
        <f t="shared" si="9"/>
        <v xml:space="preserve"> </v>
      </c>
      <c r="K604" s="277" t="str">
        <f t="shared" si="10"/>
        <v xml:space="preserve"> </v>
      </c>
    </row>
    <row r="605" spans="1:11" ht="19.5" x14ac:dyDescent="0.25">
      <c r="A605" s="267"/>
      <c r="B605" s="268"/>
      <c r="C605" s="269"/>
      <c r="D605" s="270"/>
      <c r="E605" s="271"/>
      <c r="F605" s="272"/>
      <c r="G605" s="273"/>
      <c r="H605" s="274" t="str">
        <f t="shared" si="11"/>
        <v xml:space="preserve"> </v>
      </c>
      <c r="I605" s="275" t="str">
        <f t="shared" si="8"/>
        <v xml:space="preserve"> </v>
      </c>
      <c r="J605" s="276" t="str">
        <f t="shared" si="9"/>
        <v xml:space="preserve"> </v>
      </c>
      <c r="K605" s="277" t="str">
        <f t="shared" si="10"/>
        <v xml:space="preserve"> </v>
      </c>
    </row>
    <row r="606" spans="1:11" ht="19.5" x14ac:dyDescent="0.25">
      <c r="A606" s="267"/>
      <c r="B606" s="268"/>
      <c r="C606" s="269"/>
      <c r="D606" s="270"/>
      <c r="E606" s="271"/>
      <c r="F606" s="272"/>
      <c r="G606" s="273"/>
      <c r="H606" s="274" t="str">
        <f t="shared" si="11"/>
        <v xml:space="preserve"> </v>
      </c>
      <c r="I606" s="275" t="str">
        <f t="shared" si="8"/>
        <v xml:space="preserve"> </v>
      </c>
      <c r="J606" s="276" t="str">
        <f t="shared" si="9"/>
        <v xml:space="preserve"> </v>
      </c>
      <c r="K606" s="277" t="str">
        <f t="shared" si="10"/>
        <v xml:space="preserve"> </v>
      </c>
    </row>
    <row r="607" spans="1:11" ht="19.5" x14ac:dyDescent="0.25">
      <c r="A607" s="267"/>
      <c r="B607" s="268"/>
      <c r="C607" s="269"/>
      <c r="D607" s="270"/>
      <c r="E607" s="271"/>
      <c r="F607" s="272"/>
      <c r="G607" s="273"/>
      <c r="H607" s="274" t="str">
        <f t="shared" si="11"/>
        <v xml:space="preserve"> </v>
      </c>
      <c r="I607" s="275" t="str">
        <f t="shared" si="8"/>
        <v xml:space="preserve"> </v>
      </c>
      <c r="J607" s="276" t="str">
        <f t="shared" si="9"/>
        <v xml:space="preserve"> </v>
      </c>
      <c r="K607" s="277" t="str">
        <f t="shared" si="10"/>
        <v xml:space="preserve"> </v>
      </c>
    </row>
    <row r="608" spans="1:11" ht="19.5" x14ac:dyDescent="0.25">
      <c r="A608" s="267"/>
      <c r="B608" s="268"/>
      <c r="C608" s="269"/>
      <c r="D608" s="270"/>
      <c r="E608" s="271"/>
      <c r="F608" s="272"/>
      <c r="G608" s="273"/>
      <c r="H608" s="274" t="str">
        <f t="shared" si="11"/>
        <v xml:space="preserve"> </v>
      </c>
      <c r="I608" s="275" t="str">
        <f t="shared" si="8"/>
        <v xml:space="preserve"> </v>
      </c>
      <c r="J608" s="276" t="str">
        <f t="shared" si="9"/>
        <v xml:space="preserve"> </v>
      </c>
      <c r="K608" s="277" t="str">
        <f t="shared" si="10"/>
        <v xml:space="preserve"> </v>
      </c>
    </row>
    <row r="609" spans="1:11" ht="19.5" x14ac:dyDescent="0.25">
      <c r="A609" s="267"/>
      <c r="B609" s="268"/>
      <c r="C609" s="269"/>
      <c r="D609" s="270"/>
      <c r="E609" s="271"/>
      <c r="F609" s="272"/>
      <c r="G609" s="273"/>
      <c r="H609" s="274" t="str">
        <f t="shared" si="11"/>
        <v xml:space="preserve"> </v>
      </c>
      <c r="I609" s="275" t="str">
        <f t="shared" si="8"/>
        <v xml:space="preserve"> </v>
      </c>
      <c r="J609" s="276" t="str">
        <f t="shared" si="9"/>
        <v xml:space="preserve"> </v>
      </c>
      <c r="K609" s="277" t="str">
        <f t="shared" si="10"/>
        <v xml:space="preserve"> </v>
      </c>
    </row>
    <row r="610" spans="1:11" ht="19.5" x14ac:dyDescent="0.25">
      <c r="A610" s="267"/>
      <c r="B610" s="268"/>
      <c r="C610" s="269"/>
      <c r="D610" s="270"/>
      <c r="E610" s="271"/>
      <c r="F610" s="272"/>
      <c r="G610" s="273"/>
      <c r="H610" s="274" t="str">
        <f t="shared" si="11"/>
        <v xml:space="preserve"> </v>
      </c>
      <c r="I610" s="275" t="str">
        <f t="shared" si="8"/>
        <v xml:space="preserve"> </v>
      </c>
      <c r="J610" s="276" t="str">
        <f t="shared" si="9"/>
        <v xml:space="preserve"> </v>
      </c>
      <c r="K610" s="277" t="str">
        <f t="shared" si="10"/>
        <v xml:space="preserve"> </v>
      </c>
    </row>
    <row r="611" spans="1:11" ht="19.5" x14ac:dyDescent="0.25">
      <c r="A611" s="267"/>
      <c r="B611" s="268"/>
      <c r="C611" s="269"/>
      <c r="D611" s="270"/>
      <c r="E611" s="271"/>
      <c r="F611" s="272"/>
      <c r="G611" s="273"/>
      <c r="H611" s="274" t="str">
        <f t="shared" si="11"/>
        <v xml:space="preserve"> </v>
      </c>
      <c r="I611" s="275" t="str">
        <f t="shared" si="8"/>
        <v xml:space="preserve"> </v>
      </c>
      <c r="J611" s="276" t="str">
        <f t="shared" si="9"/>
        <v xml:space="preserve"> </v>
      </c>
      <c r="K611" s="277" t="str">
        <f t="shared" si="10"/>
        <v xml:space="preserve"> </v>
      </c>
    </row>
    <row r="612" spans="1:11" ht="19.5" x14ac:dyDescent="0.25">
      <c r="A612" s="267"/>
      <c r="B612" s="268"/>
      <c r="C612" s="269"/>
      <c r="D612" s="270"/>
      <c r="E612" s="271"/>
      <c r="F612" s="272"/>
      <c r="G612" s="273"/>
      <c r="H612" s="274" t="str">
        <f t="shared" si="11"/>
        <v xml:space="preserve"> </v>
      </c>
      <c r="I612" s="275" t="str">
        <f t="shared" si="8"/>
        <v xml:space="preserve"> </v>
      </c>
      <c r="J612" s="276" t="str">
        <f t="shared" si="9"/>
        <v xml:space="preserve"> </v>
      </c>
      <c r="K612" s="277" t="str">
        <f t="shared" si="10"/>
        <v xml:space="preserve"> </v>
      </c>
    </row>
    <row r="613" spans="1:11" ht="19.5" x14ac:dyDescent="0.25">
      <c r="A613" s="267"/>
      <c r="B613" s="268"/>
      <c r="C613" s="269"/>
      <c r="D613" s="270"/>
      <c r="E613" s="271"/>
      <c r="F613" s="272"/>
      <c r="G613" s="273"/>
      <c r="H613" s="274" t="str">
        <f t="shared" si="11"/>
        <v xml:space="preserve"> </v>
      </c>
      <c r="I613" s="275" t="str">
        <f t="shared" si="8"/>
        <v xml:space="preserve"> </v>
      </c>
      <c r="J613" s="276" t="str">
        <f t="shared" si="9"/>
        <v xml:space="preserve"> </v>
      </c>
      <c r="K613" s="277" t="str">
        <f t="shared" si="10"/>
        <v xml:space="preserve"> </v>
      </c>
    </row>
    <row r="614" spans="1:11" ht="19.5" x14ac:dyDescent="0.25">
      <c r="A614" s="267"/>
      <c r="B614" s="268"/>
      <c r="C614" s="269"/>
      <c r="D614" s="270"/>
      <c r="E614" s="271"/>
      <c r="F614" s="272"/>
      <c r="G614" s="273"/>
      <c r="H614" s="274" t="str">
        <f t="shared" si="11"/>
        <v xml:space="preserve"> </v>
      </c>
      <c r="I614" s="275" t="str">
        <f t="shared" si="8"/>
        <v xml:space="preserve"> </v>
      </c>
      <c r="J614" s="276" t="str">
        <f t="shared" si="9"/>
        <v xml:space="preserve"> </v>
      </c>
      <c r="K614" s="277" t="str">
        <f t="shared" si="10"/>
        <v xml:space="preserve"> </v>
      </c>
    </row>
    <row r="615" spans="1:11" ht="19.5" x14ac:dyDescent="0.25">
      <c r="A615" s="267"/>
      <c r="B615" s="268"/>
      <c r="C615" s="269"/>
      <c r="D615" s="270"/>
      <c r="E615" s="271"/>
      <c r="F615" s="272"/>
      <c r="G615" s="273"/>
      <c r="H615" s="274" t="str">
        <f t="shared" si="11"/>
        <v xml:space="preserve"> </v>
      </c>
      <c r="I615" s="275" t="str">
        <f t="shared" si="8"/>
        <v xml:space="preserve"> </v>
      </c>
      <c r="J615" s="276" t="str">
        <f t="shared" si="9"/>
        <v xml:space="preserve"> </v>
      </c>
      <c r="K615" s="277" t="str">
        <f t="shared" si="10"/>
        <v xml:space="preserve"> </v>
      </c>
    </row>
    <row r="616" spans="1:11" ht="19.5" x14ac:dyDescent="0.25">
      <c r="A616" s="267"/>
      <c r="B616" s="268"/>
      <c r="C616" s="269"/>
      <c r="D616" s="270"/>
      <c r="E616" s="271"/>
      <c r="F616" s="272"/>
      <c r="G616" s="273"/>
      <c r="H616" s="274" t="str">
        <f t="shared" si="11"/>
        <v xml:space="preserve"> </v>
      </c>
      <c r="I616" s="275" t="str">
        <f t="shared" si="8"/>
        <v xml:space="preserve"> </v>
      </c>
      <c r="J616" s="276" t="str">
        <f t="shared" si="9"/>
        <v xml:space="preserve"> </v>
      </c>
      <c r="K616" s="277" t="str">
        <f t="shared" si="10"/>
        <v xml:space="preserve"> </v>
      </c>
    </row>
    <row r="617" spans="1:11" ht="19.5" x14ac:dyDescent="0.25">
      <c r="A617" s="267"/>
      <c r="B617" s="268"/>
      <c r="C617" s="269"/>
      <c r="D617" s="270"/>
      <c r="E617" s="271"/>
      <c r="F617" s="272"/>
      <c r="G617" s="273"/>
      <c r="H617" s="274" t="str">
        <f t="shared" si="11"/>
        <v xml:space="preserve"> </v>
      </c>
      <c r="I617" s="275" t="str">
        <f t="shared" si="8"/>
        <v xml:space="preserve"> </v>
      </c>
      <c r="J617" s="276" t="str">
        <f t="shared" si="9"/>
        <v xml:space="preserve"> </v>
      </c>
      <c r="K617" s="277" t="str">
        <f t="shared" si="10"/>
        <v xml:space="preserve"> </v>
      </c>
    </row>
    <row r="618" spans="1:11" ht="19.5" x14ac:dyDescent="0.25">
      <c r="A618" s="267"/>
      <c r="B618" s="268"/>
      <c r="C618" s="269"/>
      <c r="D618" s="270"/>
      <c r="E618" s="271"/>
      <c r="F618" s="272"/>
      <c r="G618" s="273"/>
      <c r="H618" s="274" t="str">
        <f t="shared" si="11"/>
        <v xml:space="preserve"> </v>
      </c>
      <c r="I618" s="275" t="str">
        <f t="shared" si="8"/>
        <v xml:space="preserve"> </v>
      </c>
      <c r="J618" s="276" t="str">
        <f t="shared" si="9"/>
        <v xml:space="preserve"> </v>
      </c>
      <c r="K618" s="277" t="str">
        <f t="shared" si="10"/>
        <v xml:space="preserve"> </v>
      </c>
    </row>
    <row r="619" spans="1:11" ht="19.5" x14ac:dyDescent="0.25">
      <c r="A619" s="267"/>
      <c r="B619" s="268"/>
      <c r="C619" s="269"/>
      <c r="D619" s="270"/>
      <c r="E619" s="271"/>
      <c r="F619" s="272"/>
      <c r="G619" s="273"/>
      <c r="H619" s="274" t="str">
        <f t="shared" si="11"/>
        <v xml:space="preserve"> </v>
      </c>
      <c r="I619" s="275" t="str">
        <f t="shared" si="8"/>
        <v xml:space="preserve"> </v>
      </c>
      <c r="J619" s="276" t="str">
        <f t="shared" si="9"/>
        <v xml:space="preserve"> </v>
      </c>
      <c r="K619" s="277" t="str">
        <f t="shared" si="10"/>
        <v xml:space="preserve"> </v>
      </c>
    </row>
    <row r="620" spans="1:11" ht="19.5" x14ac:dyDescent="0.25">
      <c r="A620" s="267"/>
      <c r="B620" s="268"/>
      <c r="C620" s="269"/>
      <c r="D620" s="270"/>
      <c r="E620" s="271"/>
      <c r="F620" s="272"/>
      <c r="G620" s="273"/>
      <c r="H620" s="274" t="str">
        <f t="shared" si="11"/>
        <v xml:space="preserve"> </v>
      </c>
      <c r="I620" s="275" t="str">
        <f t="shared" si="8"/>
        <v xml:space="preserve"> </v>
      </c>
      <c r="J620" s="276" t="str">
        <f t="shared" si="9"/>
        <v xml:space="preserve"> </v>
      </c>
      <c r="K620" s="277" t="str">
        <f t="shared" si="10"/>
        <v xml:space="preserve"> </v>
      </c>
    </row>
    <row r="621" spans="1:11" ht="19.5" x14ac:dyDescent="0.25">
      <c r="A621" s="267"/>
      <c r="B621" s="268"/>
      <c r="C621" s="269"/>
      <c r="D621" s="270"/>
      <c r="E621" s="271"/>
      <c r="F621" s="272"/>
      <c r="G621" s="273"/>
      <c r="H621" s="274" t="str">
        <f t="shared" si="11"/>
        <v xml:space="preserve"> </v>
      </c>
      <c r="I621" s="275" t="str">
        <f t="shared" si="8"/>
        <v xml:space="preserve"> </v>
      </c>
      <c r="J621" s="276" t="str">
        <f t="shared" si="9"/>
        <v xml:space="preserve"> </v>
      </c>
      <c r="K621" s="277" t="str">
        <f t="shared" si="10"/>
        <v xml:space="preserve"> </v>
      </c>
    </row>
    <row r="622" spans="1:11" ht="19.5" x14ac:dyDescent="0.25">
      <c r="A622" s="267"/>
      <c r="B622" s="268"/>
      <c r="C622" s="269"/>
      <c r="D622" s="270"/>
      <c r="E622" s="271"/>
      <c r="F622" s="272"/>
      <c r="G622" s="273"/>
      <c r="H622" s="274" t="str">
        <f t="shared" si="11"/>
        <v xml:space="preserve"> </v>
      </c>
      <c r="I622" s="275" t="str">
        <f t="shared" si="8"/>
        <v xml:space="preserve"> </v>
      </c>
      <c r="J622" s="276" t="str">
        <f t="shared" si="9"/>
        <v xml:space="preserve"> </v>
      </c>
      <c r="K622" s="277" t="str">
        <f t="shared" si="10"/>
        <v xml:space="preserve"> </v>
      </c>
    </row>
    <row r="623" spans="1:11" ht="19.5" x14ac:dyDescent="0.25">
      <c r="A623" s="267"/>
      <c r="B623" s="268"/>
      <c r="C623" s="269"/>
      <c r="D623" s="270"/>
      <c r="E623" s="271"/>
      <c r="F623" s="272"/>
      <c r="G623" s="273"/>
      <c r="H623" s="274" t="str">
        <f t="shared" si="11"/>
        <v xml:space="preserve"> </v>
      </c>
      <c r="I623" s="275" t="str">
        <f t="shared" si="8"/>
        <v xml:space="preserve"> </v>
      </c>
      <c r="J623" s="276" t="str">
        <f t="shared" si="9"/>
        <v xml:space="preserve"> </v>
      </c>
      <c r="K623" s="277" t="str">
        <f t="shared" si="10"/>
        <v xml:space="preserve"> </v>
      </c>
    </row>
    <row r="624" spans="1:11" ht="19.5" x14ac:dyDescent="0.25">
      <c r="A624" s="267"/>
      <c r="B624" s="268"/>
      <c r="C624" s="269"/>
      <c r="D624" s="270"/>
      <c r="E624" s="271"/>
      <c r="F624" s="272"/>
      <c r="G624" s="273"/>
      <c r="H624" s="274" t="str">
        <f t="shared" si="11"/>
        <v xml:space="preserve"> </v>
      </c>
      <c r="I624" s="275" t="str">
        <f t="shared" ref="I624:I687" si="12">IF($D624="Заплыв №", "РЕЗУЛЬТАТ", " ")</f>
        <v xml:space="preserve"> </v>
      </c>
      <c r="J624" s="276" t="str">
        <f t="shared" ref="J624:J687" si="13">IF($D624="Заплыв №", "ФИНИШ", " ")</f>
        <v xml:space="preserve"> </v>
      </c>
      <c r="K624" s="277" t="str">
        <f t="shared" ref="K624:K687" si="14">IF($D624="Заплыв №", "ПРИМ.", " ")</f>
        <v xml:space="preserve"> </v>
      </c>
    </row>
    <row r="625" spans="1:11" ht="19.5" x14ac:dyDescent="0.25">
      <c r="A625" s="267"/>
      <c r="B625" s="268"/>
      <c r="C625" s="269"/>
      <c r="D625" s="270"/>
      <c r="E625" s="271"/>
      <c r="F625" s="272"/>
      <c r="G625" s="273"/>
      <c r="H625" s="274" t="str">
        <f t="shared" si="11"/>
        <v xml:space="preserve"> </v>
      </c>
      <c r="I625" s="275" t="str">
        <f t="shared" si="12"/>
        <v xml:space="preserve"> </v>
      </c>
      <c r="J625" s="276" t="str">
        <f t="shared" si="13"/>
        <v xml:space="preserve"> </v>
      </c>
      <c r="K625" s="277" t="str">
        <f t="shared" si="14"/>
        <v xml:space="preserve"> </v>
      </c>
    </row>
    <row r="626" spans="1:11" ht="19.5" x14ac:dyDescent="0.25">
      <c r="A626" s="267"/>
      <c r="B626" s="268"/>
      <c r="C626" s="269"/>
      <c r="D626" s="270"/>
      <c r="E626" s="271"/>
      <c r="F626" s="272"/>
      <c r="G626" s="273"/>
      <c r="H626" s="274" t="str">
        <f t="shared" si="11"/>
        <v xml:space="preserve"> </v>
      </c>
      <c r="I626" s="275" t="str">
        <f t="shared" si="12"/>
        <v xml:space="preserve"> </v>
      </c>
      <c r="J626" s="276" t="str">
        <f t="shared" si="13"/>
        <v xml:space="preserve"> </v>
      </c>
      <c r="K626" s="277" t="str">
        <f t="shared" si="14"/>
        <v xml:space="preserve"> </v>
      </c>
    </row>
    <row r="627" spans="1:11" ht="19.5" x14ac:dyDescent="0.25">
      <c r="A627" s="267"/>
      <c r="B627" s="268"/>
      <c r="C627" s="269"/>
      <c r="D627" s="270"/>
      <c r="E627" s="271"/>
      <c r="F627" s="272"/>
      <c r="G627" s="273"/>
      <c r="H627" s="274" t="str">
        <f t="shared" si="11"/>
        <v xml:space="preserve"> </v>
      </c>
      <c r="I627" s="275" t="str">
        <f t="shared" si="12"/>
        <v xml:space="preserve"> </v>
      </c>
      <c r="J627" s="276" t="str">
        <f t="shared" si="13"/>
        <v xml:space="preserve"> </v>
      </c>
      <c r="K627" s="277" t="str">
        <f t="shared" si="14"/>
        <v xml:space="preserve"> </v>
      </c>
    </row>
    <row r="628" spans="1:11" ht="19.5" x14ac:dyDescent="0.25">
      <c r="A628" s="267"/>
      <c r="B628" s="268"/>
      <c r="C628" s="269"/>
      <c r="D628" s="270"/>
      <c r="E628" s="271"/>
      <c r="F628" s="272"/>
      <c r="G628" s="273"/>
      <c r="H628" s="274" t="str">
        <f t="shared" si="11"/>
        <v xml:space="preserve"> </v>
      </c>
      <c r="I628" s="275" t="str">
        <f t="shared" si="12"/>
        <v xml:space="preserve"> </v>
      </c>
      <c r="J628" s="276" t="str">
        <f t="shared" si="13"/>
        <v xml:space="preserve"> </v>
      </c>
      <c r="K628" s="277" t="str">
        <f t="shared" si="14"/>
        <v xml:space="preserve"> </v>
      </c>
    </row>
    <row r="629" spans="1:11" ht="19.5" x14ac:dyDescent="0.25">
      <c r="A629" s="267"/>
      <c r="B629" s="268"/>
      <c r="C629" s="269"/>
      <c r="D629" s="270"/>
      <c r="E629" s="271"/>
      <c r="F629" s="272"/>
      <c r="G629" s="273"/>
      <c r="H629" s="274" t="str">
        <f t="shared" si="11"/>
        <v xml:space="preserve"> </v>
      </c>
      <c r="I629" s="275" t="str">
        <f t="shared" si="12"/>
        <v xml:space="preserve"> </v>
      </c>
      <c r="J629" s="276" t="str">
        <f t="shared" si="13"/>
        <v xml:space="preserve"> </v>
      </c>
      <c r="K629" s="277" t="str">
        <f t="shared" si="14"/>
        <v xml:space="preserve"> </v>
      </c>
    </row>
    <row r="630" spans="1:11" ht="19.5" x14ac:dyDescent="0.25">
      <c r="A630" s="267"/>
      <c r="B630" s="268"/>
      <c r="C630" s="269"/>
      <c r="D630" s="270"/>
      <c r="E630" s="271"/>
      <c r="F630" s="272"/>
      <c r="G630" s="273"/>
      <c r="H630" s="274" t="str">
        <f t="shared" si="11"/>
        <v xml:space="preserve"> </v>
      </c>
      <c r="I630" s="275" t="str">
        <f t="shared" si="12"/>
        <v xml:space="preserve"> </v>
      </c>
      <c r="J630" s="276" t="str">
        <f t="shared" si="13"/>
        <v xml:space="preserve"> </v>
      </c>
      <c r="K630" s="277" t="str">
        <f t="shared" si="14"/>
        <v xml:space="preserve"> </v>
      </c>
    </row>
    <row r="631" spans="1:11" ht="19.5" x14ac:dyDescent="0.25">
      <c r="A631" s="267"/>
      <c r="B631" s="268"/>
      <c r="C631" s="269"/>
      <c r="D631" s="270"/>
      <c r="E631" s="271"/>
      <c r="F631" s="272"/>
      <c r="G631" s="273"/>
      <c r="H631" s="274" t="str">
        <f t="shared" si="11"/>
        <v xml:space="preserve"> </v>
      </c>
      <c r="I631" s="275" t="str">
        <f t="shared" si="12"/>
        <v xml:space="preserve"> </v>
      </c>
      <c r="J631" s="276" t="str">
        <f t="shared" si="13"/>
        <v xml:space="preserve"> </v>
      </c>
      <c r="K631" s="277" t="str">
        <f t="shared" si="14"/>
        <v xml:space="preserve"> </v>
      </c>
    </row>
    <row r="632" spans="1:11" ht="19.5" x14ac:dyDescent="0.25">
      <c r="A632" s="267"/>
      <c r="B632" s="268"/>
      <c r="C632" s="269"/>
      <c r="D632" s="270"/>
      <c r="E632" s="271"/>
      <c r="F632" s="272"/>
      <c r="G632" s="273"/>
      <c r="H632" s="274" t="str">
        <f t="shared" si="11"/>
        <v xml:space="preserve"> </v>
      </c>
      <c r="I632" s="275" t="str">
        <f t="shared" si="12"/>
        <v xml:space="preserve"> </v>
      </c>
      <c r="J632" s="276" t="str">
        <f t="shared" si="13"/>
        <v xml:space="preserve"> </v>
      </c>
      <c r="K632" s="277" t="str">
        <f t="shared" si="14"/>
        <v xml:space="preserve"> </v>
      </c>
    </row>
    <row r="633" spans="1:11" ht="19.5" x14ac:dyDescent="0.25">
      <c r="A633" s="267"/>
      <c r="B633" s="268"/>
      <c r="C633" s="269"/>
      <c r="D633" s="270"/>
      <c r="E633" s="271"/>
      <c r="F633" s="272"/>
      <c r="G633" s="273"/>
      <c r="H633" s="274" t="str">
        <f t="shared" si="11"/>
        <v xml:space="preserve"> </v>
      </c>
      <c r="I633" s="275" t="str">
        <f t="shared" si="12"/>
        <v xml:space="preserve"> </v>
      </c>
      <c r="J633" s="276" t="str">
        <f t="shared" si="13"/>
        <v xml:space="preserve"> </v>
      </c>
      <c r="K633" s="277" t="str">
        <f t="shared" si="14"/>
        <v xml:space="preserve"> </v>
      </c>
    </row>
    <row r="634" spans="1:11" ht="19.5" x14ac:dyDescent="0.25">
      <c r="A634" s="267"/>
      <c r="B634" s="268"/>
      <c r="C634" s="269"/>
      <c r="D634" s="270"/>
      <c r="E634" s="271"/>
      <c r="F634" s="272"/>
      <c r="G634" s="273"/>
      <c r="H634" s="274" t="str">
        <f t="shared" si="11"/>
        <v xml:space="preserve"> </v>
      </c>
      <c r="I634" s="275" t="str">
        <f t="shared" si="12"/>
        <v xml:space="preserve"> </v>
      </c>
      <c r="J634" s="276" t="str">
        <f t="shared" si="13"/>
        <v xml:space="preserve"> </v>
      </c>
      <c r="K634" s="277" t="str">
        <f t="shared" si="14"/>
        <v xml:space="preserve"> </v>
      </c>
    </row>
    <row r="635" spans="1:11" ht="19.5" x14ac:dyDescent="0.25">
      <c r="A635" s="267"/>
      <c r="B635" s="268"/>
      <c r="C635" s="269"/>
      <c r="D635" s="270"/>
      <c r="E635" s="271"/>
      <c r="F635" s="272"/>
      <c r="G635" s="273"/>
      <c r="H635" s="274" t="str">
        <f t="shared" si="11"/>
        <v xml:space="preserve"> </v>
      </c>
      <c r="I635" s="275" t="str">
        <f t="shared" si="12"/>
        <v xml:space="preserve"> </v>
      </c>
      <c r="J635" s="276" t="str">
        <f t="shared" si="13"/>
        <v xml:space="preserve"> </v>
      </c>
      <c r="K635" s="277" t="str">
        <f t="shared" si="14"/>
        <v xml:space="preserve"> </v>
      </c>
    </row>
    <row r="636" spans="1:11" ht="19.5" x14ac:dyDescent="0.25">
      <c r="A636" s="267"/>
      <c r="B636" s="268"/>
      <c r="C636" s="269"/>
      <c r="D636" s="270"/>
      <c r="E636" s="271"/>
      <c r="F636" s="272"/>
      <c r="G636" s="273"/>
      <c r="H636" s="274" t="str">
        <f t="shared" si="11"/>
        <v xml:space="preserve"> </v>
      </c>
      <c r="I636" s="275" t="str">
        <f t="shared" si="12"/>
        <v xml:space="preserve"> </v>
      </c>
      <c r="J636" s="276" t="str">
        <f t="shared" si="13"/>
        <v xml:space="preserve"> </v>
      </c>
      <c r="K636" s="277" t="str">
        <f t="shared" si="14"/>
        <v xml:space="preserve"> </v>
      </c>
    </row>
    <row r="637" spans="1:11" ht="19.5" x14ac:dyDescent="0.25">
      <c r="A637" s="267"/>
      <c r="B637" s="268"/>
      <c r="C637" s="269"/>
      <c r="D637" s="270"/>
      <c r="E637" s="271"/>
      <c r="F637" s="272"/>
      <c r="G637" s="273"/>
      <c r="H637" s="274" t="str">
        <f t="shared" si="11"/>
        <v xml:space="preserve"> </v>
      </c>
      <c r="I637" s="275" t="str">
        <f t="shared" si="12"/>
        <v xml:space="preserve"> </v>
      </c>
      <c r="J637" s="276" t="str">
        <f t="shared" si="13"/>
        <v xml:space="preserve"> </v>
      </c>
      <c r="K637" s="277" t="str">
        <f t="shared" si="14"/>
        <v xml:space="preserve"> </v>
      </c>
    </row>
    <row r="638" spans="1:11" ht="19.5" x14ac:dyDescent="0.25">
      <c r="A638" s="267"/>
      <c r="B638" s="268"/>
      <c r="C638" s="269"/>
      <c r="D638" s="270"/>
      <c r="E638" s="271"/>
      <c r="F638" s="272"/>
      <c r="G638" s="273"/>
      <c r="H638" s="274" t="str">
        <f t="shared" si="11"/>
        <v xml:space="preserve"> </v>
      </c>
      <c r="I638" s="275" t="str">
        <f t="shared" si="12"/>
        <v xml:space="preserve"> </v>
      </c>
      <c r="J638" s="276" t="str">
        <f t="shared" si="13"/>
        <v xml:space="preserve"> </v>
      </c>
      <c r="K638" s="277" t="str">
        <f t="shared" si="14"/>
        <v xml:space="preserve"> </v>
      </c>
    </row>
    <row r="639" spans="1:11" ht="19.5" x14ac:dyDescent="0.25">
      <c r="A639" s="267"/>
      <c r="B639" s="268"/>
      <c r="C639" s="269"/>
      <c r="D639" s="270"/>
      <c r="E639" s="271"/>
      <c r="F639" s="272"/>
      <c r="G639" s="273"/>
      <c r="H639" s="274" t="str">
        <f t="shared" si="11"/>
        <v xml:space="preserve"> </v>
      </c>
      <c r="I639" s="275" t="str">
        <f t="shared" si="12"/>
        <v xml:space="preserve"> </v>
      </c>
      <c r="J639" s="276" t="str">
        <f t="shared" si="13"/>
        <v xml:space="preserve"> </v>
      </c>
      <c r="K639" s="277" t="str">
        <f t="shared" si="14"/>
        <v xml:space="preserve"> </v>
      </c>
    </row>
    <row r="640" spans="1:11" ht="19.5" x14ac:dyDescent="0.25">
      <c r="A640" s="267"/>
      <c r="B640" s="268"/>
      <c r="C640" s="269"/>
      <c r="D640" s="270"/>
      <c r="E640" s="271"/>
      <c r="F640" s="272"/>
      <c r="G640" s="273"/>
      <c r="H640" s="274" t="str">
        <f t="shared" si="11"/>
        <v xml:space="preserve"> </v>
      </c>
      <c r="I640" s="275" t="str">
        <f t="shared" si="12"/>
        <v xml:space="preserve"> </v>
      </c>
      <c r="J640" s="276" t="str">
        <f t="shared" si="13"/>
        <v xml:space="preserve"> </v>
      </c>
      <c r="K640" s="277" t="str">
        <f t="shared" si="14"/>
        <v xml:space="preserve"> </v>
      </c>
    </row>
    <row r="641" spans="1:11" ht="19.5" x14ac:dyDescent="0.25">
      <c r="A641" s="267"/>
      <c r="B641" s="268"/>
      <c r="C641" s="269"/>
      <c r="D641" s="270"/>
      <c r="E641" s="271"/>
      <c r="F641" s="272"/>
      <c r="G641" s="273"/>
      <c r="H641" s="274" t="str">
        <f t="shared" si="11"/>
        <v xml:space="preserve"> </v>
      </c>
      <c r="I641" s="275" t="str">
        <f t="shared" si="12"/>
        <v xml:space="preserve"> </v>
      </c>
      <c r="J641" s="276" t="str">
        <f t="shared" si="13"/>
        <v xml:space="preserve"> </v>
      </c>
      <c r="K641" s="277" t="str">
        <f t="shared" si="14"/>
        <v xml:space="preserve"> </v>
      </c>
    </row>
    <row r="642" spans="1:11" ht="19.5" x14ac:dyDescent="0.25">
      <c r="A642" s="267"/>
      <c r="B642" s="268"/>
      <c r="C642" s="269"/>
      <c r="D642" s="270"/>
      <c r="E642" s="271"/>
      <c r="F642" s="272"/>
      <c r="G642" s="273"/>
      <c r="H642" s="274" t="str">
        <f t="shared" ref="H642:H705" si="15">IF(ISBLANK(A642), " ", A642)</f>
        <v xml:space="preserve"> </v>
      </c>
      <c r="I642" s="275" t="str">
        <f t="shared" si="12"/>
        <v xml:space="preserve"> </v>
      </c>
      <c r="J642" s="276" t="str">
        <f t="shared" si="13"/>
        <v xml:space="preserve"> </v>
      </c>
      <c r="K642" s="277" t="str">
        <f t="shared" si="14"/>
        <v xml:space="preserve"> </v>
      </c>
    </row>
    <row r="643" spans="1:11" ht="19.5" x14ac:dyDescent="0.25">
      <c r="A643" s="267"/>
      <c r="B643" s="268"/>
      <c r="C643" s="269"/>
      <c r="D643" s="270"/>
      <c r="E643" s="271"/>
      <c r="F643" s="272"/>
      <c r="G643" s="273"/>
      <c r="H643" s="274" t="str">
        <f t="shared" si="15"/>
        <v xml:space="preserve"> </v>
      </c>
      <c r="I643" s="275" t="str">
        <f t="shared" si="12"/>
        <v xml:space="preserve"> </v>
      </c>
      <c r="J643" s="276" t="str">
        <f t="shared" si="13"/>
        <v xml:space="preserve"> </v>
      </c>
      <c r="K643" s="277" t="str">
        <f t="shared" si="14"/>
        <v xml:space="preserve"> </v>
      </c>
    </row>
    <row r="644" spans="1:11" ht="19.5" x14ac:dyDescent="0.25">
      <c r="A644" s="267"/>
      <c r="B644" s="268"/>
      <c r="C644" s="269"/>
      <c r="D644" s="270"/>
      <c r="E644" s="271"/>
      <c r="F644" s="272"/>
      <c r="G644" s="273"/>
      <c r="H644" s="274" t="str">
        <f t="shared" si="15"/>
        <v xml:space="preserve"> </v>
      </c>
      <c r="I644" s="275" t="str">
        <f t="shared" si="12"/>
        <v xml:space="preserve"> </v>
      </c>
      <c r="J644" s="276" t="str">
        <f t="shared" si="13"/>
        <v xml:space="preserve"> </v>
      </c>
      <c r="K644" s="277" t="str">
        <f t="shared" si="14"/>
        <v xml:space="preserve"> </v>
      </c>
    </row>
    <row r="645" spans="1:11" ht="19.5" x14ac:dyDescent="0.25">
      <c r="A645" s="267"/>
      <c r="B645" s="268"/>
      <c r="C645" s="269"/>
      <c r="D645" s="270"/>
      <c r="E645" s="271"/>
      <c r="F645" s="272"/>
      <c r="G645" s="273"/>
      <c r="H645" s="274" t="str">
        <f t="shared" si="15"/>
        <v xml:space="preserve"> </v>
      </c>
      <c r="I645" s="275" t="str">
        <f t="shared" si="12"/>
        <v xml:space="preserve"> </v>
      </c>
      <c r="J645" s="276" t="str">
        <f t="shared" si="13"/>
        <v xml:space="preserve"> </v>
      </c>
      <c r="K645" s="277" t="str">
        <f t="shared" si="14"/>
        <v xml:space="preserve"> </v>
      </c>
    </row>
    <row r="646" spans="1:11" ht="19.5" x14ac:dyDescent="0.25">
      <c r="A646" s="267"/>
      <c r="B646" s="268"/>
      <c r="C646" s="269"/>
      <c r="D646" s="270"/>
      <c r="E646" s="271"/>
      <c r="F646" s="272"/>
      <c r="G646" s="273"/>
      <c r="H646" s="274" t="str">
        <f t="shared" si="15"/>
        <v xml:space="preserve"> </v>
      </c>
      <c r="I646" s="275" t="str">
        <f t="shared" si="12"/>
        <v xml:space="preserve"> </v>
      </c>
      <c r="J646" s="276" t="str">
        <f t="shared" si="13"/>
        <v xml:space="preserve"> </v>
      </c>
      <c r="K646" s="277" t="str">
        <f t="shared" si="14"/>
        <v xml:space="preserve"> </v>
      </c>
    </row>
    <row r="647" spans="1:11" ht="19.5" x14ac:dyDescent="0.25">
      <c r="A647" s="267"/>
      <c r="B647" s="268"/>
      <c r="C647" s="269"/>
      <c r="D647" s="270"/>
      <c r="E647" s="271"/>
      <c r="F647" s="272"/>
      <c r="G647" s="273"/>
      <c r="H647" s="274" t="str">
        <f t="shared" si="15"/>
        <v xml:space="preserve"> </v>
      </c>
      <c r="I647" s="275" t="str">
        <f t="shared" si="12"/>
        <v xml:space="preserve"> </v>
      </c>
      <c r="J647" s="276" t="str">
        <f t="shared" si="13"/>
        <v xml:space="preserve"> </v>
      </c>
      <c r="K647" s="277" t="str">
        <f t="shared" si="14"/>
        <v xml:space="preserve"> </v>
      </c>
    </row>
    <row r="648" spans="1:11" ht="19.5" x14ac:dyDescent="0.25">
      <c r="A648" s="267"/>
      <c r="B648" s="268"/>
      <c r="C648" s="269"/>
      <c r="D648" s="270"/>
      <c r="E648" s="271"/>
      <c r="F648" s="272"/>
      <c r="G648" s="273"/>
      <c r="H648" s="274" t="str">
        <f t="shared" si="15"/>
        <v xml:space="preserve"> </v>
      </c>
      <c r="I648" s="275" t="str">
        <f t="shared" si="12"/>
        <v xml:space="preserve"> </v>
      </c>
      <c r="J648" s="276" t="str">
        <f t="shared" si="13"/>
        <v xml:space="preserve"> </v>
      </c>
      <c r="K648" s="277" t="str">
        <f t="shared" si="14"/>
        <v xml:space="preserve"> </v>
      </c>
    </row>
    <row r="649" spans="1:11" ht="19.5" x14ac:dyDescent="0.25">
      <c r="A649" s="267"/>
      <c r="B649" s="268"/>
      <c r="C649" s="269"/>
      <c r="D649" s="270"/>
      <c r="E649" s="271"/>
      <c r="F649" s="272"/>
      <c r="G649" s="273"/>
      <c r="H649" s="274" t="str">
        <f t="shared" si="15"/>
        <v xml:space="preserve"> </v>
      </c>
      <c r="I649" s="275" t="str">
        <f t="shared" si="12"/>
        <v xml:space="preserve"> </v>
      </c>
      <c r="J649" s="276" t="str">
        <f t="shared" si="13"/>
        <v xml:space="preserve"> </v>
      </c>
      <c r="K649" s="277" t="str">
        <f t="shared" si="14"/>
        <v xml:space="preserve"> </v>
      </c>
    </row>
    <row r="650" spans="1:11" ht="19.5" x14ac:dyDescent="0.25">
      <c r="A650" s="267"/>
      <c r="B650" s="268"/>
      <c r="C650" s="269"/>
      <c r="D650" s="270"/>
      <c r="E650" s="271"/>
      <c r="F650" s="272"/>
      <c r="G650" s="273"/>
      <c r="H650" s="274" t="str">
        <f t="shared" si="15"/>
        <v xml:space="preserve"> </v>
      </c>
      <c r="I650" s="275" t="str">
        <f t="shared" si="12"/>
        <v xml:space="preserve"> </v>
      </c>
      <c r="J650" s="276" t="str">
        <f t="shared" si="13"/>
        <v xml:space="preserve"> </v>
      </c>
      <c r="K650" s="277" t="str">
        <f t="shared" si="14"/>
        <v xml:space="preserve"> </v>
      </c>
    </row>
    <row r="651" spans="1:11" ht="19.5" x14ac:dyDescent="0.25">
      <c r="A651" s="267"/>
      <c r="B651" s="268"/>
      <c r="C651" s="269"/>
      <c r="D651" s="270"/>
      <c r="E651" s="271"/>
      <c r="F651" s="272"/>
      <c r="G651" s="273"/>
      <c r="H651" s="274" t="str">
        <f t="shared" si="15"/>
        <v xml:space="preserve"> </v>
      </c>
      <c r="I651" s="275" t="str">
        <f t="shared" si="12"/>
        <v xml:space="preserve"> </v>
      </c>
      <c r="J651" s="276" t="str">
        <f t="shared" si="13"/>
        <v xml:space="preserve"> </v>
      </c>
      <c r="K651" s="277" t="str">
        <f t="shared" si="14"/>
        <v xml:space="preserve"> </v>
      </c>
    </row>
    <row r="652" spans="1:11" ht="19.5" x14ac:dyDescent="0.25">
      <c r="A652" s="267"/>
      <c r="B652" s="268"/>
      <c r="C652" s="269"/>
      <c r="D652" s="270"/>
      <c r="E652" s="271"/>
      <c r="F652" s="272"/>
      <c r="G652" s="273"/>
      <c r="H652" s="274" t="str">
        <f t="shared" si="15"/>
        <v xml:space="preserve"> </v>
      </c>
      <c r="I652" s="275" t="str">
        <f t="shared" si="12"/>
        <v xml:space="preserve"> </v>
      </c>
      <c r="J652" s="276" t="str">
        <f t="shared" si="13"/>
        <v xml:space="preserve"> </v>
      </c>
      <c r="K652" s="277" t="str">
        <f t="shared" si="14"/>
        <v xml:space="preserve"> </v>
      </c>
    </row>
    <row r="653" spans="1:11" ht="19.5" x14ac:dyDescent="0.25">
      <c r="A653" s="267"/>
      <c r="B653" s="268"/>
      <c r="C653" s="269"/>
      <c r="D653" s="270"/>
      <c r="E653" s="271"/>
      <c r="F653" s="272"/>
      <c r="G653" s="273"/>
      <c r="H653" s="274" t="str">
        <f t="shared" si="15"/>
        <v xml:space="preserve"> </v>
      </c>
      <c r="I653" s="275" t="str">
        <f t="shared" si="12"/>
        <v xml:space="preserve"> </v>
      </c>
      <c r="J653" s="276" t="str">
        <f t="shared" si="13"/>
        <v xml:space="preserve"> </v>
      </c>
      <c r="K653" s="277" t="str">
        <f t="shared" si="14"/>
        <v xml:space="preserve"> </v>
      </c>
    </row>
    <row r="654" spans="1:11" ht="19.5" x14ac:dyDescent="0.25">
      <c r="A654" s="267"/>
      <c r="B654" s="268"/>
      <c r="C654" s="269"/>
      <c r="D654" s="270"/>
      <c r="E654" s="271"/>
      <c r="F654" s="272"/>
      <c r="G654" s="273"/>
      <c r="H654" s="274" t="str">
        <f t="shared" si="15"/>
        <v xml:space="preserve"> </v>
      </c>
      <c r="I654" s="275" t="str">
        <f t="shared" si="12"/>
        <v xml:space="preserve"> </v>
      </c>
      <c r="J654" s="276" t="str">
        <f t="shared" si="13"/>
        <v xml:space="preserve"> </v>
      </c>
      <c r="K654" s="277" t="str">
        <f t="shared" si="14"/>
        <v xml:space="preserve"> </v>
      </c>
    </row>
    <row r="655" spans="1:11" ht="19.5" x14ac:dyDescent="0.25">
      <c r="A655" s="267"/>
      <c r="B655" s="268"/>
      <c r="C655" s="269"/>
      <c r="D655" s="270"/>
      <c r="E655" s="271"/>
      <c r="F655" s="272"/>
      <c r="G655" s="273"/>
      <c r="H655" s="274" t="str">
        <f t="shared" si="15"/>
        <v xml:space="preserve"> </v>
      </c>
      <c r="I655" s="275" t="str">
        <f t="shared" si="12"/>
        <v xml:space="preserve"> </v>
      </c>
      <c r="J655" s="276" t="str">
        <f t="shared" si="13"/>
        <v xml:space="preserve"> </v>
      </c>
      <c r="K655" s="277" t="str">
        <f t="shared" si="14"/>
        <v xml:space="preserve"> </v>
      </c>
    </row>
    <row r="656" spans="1:11" ht="19.5" x14ac:dyDescent="0.25">
      <c r="A656" s="267"/>
      <c r="B656" s="268"/>
      <c r="C656" s="269"/>
      <c r="D656" s="270"/>
      <c r="E656" s="271"/>
      <c r="F656" s="272"/>
      <c r="G656" s="273"/>
      <c r="H656" s="274" t="str">
        <f t="shared" si="15"/>
        <v xml:space="preserve"> </v>
      </c>
      <c r="I656" s="275" t="str">
        <f t="shared" si="12"/>
        <v xml:space="preserve"> </v>
      </c>
      <c r="J656" s="276" t="str">
        <f t="shared" si="13"/>
        <v xml:space="preserve"> </v>
      </c>
      <c r="K656" s="277" t="str">
        <f t="shared" si="14"/>
        <v xml:space="preserve"> </v>
      </c>
    </row>
    <row r="657" spans="1:11" ht="19.5" x14ac:dyDescent="0.25">
      <c r="A657" s="267"/>
      <c r="B657" s="268"/>
      <c r="C657" s="269"/>
      <c r="D657" s="270"/>
      <c r="E657" s="271"/>
      <c r="F657" s="272"/>
      <c r="G657" s="273"/>
      <c r="H657" s="274" t="str">
        <f t="shared" si="15"/>
        <v xml:space="preserve"> </v>
      </c>
      <c r="I657" s="275" t="str">
        <f t="shared" si="12"/>
        <v xml:space="preserve"> </v>
      </c>
      <c r="J657" s="276" t="str">
        <f t="shared" si="13"/>
        <v xml:space="preserve"> </v>
      </c>
      <c r="K657" s="277" t="str">
        <f t="shared" si="14"/>
        <v xml:space="preserve"> </v>
      </c>
    </row>
    <row r="658" spans="1:11" ht="19.5" x14ac:dyDescent="0.25">
      <c r="A658" s="267"/>
      <c r="B658" s="268"/>
      <c r="C658" s="269"/>
      <c r="D658" s="270"/>
      <c r="E658" s="271"/>
      <c r="F658" s="272"/>
      <c r="G658" s="273"/>
      <c r="H658" s="274" t="str">
        <f t="shared" si="15"/>
        <v xml:space="preserve"> </v>
      </c>
      <c r="I658" s="275" t="str">
        <f t="shared" si="12"/>
        <v xml:space="preserve"> </v>
      </c>
      <c r="J658" s="276" t="str">
        <f t="shared" si="13"/>
        <v xml:space="preserve"> </v>
      </c>
      <c r="K658" s="277" t="str">
        <f t="shared" si="14"/>
        <v xml:space="preserve"> </v>
      </c>
    </row>
    <row r="659" spans="1:11" ht="19.5" x14ac:dyDescent="0.25">
      <c r="A659" s="267"/>
      <c r="B659" s="268"/>
      <c r="C659" s="269"/>
      <c r="D659" s="270"/>
      <c r="E659" s="271"/>
      <c r="F659" s="272"/>
      <c r="G659" s="273"/>
      <c r="H659" s="274" t="str">
        <f t="shared" si="15"/>
        <v xml:space="preserve"> </v>
      </c>
      <c r="I659" s="275" t="str">
        <f t="shared" si="12"/>
        <v xml:space="preserve"> </v>
      </c>
      <c r="J659" s="276" t="str">
        <f t="shared" si="13"/>
        <v xml:space="preserve"> </v>
      </c>
      <c r="K659" s="277" t="str">
        <f t="shared" si="14"/>
        <v xml:space="preserve"> </v>
      </c>
    </row>
    <row r="660" spans="1:11" ht="19.5" x14ac:dyDescent="0.25">
      <c r="A660" s="267"/>
      <c r="B660" s="268"/>
      <c r="C660" s="269"/>
      <c r="D660" s="270"/>
      <c r="E660" s="271"/>
      <c r="F660" s="272"/>
      <c r="G660" s="273"/>
      <c r="H660" s="274" t="str">
        <f t="shared" si="15"/>
        <v xml:space="preserve"> </v>
      </c>
      <c r="I660" s="275" t="str">
        <f t="shared" si="12"/>
        <v xml:space="preserve"> </v>
      </c>
      <c r="J660" s="276" t="str">
        <f t="shared" si="13"/>
        <v xml:space="preserve"> </v>
      </c>
      <c r="K660" s="277" t="str">
        <f t="shared" si="14"/>
        <v xml:space="preserve"> </v>
      </c>
    </row>
    <row r="661" spans="1:11" ht="19.5" x14ac:dyDescent="0.25">
      <c r="A661" s="267"/>
      <c r="B661" s="268"/>
      <c r="C661" s="269"/>
      <c r="D661" s="270"/>
      <c r="E661" s="271"/>
      <c r="F661" s="272"/>
      <c r="G661" s="273"/>
      <c r="H661" s="274" t="str">
        <f t="shared" si="15"/>
        <v xml:space="preserve"> </v>
      </c>
      <c r="I661" s="275" t="str">
        <f t="shared" si="12"/>
        <v xml:space="preserve"> </v>
      </c>
      <c r="J661" s="276" t="str">
        <f t="shared" si="13"/>
        <v xml:space="preserve"> </v>
      </c>
      <c r="K661" s="277" t="str">
        <f t="shared" si="14"/>
        <v xml:space="preserve"> </v>
      </c>
    </row>
    <row r="662" spans="1:11" ht="19.5" x14ac:dyDescent="0.25">
      <c r="A662" s="267"/>
      <c r="B662" s="268"/>
      <c r="C662" s="269"/>
      <c r="D662" s="270"/>
      <c r="E662" s="271"/>
      <c r="F662" s="272"/>
      <c r="G662" s="273"/>
      <c r="H662" s="274" t="str">
        <f t="shared" si="15"/>
        <v xml:space="preserve"> </v>
      </c>
      <c r="I662" s="275" t="str">
        <f t="shared" si="12"/>
        <v xml:space="preserve"> </v>
      </c>
      <c r="J662" s="276" t="str">
        <f t="shared" si="13"/>
        <v xml:space="preserve"> </v>
      </c>
      <c r="K662" s="277" t="str">
        <f t="shared" si="14"/>
        <v xml:space="preserve"> </v>
      </c>
    </row>
    <row r="663" spans="1:11" ht="19.5" x14ac:dyDescent="0.25">
      <c r="A663" s="267"/>
      <c r="B663" s="268"/>
      <c r="C663" s="269"/>
      <c r="D663" s="270"/>
      <c r="E663" s="271"/>
      <c r="F663" s="272"/>
      <c r="G663" s="273"/>
      <c r="H663" s="274" t="str">
        <f t="shared" si="15"/>
        <v xml:space="preserve"> </v>
      </c>
      <c r="I663" s="275" t="str">
        <f t="shared" si="12"/>
        <v xml:space="preserve"> </v>
      </c>
      <c r="J663" s="276" t="str">
        <f t="shared" si="13"/>
        <v xml:space="preserve"> </v>
      </c>
      <c r="K663" s="277" t="str">
        <f t="shared" si="14"/>
        <v xml:space="preserve"> </v>
      </c>
    </row>
    <row r="664" spans="1:11" ht="19.5" x14ac:dyDescent="0.25">
      <c r="A664" s="267"/>
      <c r="B664" s="268"/>
      <c r="C664" s="269"/>
      <c r="D664" s="270"/>
      <c r="E664" s="271"/>
      <c r="F664" s="272"/>
      <c r="G664" s="273"/>
      <c r="H664" s="274" t="str">
        <f t="shared" si="15"/>
        <v xml:space="preserve"> </v>
      </c>
      <c r="I664" s="275" t="str">
        <f t="shared" si="12"/>
        <v xml:space="preserve"> </v>
      </c>
      <c r="J664" s="276" t="str">
        <f t="shared" si="13"/>
        <v xml:space="preserve"> </v>
      </c>
      <c r="K664" s="277" t="str">
        <f t="shared" si="14"/>
        <v xml:space="preserve"> </v>
      </c>
    </row>
    <row r="665" spans="1:11" ht="19.5" x14ac:dyDescent="0.25">
      <c r="A665" s="267"/>
      <c r="B665" s="268"/>
      <c r="C665" s="269"/>
      <c r="D665" s="270"/>
      <c r="E665" s="271"/>
      <c r="F665" s="272"/>
      <c r="G665" s="273"/>
      <c r="H665" s="274" t="str">
        <f t="shared" si="15"/>
        <v xml:space="preserve"> </v>
      </c>
      <c r="I665" s="275" t="str">
        <f t="shared" si="12"/>
        <v xml:space="preserve"> </v>
      </c>
      <c r="J665" s="276" t="str">
        <f t="shared" si="13"/>
        <v xml:space="preserve"> </v>
      </c>
      <c r="K665" s="277" t="str">
        <f t="shared" si="14"/>
        <v xml:space="preserve"> </v>
      </c>
    </row>
    <row r="666" spans="1:11" ht="19.5" x14ac:dyDescent="0.25">
      <c r="A666" s="267"/>
      <c r="B666" s="268"/>
      <c r="C666" s="269"/>
      <c r="D666" s="270"/>
      <c r="E666" s="271"/>
      <c r="F666" s="272"/>
      <c r="G666" s="273"/>
      <c r="H666" s="274" t="str">
        <f t="shared" si="15"/>
        <v xml:space="preserve"> </v>
      </c>
      <c r="I666" s="275" t="str">
        <f t="shared" si="12"/>
        <v xml:space="preserve"> </v>
      </c>
      <c r="J666" s="276" t="str">
        <f t="shared" si="13"/>
        <v xml:space="preserve"> </v>
      </c>
      <c r="K666" s="277" t="str">
        <f t="shared" si="14"/>
        <v xml:space="preserve"> </v>
      </c>
    </row>
    <row r="667" spans="1:11" ht="19.5" x14ac:dyDescent="0.25">
      <c r="A667" s="267"/>
      <c r="B667" s="268"/>
      <c r="C667" s="269"/>
      <c r="D667" s="270"/>
      <c r="E667" s="271"/>
      <c r="F667" s="272"/>
      <c r="G667" s="273"/>
      <c r="H667" s="274" t="str">
        <f t="shared" si="15"/>
        <v xml:space="preserve"> </v>
      </c>
      <c r="I667" s="275" t="str">
        <f t="shared" si="12"/>
        <v xml:space="preserve"> </v>
      </c>
      <c r="J667" s="276" t="str">
        <f t="shared" si="13"/>
        <v xml:space="preserve"> </v>
      </c>
      <c r="K667" s="277" t="str">
        <f t="shared" si="14"/>
        <v xml:space="preserve"> </v>
      </c>
    </row>
    <row r="668" spans="1:11" ht="19.5" x14ac:dyDescent="0.25">
      <c r="A668" s="267"/>
      <c r="B668" s="268"/>
      <c r="C668" s="269"/>
      <c r="D668" s="270"/>
      <c r="E668" s="271"/>
      <c r="F668" s="272"/>
      <c r="G668" s="273"/>
      <c r="H668" s="274" t="str">
        <f t="shared" si="15"/>
        <v xml:space="preserve"> </v>
      </c>
      <c r="I668" s="275" t="str">
        <f t="shared" si="12"/>
        <v xml:space="preserve"> </v>
      </c>
      <c r="J668" s="276" t="str">
        <f t="shared" si="13"/>
        <v xml:space="preserve"> </v>
      </c>
      <c r="K668" s="277" t="str">
        <f t="shared" si="14"/>
        <v xml:space="preserve"> </v>
      </c>
    </row>
    <row r="669" spans="1:11" ht="19.5" x14ac:dyDescent="0.25">
      <c r="A669" s="267"/>
      <c r="B669" s="268"/>
      <c r="C669" s="269"/>
      <c r="D669" s="270"/>
      <c r="E669" s="271"/>
      <c r="F669" s="272"/>
      <c r="G669" s="273"/>
      <c r="H669" s="274" t="str">
        <f t="shared" si="15"/>
        <v xml:space="preserve"> </v>
      </c>
      <c r="I669" s="275" t="str">
        <f t="shared" si="12"/>
        <v xml:space="preserve"> </v>
      </c>
      <c r="J669" s="276" t="str">
        <f t="shared" si="13"/>
        <v xml:space="preserve"> </v>
      </c>
      <c r="K669" s="277" t="str">
        <f t="shared" si="14"/>
        <v xml:space="preserve"> </v>
      </c>
    </row>
    <row r="670" spans="1:11" ht="19.5" x14ac:dyDescent="0.25">
      <c r="A670" s="267"/>
      <c r="B670" s="268"/>
      <c r="C670" s="269"/>
      <c r="D670" s="270"/>
      <c r="E670" s="271"/>
      <c r="F670" s="272"/>
      <c r="G670" s="273"/>
      <c r="H670" s="274" t="str">
        <f t="shared" si="15"/>
        <v xml:space="preserve"> </v>
      </c>
      <c r="I670" s="275" t="str">
        <f t="shared" si="12"/>
        <v xml:space="preserve"> </v>
      </c>
      <c r="J670" s="276" t="str">
        <f t="shared" si="13"/>
        <v xml:space="preserve"> </v>
      </c>
      <c r="K670" s="277" t="str">
        <f t="shared" si="14"/>
        <v xml:space="preserve"> </v>
      </c>
    </row>
    <row r="671" spans="1:11" ht="19.5" x14ac:dyDescent="0.25">
      <c r="A671" s="267"/>
      <c r="B671" s="268"/>
      <c r="C671" s="269"/>
      <c r="D671" s="270"/>
      <c r="E671" s="271"/>
      <c r="F671" s="272"/>
      <c r="G671" s="273"/>
      <c r="H671" s="274" t="str">
        <f t="shared" si="15"/>
        <v xml:space="preserve"> </v>
      </c>
      <c r="I671" s="275" t="str">
        <f t="shared" si="12"/>
        <v xml:space="preserve"> </v>
      </c>
      <c r="J671" s="276" t="str">
        <f t="shared" si="13"/>
        <v xml:space="preserve"> </v>
      </c>
      <c r="K671" s="277" t="str">
        <f t="shared" si="14"/>
        <v xml:space="preserve"> </v>
      </c>
    </row>
    <row r="672" spans="1:11" ht="19.5" x14ac:dyDescent="0.25">
      <c r="A672" s="267"/>
      <c r="B672" s="268"/>
      <c r="C672" s="269"/>
      <c r="D672" s="270"/>
      <c r="E672" s="271"/>
      <c r="F672" s="272"/>
      <c r="G672" s="273"/>
      <c r="H672" s="274" t="str">
        <f t="shared" si="15"/>
        <v xml:space="preserve"> </v>
      </c>
      <c r="I672" s="275" t="str">
        <f t="shared" si="12"/>
        <v xml:space="preserve"> </v>
      </c>
      <c r="J672" s="276" t="str">
        <f t="shared" si="13"/>
        <v xml:space="preserve"> </v>
      </c>
      <c r="K672" s="277" t="str">
        <f t="shared" si="14"/>
        <v xml:space="preserve"> </v>
      </c>
    </row>
    <row r="673" spans="1:11" ht="19.5" x14ac:dyDescent="0.25">
      <c r="A673" s="267"/>
      <c r="B673" s="268"/>
      <c r="C673" s="269"/>
      <c r="D673" s="270"/>
      <c r="E673" s="271"/>
      <c r="F673" s="272"/>
      <c r="G673" s="273"/>
      <c r="H673" s="274" t="str">
        <f t="shared" si="15"/>
        <v xml:space="preserve"> </v>
      </c>
      <c r="I673" s="275" t="str">
        <f t="shared" si="12"/>
        <v xml:space="preserve"> </v>
      </c>
      <c r="J673" s="276" t="str">
        <f t="shared" si="13"/>
        <v xml:space="preserve"> </v>
      </c>
      <c r="K673" s="277" t="str">
        <f t="shared" si="14"/>
        <v xml:space="preserve"> </v>
      </c>
    </row>
    <row r="674" spans="1:11" ht="19.5" x14ac:dyDescent="0.25">
      <c r="A674" s="267"/>
      <c r="B674" s="268"/>
      <c r="C674" s="269"/>
      <c r="D674" s="270"/>
      <c r="E674" s="271"/>
      <c r="F674" s="272"/>
      <c r="G674" s="273"/>
      <c r="H674" s="274" t="str">
        <f t="shared" si="15"/>
        <v xml:space="preserve"> </v>
      </c>
      <c r="I674" s="275" t="str">
        <f t="shared" si="12"/>
        <v xml:space="preserve"> </v>
      </c>
      <c r="J674" s="276" t="str">
        <f t="shared" si="13"/>
        <v xml:space="preserve"> </v>
      </c>
      <c r="K674" s="277" t="str">
        <f t="shared" si="14"/>
        <v xml:space="preserve"> </v>
      </c>
    </row>
    <row r="675" spans="1:11" ht="19.5" x14ac:dyDescent="0.25">
      <c r="A675" s="267"/>
      <c r="B675" s="268"/>
      <c r="C675" s="269"/>
      <c r="D675" s="270"/>
      <c r="E675" s="271"/>
      <c r="F675" s="272"/>
      <c r="G675" s="273"/>
      <c r="H675" s="274" t="str">
        <f t="shared" si="15"/>
        <v xml:space="preserve"> </v>
      </c>
      <c r="I675" s="275" t="str">
        <f t="shared" si="12"/>
        <v xml:space="preserve"> </v>
      </c>
      <c r="J675" s="276" t="str">
        <f t="shared" si="13"/>
        <v xml:space="preserve"> </v>
      </c>
      <c r="K675" s="277" t="str">
        <f t="shared" si="14"/>
        <v xml:space="preserve"> </v>
      </c>
    </row>
    <row r="676" spans="1:11" ht="19.5" x14ac:dyDescent="0.25">
      <c r="A676" s="267"/>
      <c r="B676" s="268"/>
      <c r="C676" s="269"/>
      <c r="D676" s="270"/>
      <c r="E676" s="271"/>
      <c r="F676" s="272"/>
      <c r="G676" s="273"/>
      <c r="H676" s="274" t="str">
        <f t="shared" si="15"/>
        <v xml:space="preserve"> </v>
      </c>
      <c r="I676" s="275" t="str">
        <f t="shared" si="12"/>
        <v xml:space="preserve"> </v>
      </c>
      <c r="J676" s="276" t="str">
        <f t="shared" si="13"/>
        <v xml:space="preserve"> </v>
      </c>
      <c r="K676" s="277" t="str">
        <f t="shared" si="14"/>
        <v xml:space="preserve"> </v>
      </c>
    </row>
    <row r="677" spans="1:11" ht="19.5" x14ac:dyDescent="0.25">
      <c r="A677" s="267"/>
      <c r="B677" s="268"/>
      <c r="C677" s="269"/>
      <c r="D677" s="270"/>
      <c r="E677" s="271"/>
      <c r="F677" s="272"/>
      <c r="G677" s="273"/>
      <c r="H677" s="274" t="str">
        <f t="shared" si="15"/>
        <v xml:space="preserve"> </v>
      </c>
      <c r="I677" s="275" t="str">
        <f t="shared" si="12"/>
        <v xml:space="preserve"> </v>
      </c>
      <c r="J677" s="276" t="str">
        <f t="shared" si="13"/>
        <v xml:space="preserve"> </v>
      </c>
      <c r="K677" s="277" t="str">
        <f t="shared" si="14"/>
        <v xml:space="preserve"> </v>
      </c>
    </row>
    <row r="678" spans="1:11" ht="19.5" x14ac:dyDescent="0.25">
      <c r="A678" s="267"/>
      <c r="B678" s="268"/>
      <c r="C678" s="269"/>
      <c r="D678" s="270"/>
      <c r="E678" s="271"/>
      <c r="F678" s="272"/>
      <c r="G678" s="273"/>
      <c r="H678" s="274" t="str">
        <f t="shared" si="15"/>
        <v xml:space="preserve"> </v>
      </c>
      <c r="I678" s="275" t="str">
        <f t="shared" si="12"/>
        <v xml:space="preserve"> </v>
      </c>
      <c r="J678" s="276" t="str">
        <f t="shared" si="13"/>
        <v xml:space="preserve"> </v>
      </c>
      <c r="K678" s="277" t="str">
        <f t="shared" si="14"/>
        <v xml:space="preserve"> </v>
      </c>
    </row>
    <row r="679" spans="1:11" ht="19.5" x14ac:dyDescent="0.25">
      <c r="A679" s="267"/>
      <c r="B679" s="268"/>
      <c r="C679" s="269"/>
      <c r="D679" s="270"/>
      <c r="E679" s="271"/>
      <c r="F679" s="272"/>
      <c r="G679" s="273"/>
      <c r="H679" s="274" t="str">
        <f t="shared" si="15"/>
        <v xml:space="preserve"> </v>
      </c>
      <c r="I679" s="275" t="str">
        <f t="shared" si="12"/>
        <v xml:space="preserve"> </v>
      </c>
      <c r="J679" s="276" t="str">
        <f t="shared" si="13"/>
        <v xml:space="preserve"> </v>
      </c>
      <c r="K679" s="277" t="str">
        <f t="shared" si="14"/>
        <v xml:space="preserve"> </v>
      </c>
    </row>
    <row r="680" spans="1:11" ht="19.5" x14ac:dyDescent="0.25">
      <c r="A680" s="267"/>
      <c r="B680" s="268"/>
      <c r="C680" s="269"/>
      <c r="D680" s="270"/>
      <c r="E680" s="271"/>
      <c r="F680" s="272"/>
      <c r="G680" s="273"/>
      <c r="H680" s="274" t="str">
        <f t="shared" si="15"/>
        <v xml:space="preserve"> </v>
      </c>
      <c r="I680" s="275" t="str">
        <f t="shared" si="12"/>
        <v xml:space="preserve"> </v>
      </c>
      <c r="J680" s="276" t="str">
        <f t="shared" si="13"/>
        <v xml:space="preserve"> </v>
      </c>
      <c r="K680" s="277" t="str">
        <f t="shared" si="14"/>
        <v xml:space="preserve"> </v>
      </c>
    </row>
    <row r="681" spans="1:11" ht="19.5" x14ac:dyDescent="0.25">
      <c r="A681" s="267"/>
      <c r="B681" s="268"/>
      <c r="C681" s="269"/>
      <c r="D681" s="270"/>
      <c r="E681" s="271"/>
      <c r="F681" s="272"/>
      <c r="G681" s="273"/>
      <c r="H681" s="274" t="str">
        <f t="shared" si="15"/>
        <v xml:space="preserve"> </v>
      </c>
      <c r="I681" s="275" t="str">
        <f t="shared" si="12"/>
        <v xml:space="preserve"> </v>
      </c>
      <c r="J681" s="276" t="str">
        <f t="shared" si="13"/>
        <v xml:space="preserve"> </v>
      </c>
      <c r="K681" s="277" t="str">
        <f t="shared" si="14"/>
        <v xml:space="preserve"> </v>
      </c>
    </row>
    <row r="682" spans="1:11" ht="19.5" x14ac:dyDescent="0.25">
      <c r="A682" s="267"/>
      <c r="B682" s="268"/>
      <c r="C682" s="269"/>
      <c r="D682" s="270"/>
      <c r="E682" s="271"/>
      <c r="F682" s="272"/>
      <c r="G682" s="273"/>
      <c r="H682" s="274" t="str">
        <f t="shared" si="15"/>
        <v xml:space="preserve"> </v>
      </c>
      <c r="I682" s="275" t="str">
        <f t="shared" si="12"/>
        <v xml:space="preserve"> </v>
      </c>
      <c r="J682" s="276" t="str">
        <f t="shared" si="13"/>
        <v xml:space="preserve"> </v>
      </c>
      <c r="K682" s="277" t="str">
        <f t="shared" si="14"/>
        <v xml:space="preserve"> </v>
      </c>
    </row>
    <row r="683" spans="1:11" ht="19.5" x14ac:dyDescent="0.25">
      <c r="A683" s="267"/>
      <c r="B683" s="268"/>
      <c r="C683" s="269"/>
      <c r="D683" s="270"/>
      <c r="E683" s="271"/>
      <c r="F683" s="272"/>
      <c r="G683" s="273"/>
      <c r="H683" s="274" t="str">
        <f t="shared" si="15"/>
        <v xml:space="preserve"> </v>
      </c>
      <c r="I683" s="275" t="str">
        <f t="shared" si="12"/>
        <v xml:space="preserve"> </v>
      </c>
      <c r="J683" s="276" t="str">
        <f t="shared" si="13"/>
        <v xml:space="preserve"> </v>
      </c>
      <c r="K683" s="277" t="str">
        <f t="shared" si="14"/>
        <v xml:space="preserve"> </v>
      </c>
    </row>
    <row r="684" spans="1:11" ht="19.5" x14ac:dyDescent="0.25">
      <c r="A684" s="267"/>
      <c r="B684" s="268"/>
      <c r="C684" s="269"/>
      <c r="D684" s="270"/>
      <c r="E684" s="271"/>
      <c r="F684" s="272"/>
      <c r="G684" s="273"/>
      <c r="H684" s="274" t="str">
        <f t="shared" si="15"/>
        <v xml:space="preserve"> </v>
      </c>
      <c r="I684" s="275" t="str">
        <f t="shared" si="12"/>
        <v xml:space="preserve"> </v>
      </c>
      <c r="J684" s="276" t="str">
        <f t="shared" si="13"/>
        <v xml:space="preserve"> </v>
      </c>
      <c r="K684" s="277" t="str">
        <f t="shared" si="14"/>
        <v xml:space="preserve"> </v>
      </c>
    </row>
    <row r="685" spans="1:11" ht="19.5" x14ac:dyDescent="0.25">
      <c r="A685" s="267"/>
      <c r="B685" s="268"/>
      <c r="C685" s="269"/>
      <c r="D685" s="270"/>
      <c r="E685" s="271"/>
      <c r="F685" s="272"/>
      <c r="G685" s="273"/>
      <c r="H685" s="274" t="str">
        <f t="shared" si="15"/>
        <v xml:space="preserve"> </v>
      </c>
      <c r="I685" s="275" t="str">
        <f t="shared" si="12"/>
        <v xml:space="preserve"> </v>
      </c>
      <c r="J685" s="276" t="str">
        <f t="shared" si="13"/>
        <v xml:space="preserve"> </v>
      </c>
      <c r="K685" s="277" t="str">
        <f t="shared" si="14"/>
        <v xml:space="preserve"> </v>
      </c>
    </row>
    <row r="686" spans="1:11" ht="19.5" x14ac:dyDescent="0.25">
      <c r="A686" s="267"/>
      <c r="B686" s="268"/>
      <c r="C686" s="269"/>
      <c r="D686" s="270"/>
      <c r="E686" s="271"/>
      <c r="F686" s="272"/>
      <c r="G686" s="273"/>
      <c r="H686" s="274" t="str">
        <f t="shared" si="15"/>
        <v xml:space="preserve"> </v>
      </c>
      <c r="I686" s="275" t="str">
        <f t="shared" si="12"/>
        <v xml:space="preserve"> </v>
      </c>
      <c r="J686" s="276" t="str">
        <f t="shared" si="13"/>
        <v xml:space="preserve"> </v>
      </c>
      <c r="K686" s="277" t="str">
        <f t="shared" si="14"/>
        <v xml:space="preserve"> </v>
      </c>
    </row>
    <row r="687" spans="1:11" ht="19.5" x14ac:dyDescent="0.25">
      <c r="A687" s="267"/>
      <c r="B687" s="268"/>
      <c r="C687" s="269"/>
      <c r="D687" s="270"/>
      <c r="E687" s="271"/>
      <c r="F687" s="272"/>
      <c r="G687" s="273"/>
      <c r="H687" s="274" t="str">
        <f t="shared" si="15"/>
        <v xml:space="preserve"> </v>
      </c>
      <c r="I687" s="275" t="str">
        <f t="shared" si="12"/>
        <v xml:space="preserve"> </v>
      </c>
      <c r="J687" s="276" t="str">
        <f t="shared" si="13"/>
        <v xml:space="preserve"> </v>
      </c>
      <c r="K687" s="277" t="str">
        <f t="shared" si="14"/>
        <v xml:space="preserve"> </v>
      </c>
    </row>
    <row r="688" spans="1:11" ht="19.5" x14ac:dyDescent="0.25">
      <c r="A688" s="267"/>
      <c r="B688" s="268"/>
      <c r="C688" s="269"/>
      <c r="D688" s="270"/>
      <c r="E688" s="271"/>
      <c r="F688" s="272"/>
      <c r="G688" s="273"/>
      <c r="H688" s="274" t="str">
        <f t="shared" si="15"/>
        <v xml:space="preserve"> </v>
      </c>
      <c r="I688" s="275" t="str">
        <f t="shared" ref="I688:I751" si="16">IF($D688="Заплыв №", "РЕЗУЛЬТАТ", " ")</f>
        <v xml:space="preserve"> </v>
      </c>
      <c r="J688" s="276" t="str">
        <f t="shared" ref="J688:J751" si="17">IF($D688="Заплыв №", "ФИНИШ", " ")</f>
        <v xml:space="preserve"> </v>
      </c>
      <c r="K688" s="277" t="str">
        <f t="shared" ref="K688:K751" si="18">IF($D688="Заплыв №", "ПРИМ.", " ")</f>
        <v xml:space="preserve"> </v>
      </c>
    </row>
    <row r="689" spans="1:11" ht="19.5" x14ac:dyDescent="0.25">
      <c r="A689" s="267"/>
      <c r="B689" s="268"/>
      <c r="C689" s="269"/>
      <c r="D689" s="270"/>
      <c r="E689" s="271"/>
      <c r="F689" s="272"/>
      <c r="G689" s="273"/>
      <c r="H689" s="274" t="str">
        <f t="shared" si="15"/>
        <v xml:space="preserve"> </v>
      </c>
      <c r="I689" s="275" t="str">
        <f t="shared" si="16"/>
        <v xml:space="preserve"> </v>
      </c>
      <c r="J689" s="276" t="str">
        <f t="shared" si="17"/>
        <v xml:space="preserve"> </v>
      </c>
      <c r="K689" s="277" t="str">
        <f t="shared" si="18"/>
        <v xml:space="preserve"> </v>
      </c>
    </row>
    <row r="690" spans="1:11" ht="19.5" x14ac:dyDescent="0.25">
      <c r="A690" s="267"/>
      <c r="B690" s="268"/>
      <c r="C690" s="269"/>
      <c r="D690" s="270"/>
      <c r="E690" s="271"/>
      <c r="F690" s="272"/>
      <c r="G690" s="273"/>
      <c r="H690" s="274" t="str">
        <f t="shared" si="15"/>
        <v xml:space="preserve"> </v>
      </c>
      <c r="I690" s="275" t="str">
        <f t="shared" si="16"/>
        <v xml:space="preserve"> </v>
      </c>
      <c r="J690" s="276" t="str">
        <f t="shared" si="17"/>
        <v xml:space="preserve"> </v>
      </c>
      <c r="K690" s="277" t="str">
        <f t="shared" si="18"/>
        <v xml:space="preserve"> </v>
      </c>
    </row>
    <row r="691" spans="1:11" ht="19.5" x14ac:dyDescent="0.25">
      <c r="A691" s="267"/>
      <c r="B691" s="268"/>
      <c r="C691" s="269"/>
      <c r="D691" s="270"/>
      <c r="E691" s="271"/>
      <c r="F691" s="272"/>
      <c r="G691" s="273"/>
      <c r="H691" s="274" t="str">
        <f t="shared" si="15"/>
        <v xml:space="preserve"> </v>
      </c>
      <c r="I691" s="275" t="str">
        <f t="shared" si="16"/>
        <v xml:space="preserve"> </v>
      </c>
      <c r="J691" s="276" t="str">
        <f t="shared" si="17"/>
        <v xml:space="preserve"> </v>
      </c>
      <c r="K691" s="277" t="str">
        <f t="shared" si="18"/>
        <v xml:space="preserve"> </v>
      </c>
    </row>
    <row r="692" spans="1:11" ht="19.5" x14ac:dyDescent="0.25">
      <c r="A692" s="267"/>
      <c r="B692" s="268"/>
      <c r="C692" s="269"/>
      <c r="D692" s="270"/>
      <c r="E692" s="271"/>
      <c r="F692" s="272"/>
      <c r="G692" s="273"/>
      <c r="H692" s="274" t="str">
        <f t="shared" si="15"/>
        <v xml:space="preserve"> </v>
      </c>
      <c r="I692" s="275" t="str">
        <f t="shared" si="16"/>
        <v xml:space="preserve"> </v>
      </c>
      <c r="J692" s="276" t="str">
        <f t="shared" si="17"/>
        <v xml:space="preserve"> </v>
      </c>
      <c r="K692" s="277" t="str">
        <f t="shared" si="18"/>
        <v xml:space="preserve"> </v>
      </c>
    </row>
    <row r="693" spans="1:11" ht="19.5" x14ac:dyDescent="0.25">
      <c r="A693" s="267"/>
      <c r="B693" s="268"/>
      <c r="C693" s="269"/>
      <c r="D693" s="270"/>
      <c r="E693" s="271"/>
      <c r="F693" s="272"/>
      <c r="G693" s="273"/>
      <c r="H693" s="274" t="str">
        <f t="shared" si="15"/>
        <v xml:space="preserve"> </v>
      </c>
      <c r="I693" s="275" t="str">
        <f t="shared" si="16"/>
        <v xml:space="preserve"> </v>
      </c>
      <c r="J693" s="276" t="str">
        <f t="shared" si="17"/>
        <v xml:space="preserve"> </v>
      </c>
      <c r="K693" s="277" t="str">
        <f t="shared" si="18"/>
        <v xml:space="preserve"> </v>
      </c>
    </row>
    <row r="694" spans="1:11" ht="19.5" x14ac:dyDescent="0.25">
      <c r="A694" s="267"/>
      <c r="B694" s="268"/>
      <c r="C694" s="269"/>
      <c r="D694" s="270"/>
      <c r="E694" s="271"/>
      <c r="F694" s="272"/>
      <c r="G694" s="273"/>
      <c r="H694" s="274" t="str">
        <f t="shared" si="15"/>
        <v xml:space="preserve"> </v>
      </c>
      <c r="I694" s="275" t="str">
        <f t="shared" si="16"/>
        <v xml:space="preserve"> </v>
      </c>
      <c r="J694" s="276" t="str">
        <f t="shared" si="17"/>
        <v xml:space="preserve"> </v>
      </c>
      <c r="K694" s="277" t="str">
        <f t="shared" si="18"/>
        <v xml:space="preserve"> </v>
      </c>
    </row>
    <row r="695" spans="1:11" ht="19.5" x14ac:dyDescent="0.25">
      <c r="A695" s="267"/>
      <c r="B695" s="268"/>
      <c r="C695" s="269"/>
      <c r="D695" s="270"/>
      <c r="E695" s="271"/>
      <c r="F695" s="272"/>
      <c r="G695" s="273"/>
      <c r="H695" s="274" t="str">
        <f t="shared" si="15"/>
        <v xml:space="preserve"> </v>
      </c>
      <c r="I695" s="275" t="str">
        <f t="shared" si="16"/>
        <v xml:space="preserve"> </v>
      </c>
      <c r="J695" s="276" t="str">
        <f t="shared" si="17"/>
        <v xml:space="preserve"> </v>
      </c>
      <c r="K695" s="277" t="str">
        <f t="shared" si="18"/>
        <v xml:space="preserve"> </v>
      </c>
    </row>
    <row r="696" spans="1:11" ht="19.5" x14ac:dyDescent="0.25">
      <c r="A696" s="267"/>
      <c r="B696" s="268"/>
      <c r="C696" s="269"/>
      <c r="D696" s="270"/>
      <c r="E696" s="271"/>
      <c r="F696" s="272"/>
      <c r="G696" s="273"/>
      <c r="H696" s="274" t="str">
        <f t="shared" si="15"/>
        <v xml:space="preserve"> </v>
      </c>
      <c r="I696" s="275" t="str">
        <f t="shared" si="16"/>
        <v xml:space="preserve"> </v>
      </c>
      <c r="J696" s="276" t="str">
        <f t="shared" si="17"/>
        <v xml:space="preserve"> </v>
      </c>
      <c r="K696" s="277" t="str">
        <f t="shared" si="18"/>
        <v xml:space="preserve"> </v>
      </c>
    </row>
    <row r="697" spans="1:11" ht="19.5" x14ac:dyDescent="0.25">
      <c r="A697" s="267"/>
      <c r="B697" s="268"/>
      <c r="C697" s="269"/>
      <c r="D697" s="270"/>
      <c r="E697" s="271"/>
      <c r="F697" s="272"/>
      <c r="G697" s="273"/>
      <c r="H697" s="274" t="str">
        <f t="shared" si="15"/>
        <v xml:space="preserve"> </v>
      </c>
      <c r="I697" s="275" t="str">
        <f t="shared" si="16"/>
        <v xml:space="preserve"> </v>
      </c>
      <c r="J697" s="276" t="str">
        <f t="shared" si="17"/>
        <v xml:space="preserve"> </v>
      </c>
      <c r="K697" s="277" t="str">
        <f t="shared" si="18"/>
        <v xml:space="preserve"> </v>
      </c>
    </row>
    <row r="698" spans="1:11" ht="19.5" x14ac:dyDescent="0.25">
      <c r="A698" s="267"/>
      <c r="B698" s="268"/>
      <c r="C698" s="269"/>
      <c r="D698" s="270"/>
      <c r="E698" s="271"/>
      <c r="F698" s="272"/>
      <c r="G698" s="273"/>
      <c r="H698" s="274" t="str">
        <f t="shared" si="15"/>
        <v xml:space="preserve"> </v>
      </c>
      <c r="I698" s="275" t="str">
        <f t="shared" si="16"/>
        <v xml:space="preserve"> </v>
      </c>
      <c r="J698" s="276" t="str">
        <f t="shared" si="17"/>
        <v xml:space="preserve"> </v>
      </c>
      <c r="K698" s="277" t="str">
        <f t="shared" si="18"/>
        <v xml:space="preserve"> </v>
      </c>
    </row>
    <row r="699" spans="1:11" ht="19.5" x14ac:dyDescent="0.25">
      <c r="A699" s="267"/>
      <c r="B699" s="268"/>
      <c r="C699" s="269"/>
      <c r="D699" s="270"/>
      <c r="E699" s="271"/>
      <c r="F699" s="272"/>
      <c r="G699" s="273"/>
      <c r="H699" s="274" t="str">
        <f t="shared" si="15"/>
        <v xml:space="preserve"> </v>
      </c>
      <c r="I699" s="275" t="str">
        <f t="shared" si="16"/>
        <v xml:space="preserve"> </v>
      </c>
      <c r="J699" s="276" t="str">
        <f t="shared" si="17"/>
        <v xml:space="preserve"> </v>
      </c>
      <c r="K699" s="277" t="str">
        <f t="shared" si="18"/>
        <v xml:space="preserve"> </v>
      </c>
    </row>
    <row r="700" spans="1:11" ht="19.5" x14ac:dyDescent="0.25">
      <c r="A700" s="267"/>
      <c r="B700" s="268"/>
      <c r="C700" s="269"/>
      <c r="D700" s="270"/>
      <c r="E700" s="271"/>
      <c r="F700" s="272"/>
      <c r="G700" s="273"/>
      <c r="H700" s="274" t="str">
        <f t="shared" si="15"/>
        <v xml:space="preserve"> </v>
      </c>
      <c r="I700" s="275" t="str">
        <f t="shared" si="16"/>
        <v xml:space="preserve"> </v>
      </c>
      <c r="J700" s="276" t="str">
        <f t="shared" si="17"/>
        <v xml:space="preserve"> </v>
      </c>
      <c r="K700" s="277" t="str">
        <f t="shared" si="18"/>
        <v xml:space="preserve"> </v>
      </c>
    </row>
    <row r="701" spans="1:11" ht="19.5" x14ac:dyDescent="0.25">
      <c r="A701" s="267"/>
      <c r="B701" s="268"/>
      <c r="C701" s="269"/>
      <c r="D701" s="270"/>
      <c r="E701" s="271"/>
      <c r="F701" s="272"/>
      <c r="G701" s="273"/>
      <c r="H701" s="274" t="str">
        <f t="shared" si="15"/>
        <v xml:space="preserve"> </v>
      </c>
      <c r="I701" s="275" t="str">
        <f t="shared" si="16"/>
        <v xml:space="preserve"> </v>
      </c>
      <c r="J701" s="276" t="str">
        <f t="shared" si="17"/>
        <v xml:space="preserve"> </v>
      </c>
      <c r="K701" s="277" t="str">
        <f t="shared" si="18"/>
        <v xml:space="preserve"> </v>
      </c>
    </row>
    <row r="702" spans="1:11" ht="19.5" x14ac:dyDescent="0.25">
      <c r="A702" s="267"/>
      <c r="B702" s="268"/>
      <c r="C702" s="269"/>
      <c r="D702" s="270"/>
      <c r="E702" s="271"/>
      <c r="F702" s="272"/>
      <c r="G702" s="273"/>
      <c r="H702" s="274" t="str">
        <f t="shared" si="15"/>
        <v xml:space="preserve"> </v>
      </c>
      <c r="I702" s="275" t="str">
        <f t="shared" si="16"/>
        <v xml:space="preserve"> </v>
      </c>
      <c r="J702" s="276" t="str">
        <f t="shared" si="17"/>
        <v xml:space="preserve"> </v>
      </c>
      <c r="K702" s="277" t="str">
        <f t="shared" si="18"/>
        <v xml:space="preserve"> </v>
      </c>
    </row>
    <row r="703" spans="1:11" ht="19.5" x14ac:dyDescent="0.25">
      <c r="A703" s="267"/>
      <c r="B703" s="268"/>
      <c r="C703" s="269"/>
      <c r="D703" s="270"/>
      <c r="E703" s="271"/>
      <c r="F703" s="272"/>
      <c r="G703" s="273"/>
      <c r="H703" s="274" t="str">
        <f t="shared" si="15"/>
        <v xml:space="preserve"> </v>
      </c>
      <c r="I703" s="275" t="str">
        <f t="shared" si="16"/>
        <v xml:space="preserve"> </v>
      </c>
      <c r="J703" s="276" t="str">
        <f t="shared" si="17"/>
        <v xml:space="preserve"> </v>
      </c>
      <c r="K703" s="277" t="str">
        <f t="shared" si="18"/>
        <v xml:space="preserve"> </v>
      </c>
    </row>
    <row r="704" spans="1:11" ht="19.5" x14ac:dyDescent="0.25">
      <c r="A704" s="267"/>
      <c r="B704" s="268"/>
      <c r="C704" s="269"/>
      <c r="D704" s="270"/>
      <c r="E704" s="271"/>
      <c r="F704" s="272"/>
      <c r="G704" s="273"/>
      <c r="H704" s="274" t="str">
        <f t="shared" si="15"/>
        <v xml:space="preserve"> </v>
      </c>
      <c r="I704" s="275" t="str">
        <f t="shared" si="16"/>
        <v xml:space="preserve"> </v>
      </c>
      <c r="J704" s="276" t="str">
        <f t="shared" si="17"/>
        <v xml:space="preserve"> </v>
      </c>
      <c r="K704" s="277" t="str">
        <f t="shared" si="18"/>
        <v xml:space="preserve"> </v>
      </c>
    </row>
    <row r="705" spans="1:11" ht="19.5" x14ac:dyDescent="0.25">
      <c r="A705" s="267"/>
      <c r="B705" s="268"/>
      <c r="C705" s="269"/>
      <c r="D705" s="270"/>
      <c r="E705" s="271"/>
      <c r="F705" s="272"/>
      <c r="G705" s="273"/>
      <c r="H705" s="274" t="str">
        <f t="shared" si="15"/>
        <v xml:space="preserve"> </v>
      </c>
      <c r="I705" s="275" t="str">
        <f t="shared" si="16"/>
        <v xml:space="preserve"> </v>
      </c>
      <c r="J705" s="276" t="str">
        <f t="shared" si="17"/>
        <v xml:space="preserve"> </v>
      </c>
      <c r="K705" s="277" t="str">
        <f t="shared" si="18"/>
        <v xml:space="preserve"> </v>
      </c>
    </row>
    <row r="706" spans="1:11" ht="19.5" x14ac:dyDescent="0.25">
      <c r="A706" s="267"/>
      <c r="B706" s="268"/>
      <c r="C706" s="269"/>
      <c r="D706" s="270"/>
      <c r="E706" s="271"/>
      <c r="F706" s="272"/>
      <c r="G706" s="273"/>
      <c r="H706" s="274" t="str">
        <f t="shared" ref="H706:H769" si="19">IF(ISBLANK(A706), " ", A706)</f>
        <v xml:space="preserve"> </v>
      </c>
      <c r="I706" s="275" t="str">
        <f t="shared" si="16"/>
        <v xml:space="preserve"> </v>
      </c>
      <c r="J706" s="276" t="str">
        <f t="shared" si="17"/>
        <v xml:space="preserve"> </v>
      </c>
      <c r="K706" s="277" t="str">
        <f t="shared" si="18"/>
        <v xml:space="preserve"> </v>
      </c>
    </row>
    <row r="707" spans="1:11" ht="19.5" x14ac:dyDescent="0.25">
      <c r="A707" s="267"/>
      <c r="B707" s="268"/>
      <c r="C707" s="269"/>
      <c r="D707" s="270"/>
      <c r="E707" s="271"/>
      <c r="F707" s="272"/>
      <c r="G707" s="273"/>
      <c r="H707" s="274" t="str">
        <f t="shared" si="19"/>
        <v xml:space="preserve"> </v>
      </c>
      <c r="I707" s="275" t="str">
        <f t="shared" si="16"/>
        <v xml:space="preserve"> </v>
      </c>
      <c r="J707" s="276" t="str">
        <f t="shared" si="17"/>
        <v xml:space="preserve"> </v>
      </c>
      <c r="K707" s="277" t="str">
        <f t="shared" si="18"/>
        <v xml:space="preserve"> </v>
      </c>
    </row>
    <row r="708" spans="1:11" ht="19.5" x14ac:dyDescent="0.25">
      <c r="A708" s="267"/>
      <c r="B708" s="268"/>
      <c r="C708" s="269"/>
      <c r="D708" s="270"/>
      <c r="E708" s="271"/>
      <c r="F708" s="272"/>
      <c r="G708" s="273"/>
      <c r="H708" s="274" t="str">
        <f t="shared" si="19"/>
        <v xml:space="preserve"> </v>
      </c>
      <c r="I708" s="275" t="str">
        <f t="shared" si="16"/>
        <v xml:space="preserve"> </v>
      </c>
      <c r="J708" s="276" t="str">
        <f t="shared" si="17"/>
        <v xml:space="preserve"> </v>
      </c>
      <c r="K708" s="277" t="str">
        <f t="shared" si="18"/>
        <v xml:space="preserve"> </v>
      </c>
    </row>
    <row r="709" spans="1:11" ht="19.5" x14ac:dyDescent="0.25">
      <c r="A709" s="267"/>
      <c r="B709" s="268"/>
      <c r="C709" s="269"/>
      <c r="D709" s="270"/>
      <c r="E709" s="271"/>
      <c r="F709" s="272"/>
      <c r="G709" s="273"/>
      <c r="H709" s="274" t="str">
        <f t="shared" si="19"/>
        <v xml:space="preserve"> </v>
      </c>
      <c r="I709" s="275" t="str">
        <f t="shared" si="16"/>
        <v xml:space="preserve"> </v>
      </c>
      <c r="J709" s="276" t="str">
        <f t="shared" si="17"/>
        <v xml:space="preserve"> </v>
      </c>
      <c r="K709" s="277" t="str">
        <f t="shared" si="18"/>
        <v xml:space="preserve"> </v>
      </c>
    </row>
    <row r="710" spans="1:11" ht="19.5" x14ac:dyDescent="0.25">
      <c r="A710" s="267"/>
      <c r="B710" s="268"/>
      <c r="C710" s="269"/>
      <c r="D710" s="270"/>
      <c r="E710" s="271"/>
      <c r="F710" s="272"/>
      <c r="G710" s="273"/>
      <c r="H710" s="274" t="str">
        <f t="shared" si="19"/>
        <v xml:space="preserve"> </v>
      </c>
      <c r="I710" s="275" t="str">
        <f t="shared" si="16"/>
        <v xml:space="preserve"> </v>
      </c>
      <c r="J710" s="276" t="str">
        <f t="shared" si="17"/>
        <v xml:space="preserve"> </v>
      </c>
      <c r="K710" s="277" t="str">
        <f t="shared" si="18"/>
        <v xml:space="preserve"> </v>
      </c>
    </row>
    <row r="711" spans="1:11" ht="19.5" x14ac:dyDescent="0.25">
      <c r="A711" s="267"/>
      <c r="B711" s="268"/>
      <c r="C711" s="269"/>
      <c r="D711" s="270"/>
      <c r="E711" s="271"/>
      <c r="F711" s="272"/>
      <c r="G711" s="273"/>
      <c r="H711" s="274" t="str">
        <f t="shared" si="19"/>
        <v xml:space="preserve"> </v>
      </c>
      <c r="I711" s="275" t="str">
        <f t="shared" si="16"/>
        <v xml:space="preserve"> </v>
      </c>
      <c r="J711" s="276" t="str">
        <f t="shared" si="17"/>
        <v xml:space="preserve"> </v>
      </c>
      <c r="K711" s="277" t="str">
        <f t="shared" si="18"/>
        <v xml:space="preserve"> </v>
      </c>
    </row>
    <row r="712" spans="1:11" ht="19.5" x14ac:dyDescent="0.25">
      <c r="A712" s="267"/>
      <c r="B712" s="268"/>
      <c r="C712" s="269"/>
      <c r="D712" s="270"/>
      <c r="E712" s="271"/>
      <c r="F712" s="272"/>
      <c r="G712" s="273"/>
      <c r="H712" s="274" t="str">
        <f t="shared" si="19"/>
        <v xml:space="preserve"> </v>
      </c>
      <c r="I712" s="275" t="str">
        <f t="shared" si="16"/>
        <v xml:space="preserve"> </v>
      </c>
      <c r="J712" s="276" t="str">
        <f t="shared" si="17"/>
        <v xml:space="preserve"> </v>
      </c>
      <c r="K712" s="277" t="str">
        <f t="shared" si="18"/>
        <v xml:space="preserve"> </v>
      </c>
    </row>
    <row r="713" spans="1:11" ht="19.5" x14ac:dyDescent="0.25">
      <c r="A713" s="267"/>
      <c r="B713" s="268"/>
      <c r="C713" s="269"/>
      <c r="D713" s="270"/>
      <c r="E713" s="271"/>
      <c r="F713" s="272"/>
      <c r="G713" s="273"/>
      <c r="H713" s="274" t="str">
        <f t="shared" si="19"/>
        <v xml:space="preserve"> </v>
      </c>
      <c r="I713" s="275" t="str">
        <f t="shared" si="16"/>
        <v xml:space="preserve"> </v>
      </c>
      <c r="J713" s="276" t="str">
        <f t="shared" si="17"/>
        <v xml:space="preserve"> </v>
      </c>
      <c r="K713" s="277" t="str">
        <f t="shared" si="18"/>
        <v xml:space="preserve"> </v>
      </c>
    </row>
    <row r="714" spans="1:11" ht="19.5" x14ac:dyDescent="0.25">
      <c r="A714" s="267"/>
      <c r="B714" s="268"/>
      <c r="C714" s="269"/>
      <c r="D714" s="270"/>
      <c r="E714" s="271"/>
      <c r="F714" s="272"/>
      <c r="G714" s="273"/>
      <c r="H714" s="274" t="str">
        <f t="shared" si="19"/>
        <v xml:space="preserve"> </v>
      </c>
      <c r="I714" s="275" t="str">
        <f t="shared" si="16"/>
        <v xml:space="preserve"> </v>
      </c>
      <c r="J714" s="276" t="str">
        <f t="shared" si="17"/>
        <v xml:space="preserve"> </v>
      </c>
      <c r="K714" s="277" t="str">
        <f t="shared" si="18"/>
        <v xml:space="preserve"> </v>
      </c>
    </row>
    <row r="715" spans="1:11" ht="19.5" x14ac:dyDescent="0.25">
      <c r="A715" s="267"/>
      <c r="B715" s="268"/>
      <c r="C715" s="269"/>
      <c r="D715" s="270"/>
      <c r="E715" s="271"/>
      <c r="F715" s="272"/>
      <c r="G715" s="273"/>
      <c r="H715" s="274" t="str">
        <f t="shared" si="19"/>
        <v xml:space="preserve"> </v>
      </c>
      <c r="I715" s="275" t="str">
        <f t="shared" si="16"/>
        <v xml:space="preserve"> </v>
      </c>
      <c r="J715" s="276" t="str">
        <f t="shared" si="17"/>
        <v xml:space="preserve"> </v>
      </c>
      <c r="K715" s="277" t="str">
        <f t="shared" si="18"/>
        <v xml:space="preserve"> </v>
      </c>
    </row>
    <row r="716" spans="1:11" ht="19.5" x14ac:dyDescent="0.25">
      <c r="A716" s="267"/>
      <c r="B716" s="268"/>
      <c r="C716" s="269"/>
      <c r="D716" s="270"/>
      <c r="E716" s="271"/>
      <c r="F716" s="272"/>
      <c r="G716" s="273"/>
      <c r="H716" s="274" t="str">
        <f t="shared" si="19"/>
        <v xml:space="preserve"> </v>
      </c>
      <c r="I716" s="275" t="str">
        <f t="shared" si="16"/>
        <v xml:space="preserve"> </v>
      </c>
      <c r="J716" s="276" t="str">
        <f t="shared" si="17"/>
        <v xml:space="preserve"> </v>
      </c>
      <c r="K716" s="277" t="str">
        <f t="shared" si="18"/>
        <v xml:space="preserve"> </v>
      </c>
    </row>
    <row r="717" spans="1:11" ht="19.5" x14ac:dyDescent="0.25">
      <c r="A717" s="267"/>
      <c r="B717" s="268"/>
      <c r="C717" s="269"/>
      <c r="D717" s="270"/>
      <c r="E717" s="271"/>
      <c r="F717" s="272"/>
      <c r="G717" s="273"/>
      <c r="H717" s="274" t="str">
        <f t="shared" si="19"/>
        <v xml:space="preserve"> </v>
      </c>
      <c r="I717" s="275" t="str">
        <f t="shared" si="16"/>
        <v xml:space="preserve"> </v>
      </c>
      <c r="J717" s="276" t="str">
        <f t="shared" si="17"/>
        <v xml:space="preserve"> </v>
      </c>
      <c r="K717" s="277" t="str">
        <f t="shared" si="18"/>
        <v xml:space="preserve"> </v>
      </c>
    </row>
    <row r="718" spans="1:11" ht="19.5" x14ac:dyDescent="0.25">
      <c r="A718" s="267"/>
      <c r="B718" s="268"/>
      <c r="C718" s="269"/>
      <c r="D718" s="270"/>
      <c r="E718" s="271"/>
      <c r="F718" s="272"/>
      <c r="G718" s="273"/>
      <c r="H718" s="274" t="str">
        <f t="shared" si="19"/>
        <v xml:space="preserve"> </v>
      </c>
      <c r="I718" s="275" t="str">
        <f t="shared" si="16"/>
        <v xml:space="preserve"> </v>
      </c>
      <c r="J718" s="276" t="str">
        <f t="shared" si="17"/>
        <v xml:space="preserve"> </v>
      </c>
      <c r="K718" s="277" t="str">
        <f t="shared" si="18"/>
        <v xml:space="preserve"> </v>
      </c>
    </row>
    <row r="719" spans="1:11" ht="19.5" x14ac:dyDescent="0.25">
      <c r="A719" s="267"/>
      <c r="B719" s="268"/>
      <c r="C719" s="269"/>
      <c r="D719" s="270"/>
      <c r="E719" s="271"/>
      <c r="F719" s="272"/>
      <c r="G719" s="273"/>
      <c r="H719" s="274" t="str">
        <f t="shared" si="19"/>
        <v xml:space="preserve"> </v>
      </c>
      <c r="I719" s="275" t="str">
        <f t="shared" si="16"/>
        <v xml:space="preserve"> </v>
      </c>
      <c r="J719" s="276" t="str">
        <f t="shared" si="17"/>
        <v xml:space="preserve"> </v>
      </c>
      <c r="K719" s="277" t="str">
        <f t="shared" si="18"/>
        <v xml:space="preserve"> </v>
      </c>
    </row>
    <row r="720" spans="1:11" ht="19.5" x14ac:dyDescent="0.25">
      <c r="A720" s="267"/>
      <c r="B720" s="268"/>
      <c r="C720" s="269"/>
      <c r="D720" s="270"/>
      <c r="E720" s="271"/>
      <c r="F720" s="272"/>
      <c r="G720" s="273"/>
      <c r="H720" s="274" t="str">
        <f t="shared" si="19"/>
        <v xml:space="preserve"> </v>
      </c>
      <c r="I720" s="275" t="str">
        <f t="shared" si="16"/>
        <v xml:space="preserve"> </v>
      </c>
      <c r="J720" s="276" t="str">
        <f t="shared" si="17"/>
        <v xml:space="preserve"> </v>
      </c>
      <c r="K720" s="277" t="str">
        <f t="shared" si="18"/>
        <v xml:space="preserve"> </v>
      </c>
    </row>
    <row r="721" spans="1:11" ht="19.5" x14ac:dyDescent="0.25">
      <c r="A721" s="267"/>
      <c r="B721" s="268"/>
      <c r="C721" s="269"/>
      <c r="D721" s="270"/>
      <c r="E721" s="271"/>
      <c r="F721" s="272"/>
      <c r="G721" s="273"/>
      <c r="H721" s="274" t="str">
        <f t="shared" si="19"/>
        <v xml:space="preserve"> </v>
      </c>
      <c r="I721" s="275" t="str">
        <f t="shared" si="16"/>
        <v xml:space="preserve"> </v>
      </c>
      <c r="J721" s="276" t="str">
        <f t="shared" si="17"/>
        <v xml:space="preserve"> </v>
      </c>
      <c r="K721" s="277" t="str">
        <f t="shared" si="18"/>
        <v xml:space="preserve"> </v>
      </c>
    </row>
    <row r="722" spans="1:11" ht="19.5" x14ac:dyDescent="0.25">
      <c r="A722" s="267"/>
      <c r="B722" s="268"/>
      <c r="C722" s="269"/>
      <c r="D722" s="270"/>
      <c r="E722" s="271"/>
      <c r="F722" s="272"/>
      <c r="G722" s="273"/>
      <c r="H722" s="274" t="str">
        <f t="shared" si="19"/>
        <v xml:space="preserve"> </v>
      </c>
      <c r="I722" s="275" t="str">
        <f t="shared" si="16"/>
        <v xml:space="preserve"> </v>
      </c>
      <c r="J722" s="276" t="str">
        <f t="shared" si="17"/>
        <v xml:space="preserve"> </v>
      </c>
      <c r="K722" s="277" t="str">
        <f t="shared" si="18"/>
        <v xml:space="preserve"> </v>
      </c>
    </row>
    <row r="723" spans="1:11" ht="19.5" x14ac:dyDescent="0.25">
      <c r="A723" s="267"/>
      <c r="B723" s="268"/>
      <c r="C723" s="269"/>
      <c r="D723" s="270"/>
      <c r="E723" s="271"/>
      <c r="F723" s="272"/>
      <c r="G723" s="273"/>
      <c r="H723" s="274" t="str">
        <f t="shared" si="19"/>
        <v xml:space="preserve"> </v>
      </c>
      <c r="I723" s="275" t="str">
        <f t="shared" si="16"/>
        <v xml:space="preserve"> </v>
      </c>
      <c r="J723" s="276" t="str">
        <f t="shared" si="17"/>
        <v xml:space="preserve"> </v>
      </c>
      <c r="K723" s="277" t="str">
        <f t="shared" si="18"/>
        <v xml:space="preserve"> </v>
      </c>
    </row>
    <row r="724" spans="1:11" ht="19.5" x14ac:dyDescent="0.25">
      <c r="A724" s="267"/>
      <c r="B724" s="268"/>
      <c r="C724" s="269"/>
      <c r="D724" s="270"/>
      <c r="E724" s="271"/>
      <c r="F724" s="272"/>
      <c r="G724" s="273"/>
      <c r="H724" s="274" t="str">
        <f t="shared" si="19"/>
        <v xml:space="preserve"> </v>
      </c>
      <c r="I724" s="275" t="str">
        <f t="shared" si="16"/>
        <v xml:space="preserve"> </v>
      </c>
      <c r="J724" s="276" t="str">
        <f t="shared" si="17"/>
        <v xml:space="preserve"> </v>
      </c>
      <c r="K724" s="277" t="str">
        <f t="shared" si="18"/>
        <v xml:space="preserve"> </v>
      </c>
    </row>
    <row r="725" spans="1:11" ht="19.5" x14ac:dyDescent="0.25">
      <c r="A725" s="267"/>
      <c r="B725" s="268"/>
      <c r="C725" s="269"/>
      <c r="D725" s="270"/>
      <c r="E725" s="271"/>
      <c r="F725" s="272"/>
      <c r="G725" s="273"/>
      <c r="H725" s="274" t="str">
        <f t="shared" si="19"/>
        <v xml:space="preserve"> </v>
      </c>
      <c r="I725" s="275" t="str">
        <f t="shared" si="16"/>
        <v xml:space="preserve"> </v>
      </c>
      <c r="J725" s="276" t="str">
        <f t="shared" si="17"/>
        <v xml:space="preserve"> </v>
      </c>
      <c r="K725" s="277" t="str">
        <f t="shared" si="18"/>
        <v xml:space="preserve"> </v>
      </c>
    </row>
    <row r="726" spans="1:11" ht="19.5" x14ac:dyDescent="0.25">
      <c r="A726" s="267"/>
      <c r="B726" s="268"/>
      <c r="C726" s="269"/>
      <c r="D726" s="270"/>
      <c r="E726" s="271"/>
      <c r="F726" s="272"/>
      <c r="G726" s="273"/>
      <c r="H726" s="274" t="str">
        <f t="shared" si="19"/>
        <v xml:space="preserve"> </v>
      </c>
      <c r="I726" s="275" t="str">
        <f t="shared" si="16"/>
        <v xml:space="preserve"> </v>
      </c>
      <c r="J726" s="276" t="str">
        <f t="shared" si="17"/>
        <v xml:space="preserve"> </v>
      </c>
      <c r="K726" s="277" t="str">
        <f t="shared" si="18"/>
        <v xml:space="preserve"> </v>
      </c>
    </row>
    <row r="727" spans="1:11" ht="19.5" x14ac:dyDescent="0.25">
      <c r="A727" s="267"/>
      <c r="B727" s="268"/>
      <c r="C727" s="269"/>
      <c r="D727" s="270"/>
      <c r="E727" s="271"/>
      <c r="F727" s="272"/>
      <c r="G727" s="273"/>
      <c r="H727" s="274" t="str">
        <f t="shared" si="19"/>
        <v xml:space="preserve"> </v>
      </c>
      <c r="I727" s="275" t="str">
        <f t="shared" si="16"/>
        <v xml:space="preserve"> </v>
      </c>
      <c r="J727" s="276" t="str">
        <f t="shared" si="17"/>
        <v xml:space="preserve"> </v>
      </c>
      <c r="K727" s="277" t="str">
        <f t="shared" si="18"/>
        <v xml:space="preserve"> </v>
      </c>
    </row>
    <row r="728" spans="1:11" ht="19.5" x14ac:dyDescent="0.25">
      <c r="A728" s="267"/>
      <c r="B728" s="268"/>
      <c r="C728" s="269"/>
      <c r="D728" s="270"/>
      <c r="E728" s="271"/>
      <c r="F728" s="272"/>
      <c r="G728" s="273"/>
      <c r="H728" s="274" t="str">
        <f t="shared" si="19"/>
        <v xml:space="preserve"> </v>
      </c>
      <c r="I728" s="275" t="str">
        <f t="shared" si="16"/>
        <v xml:space="preserve"> </v>
      </c>
      <c r="J728" s="276" t="str">
        <f t="shared" si="17"/>
        <v xml:space="preserve"> </v>
      </c>
      <c r="K728" s="277" t="str">
        <f t="shared" si="18"/>
        <v xml:space="preserve"> </v>
      </c>
    </row>
    <row r="729" spans="1:11" ht="19.5" x14ac:dyDescent="0.25">
      <c r="A729" s="267"/>
      <c r="B729" s="268"/>
      <c r="C729" s="269"/>
      <c r="D729" s="270"/>
      <c r="E729" s="271"/>
      <c r="F729" s="272"/>
      <c r="G729" s="273"/>
      <c r="H729" s="274" t="str">
        <f t="shared" si="19"/>
        <v xml:space="preserve"> </v>
      </c>
      <c r="I729" s="275" t="str">
        <f t="shared" si="16"/>
        <v xml:space="preserve"> </v>
      </c>
      <c r="J729" s="276" t="str">
        <f t="shared" si="17"/>
        <v xml:space="preserve"> </v>
      </c>
      <c r="K729" s="277" t="str">
        <f t="shared" si="18"/>
        <v xml:space="preserve"> </v>
      </c>
    </row>
    <row r="730" spans="1:11" ht="19.5" x14ac:dyDescent="0.25">
      <c r="A730" s="267"/>
      <c r="B730" s="268"/>
      <c r="C730" s="269"/>
      <c r="D730" s="270"/>
      <c r="E730" s="271"/>
      <c r="F730" s="272"/>
      <c r="G730" s="273"/>
      <c r="H730" s="274" t="str">
        <f t="shared" si="19"/>
        <v xml:space="preserve"> </v>
      </c>
      <c r="I730" s="275" t="str">
        <f t="shared" si="16"/>
        <v xml:space="preserve"> </v>
      </c>
      <c r="J730" s="276" t="str">
        <f t="shared" si="17"/>
        <v xml:space="preserve"> </v>
      </c>
      <c r="K730" s="277" t="str">
        <f t="shared" si="18"/>
        <v xml:space="preserve"> </v>
      </c>
    </row>
    <row r="731" spans="1:11" ht="19.5" x14ac:dyDescent="0.25">
      <c r="A731" s="267"/>
      <c r="B731" s="268"/>
      <c r="C731" s="269"/>
      <c r="D731" s="270"/>
      <c r="E731" s="271"/>
      <c r="F731" s="272"/>
      <c r="G731" s="273"/>
      <c r="H731" s="274" t="str">
        <f t="shared" si="19"/>
        <v xml:space="preserve"> </v>
      </c>
      <c r="I731" s="275" t="str">
        <f t="shared" si="16"/>
        <v xml:space="preserve"> </v>
      </c>
      <c r="J731" s="276" t="str">
        <f t="shared" si="17"/>
        <v xml:space="preserve"> </v>
      </c>
      <c r="K731" s="277" t="str">
        <f t="shared" si="18"/>
        <v xml:space="preserve"> </v>
      </c>
    </row>
    <row r="732" spans="1:11" ht="19.5" x14ac:dyDescent="0.25">
      <c r="A732" s="267"/>
      <c r="B732" s="268"/>
      <c r="C732" s="269"/>
      <c r="D732" s="270"/>
      <c r="E732" s="271"/>
      <c r="F732" s="272"/>
      <c r="G732" s="273"/>
      <c r="H732" s="274" t="str">
        <f t="shared" si="19"/>
        <v xml:space="preserve"> </v>
      </c>
      <c r="I732" s="275" t="str">
        <f t="shared" si="16"/>
        <v xml:space="preserve"> </v>
      </c>
      <c r="J732" s="276" t="str">
        <f t="shared" si="17"/>
        <v xml:space="preserve"> </v>
      </c>
      <c r="K732" s="277" t="str">
        <f t="shared" si="18"/>
        <v xml:space="preserve"> </v>
      </c>
    </row>
    <row r="733" spans="1:11" ht="19.5" x14ac:dyDescent="0.25">
      <c r="A733" s="267"/>
      <c r="B733" s="268"/>
      <c r="C733" s="269"/>
      <c r="D733" s="270"/>
      <c r="E733" s="271"/>
      <c r="F733" s="272"/>
      <c r="G733" s="273"/>
      <c r="H733" s="274" t="str">
        <f t="shared" si="19"/>
        <v xml:space="preserve"> </v>
      </c>
      <c r="I733" s="275" t="str">
        <f t="shared" si="16"/>
        <v xml:space="preserve"> </v>
      </c>
      <c r="J733" s="276" t="str">
        <f t="shared" si="17"/>
        <v xml:space="preserve"> </v>
      </c>
      <c r="K733" s="277" t="str">
        <f t="shared" si="18"/>
        <v xml:space="preserve"> </v>
      </c>
    </row>
    <row r="734" spans="1:11" ht="19.5" x14ac:dyDescent="0.25">
      <c r="A734" s="267"/>
      <c r="B734" s="268"/>
      <c r="C734" s="269"/>
      <c r="D734" s="270"/>
      <c r="E734" s="271"/>
      <c r="F734" s="272"/>
      <c r="G734" s="273"/>
      <c r="H734" s="274" t="str">
        <f t="shared" si="19"/>
        <v xml:space="preserve"> </v>
      </c>
      <c r="I734" s="275" t="str">
        <f t="shared" si="16"/>
        <v xml:space="preserve"> </v>
      </c>
      <c r="J734" s="276" t="str">
        <f t="shared" si="17"/>
        <v xml:space="preserve"> </v>
      </c>
      <c r="K734" s="277" t="str">
        <f t="shared" si="18"/>
        <v xml:space="preserve"> </v>
      </c>
    </row>
    <row r="735" spans="1:11" ht="19.5" x14ac:dyDescent="0.25">
      <c r="A735" s="267"/>
      <c r="B735" s="268"/>
      <c r="C735" s="269"/>
      <c r="D735" s="270"/>
      <c r="E735" s="271"/>
      <c r="F735" s="272"/>
      <c r="G735" s="273"/>
      <c r="H735" s="274" t="str">
        <f t="shared" si="19"/>
        <v xml:space="preserve"> </v>
      </c>
      <c r="I735" s="275" t="str">
        <f t="shared" si="16"/>
        <v xml:space="preserve"> </v>
      </c>
      <c r="J735" s="276" t="str">
        <f t="shared" si="17"/>
        <v xml:space="preserve"> </v>
      </c>
      <c r="K735" s="277" t="str">
        <f t="shared" si="18"/>
        <v xml:space="preserve"> </v>
      </c>
    </row>
    <row r="736" spans="1:11" ht="19.5" x14ac:dyDescent="0.25">
      <c r="A736" s="267"/>
      <c r="B736" s="268"/>
      <c r="C736" s="269"/>
      <c r="D736" s="270"/>
      <c r="E736" s="271"/>
      <c r="F736" s="272"/>
      <c r="G736" s="273"/>
      <c r="H736" s="274" t="str">
        <f t="shared" si="19"/>
        <v xml:space="preserve"> </v>
      </c>
      <c r="I736" s="275" t="str">
        <f t="shared" si="16"/>
        <v xml:space="preserve"> </v>
      </c>
      <c r="J736" s="276" t="str">
        <f t="shared" si="17"/>
        <v xml:space="preserve"> </v>
      </c>
      <c r="K736" s="277" t="str">
        <f t="shared" si="18"/>
        <v xml:space="preserve"> </v>
      </c>
    </row>
    <row r="737" spans="1:11" ht="19.5" x14ac:dyDescent="0.25">
      <c r="A737" s="267"/>
      <c r="B737" s="268"/>
      <c r="C737" s="269"/>
      <c r="D737" s="270"/>
      <c r="E737" s="271"/>
      <c r="F737" s="272"/>
      <c r="G737" s="273"/>
      <c r="H737" s="274" t="str">
        <f t="shared" si="19"/>
        <v xml:space="preserve"> </v>
      </c>
      <c r="I737" s="275" t="str">
        <f t="shared" si="16"/>
        <v xml:space="preserve"> </v>
      </c>
      <c r="J737" s="276" t="str">
        <f t="shared" si="17"/>
        <v xml:space="preserve"> </v>
      </c>
      <c r="K737" s="277" t="str">
        <f t="shared" si="18"/>
        <v xml:space="preserve"> </v>
      </c>
    </row>
    <row r="738" spans="1:11" ht="19.5" x14ac:dyDescent="0.25">
      <c r="A738" s="267"/>
      <c r="B738" s="268"/>
      <c r="C738" s="269"/>
      <c r="D738" s="270"/>
      <c r="E738" s="271"/>
      <c r="F738" s="272"/>
      <c r="G738" s="273"/>
      <c r="H738" s="274" t="str">
        <f t="shared" si="19"/>
        <v xml:space="preserve"> </v>
      </c>
      <c r="I738" s="275" t="str">
        <f t="shared" si="16"/>
        <v xml:space="preserve"> </v>
      </c>
      <c r="J738" s="276" t="str">
        <f t="shared" si="17"/>
        <v xml:space="preserve"> </v>
      </c>
      <c r="K738" s="277" t="str">
        <f t="shared" si="18"/>
        <v xml:space="preserve"> </v>
      </c>
    </row>
    <row r="739" spans="1:11" ht="19.5" x14ac:dyDescent="0.25">
      <c r="A739" s="267"/>
      <c r="B739" s="268"/>
      <c r="C739" s="269"/>
      <c r="D739" s="270"/>
      <c r="E739" s="271"/>
      <c r="F739" s="272"/>
      <c r="G739" s="273"/>
      <c r="H739" s="274" t="str">
        <f t="shared" si="19"/>
        <v xml:space="preserve"> </v>
      </c>
      <c r="I739" s="275" t="str">
        <f t="shared" si="16"/>
        <v xml:space="preserve"> </v>
      </c>
      <c r="J739" s="276" t="str">
        <f t="shared" si="17"/>
        <v xml:space="preserve"> </v>
      </c>
      <c r="K739" s="277" t="str">
        <f t="shared" si="18"/>
        <v xml:space="preserve"> </v>
      </c>
    </row>
    <row r="740" spans="1:11" ht="19.5" x14ac:dyDescent="0.25">
      <c r="A740" s="267"/>
      <c r="B740" s="268"/>
      <c r="C740" s="269"/>
      <c r="D740" s="270"/>
      <c r="E740" s="271"/>
      <c r="F740" s="272"/>
      <c r="G740" s="273"/>
      <c r="H740" s="274" t="str">
        <f t="shared" si="19"/>
        <v xml:space="preserve"> </v>
      </c>
      <c r="I740" s="275" t="str">
        <f t="shared" si="16"/>
        <v xml:space="preserve"> </v>
      </c>
      <c r="J740" s="276" t="str">
        <f t="shared" si="17"/>
        <v xml:space="preserve"> </v>
      </c>
      <c r="K740" s="277" t="str">
        <f t="shared" si="18"/>
        <v xml:space="preserve"> </v>
      </c>
    </row>
    <row r="741" spans="1:11" ht="19.5" x14ac:dyDescent="0.25">
      <c r="A741" s="267"/>
      <c r="B741" s="268"/>
      <c r="C741" s="269"/>
      <c r="D741" s="270"/>
      <c r="E741" s="271"/>
      <c r="F741" s="272"/>
      <c r="G741" s="273"/>
      <c r="H741" s="274" t="str">
        <f t="shared" si="19"/>
        <v xml:space="preserve"> </v>
      </c>
      <c r="I741" s="275" t="str">
        <f t="shared" si="16"/>
        <v xml:space="preserve"> </v>
      </c>
      <c r="J741" s="276" t="str">
        <f t="shared" si="17"/>
        <v xml:space="preserve"> </v>
      </c>
      <c r="K741" s="277" t="str">
        <f t="shared" si="18"/>
        <v xml:space="preserve"> </v>
      </c>
    </row>
    <row r="742" spans="1:11" ht="19.5" x14ac:dyDescent="0.25">
      <c r="A742" s="267"/>
      <c r="B742" s="268"/>
      <c r="C742" s="269"/>
      <c r="D742" s="270"/>
      <c r="E742" s="271"/>
      <c r="F742" s="272"/>
      <c r="G742" s="273"/>
      <c r="H742" s="274" t="str">
        <f t="shared" si="19"/>
        <v xml:space="preserve"> </v>
      </c>
      <c r="I742" s="275" t="str">
        <f t="shared" si="16"/>
        <v xml:space="preserve"> </v>
      </c>
      <c r="J742" s="276" t="str">
        <f t="shared" si="17"/>
        <v xml:space="preserve"> </v>
      </c>
      <c r="K742" s="277" t="str">
        <f t="shared" si="18"/>
        <v xml:space="preserve"> </v>
      </c>
    </row>
    <row r="743" spans="1:11" ht="19.5" x14ac:dyDescent="0.25">
      <c r="A743" s="267"/>
      <c r="B743" s="268"/>
      <c r="C743" s="269"/>
      <c r="D743" s="270"/>
      <c r="E743" s="271"/>
      <c r="F743" s="272"/>
      <c r="G743" s="273"/>
      <c r="H743" s="274" t="str">
        <f t="shared" si="19"/>
        <v xml:space="preserve"> </v>
      </c>
      <c r="I743" s="275" t="str">
        <f t="shared" si="16"/>
        <v xml:space="preserve"> </v>
      </c>
      <c r="J743" s="276" t="str">
        <f t="shared" si="17"/>
        <v xml:space="preserve"> </v>
      </c>
      <c r="K743" s="277" t="str">
        <f t="shared" si="18"/>
        <v xml:space="preserve"> </v>
      </c>
    </row>
    <row r="744" spans="1:11" ht="19.5" x14ac:dyDescent="0.25">
      <c r="A744" s="267"/>
      <c r="B744" s="268"/>
      <c r="C744" s="269"/>
      <c r="D744" s="270"/>
      <c r="E744" s="271"/>
      <c r="F744" s="272"/>
      <c r="G744" s="273"/>
      <c r="H744" s="274" t="str">
        <f t="shared" si="19"/>
        <v xml:space="preserve"> </v>
      </c>
      <c r="I744" s="275" t="str">
        <f t="shared" si="16"/>
        <v xml:space="preserve"> </v>
      </c>
      <c r="J744" s="276" t="str">
        <f t="shared" si="17"/>
        <v xml:space="preserve"> </v>
      </c>
      <c r="K744" s="277" t="str">
        <f t="shared" si="18"/>
        <v xml:space="preserve"> </v>
      </c>
    </row>
    <row r="745" spans="1:11" ht="19.5" x14ac:dyDescent="0.25">
      <c r="A745" s="267"/>
      <c r="B745" s="268"/>
      <c r="C745" s="269"/>
      <c r="D745" s="270"/>
      <c r="E745" s="271"/>
      <c r="F745" s="272"/>
      <c r="G745" s="273"/>
      <c r="H745" s="274" t="str">
        <f t="shared" si="19"/>
        <v xml:space="preserve"> </v>
      </c>
      <c r="I745" s="275" t="str">
        <f t="shared" si="16"/>
        <v xml:space="preserve"> </v>
      </c>
      <c r="J745" s="276" t="str">
        <f t="shared" si="17"/>
        <v xml:space="preserve"> </v>
      </c>
      <c r="K745" s="277" t="str">
        <f t="shared" si="18"/>
        <v xml:space="preserve"> </v>
      </c>
    </row>
    <row r="746" spans="1:11" ht="19.5" x14ac:dyDescent="0.25">
      <c r="A746" s="267"/>
      <c r="B746" s="268"/>
      <c r="C746" s="269"/>
      <c r="D746" s="270"/>
      <c r="E746" s="271"/>
      <c r="F746" s="272"/>
      <c r="G746" s="273"/>
      <c r="H746" s="274" t="str">
        <f t="shared" si="19"/>
        <v xml:space="preserve"> </v>
      </c>
      <c r="I746" s="275" t="str">
        <f t="shared" si="16"/>
        <v xml:space="preserve"> </v>
      </c>
      <c r="J746" s="276" t="str">
        <f t="shared" si="17"/>
        <v xml:space="preserve"> </v>
      </c>
      <c r="K746" s="277" t="str">
        <f t="shared" si="18"/>
        <v xml:space="preserve"> </v>
      </c>
    </row>
    <row r="747" spans="1:11" ht="19.5" x14ac:dyDescent="0.25">
      <c r="A747" s="267"/>
      <c r="B747" s="268"/>
      <c r="C747" s="269"/>
      <c r="D747" s="270"/>
      <c r="E747" s="271"/>
      <c r="F747" s="272"/>
      <c r="G747" s="273"/>
      <c r="H747" s="274" t="str">
        <f t="shared" si="19"/>
        <v xml:space="preserve"> </v>
      </c>
      <c r="I747" s="275" t="str">
        <f t="shared" si="16"/>
        <v xml:space="preserve"> </v>
      </c>
      <c r="J747" s="276" t="str">
        <f t="shared" si="17"/>
        <v xml:space="preserve"> </v>
      </c>
      <c r="K747" s="277" t="str">
        <f t="shared" si="18"/>
        <v xml:space="preserve"> </v>
      </c>
    </row>
    <row r="748" spans="1:11" ht="19.5" x14ac:dyDescent="0.25">
      <c r="A748" s="267"/>
      <c r="B748" s="268"/>
      <c r="C748" s="269"/>
      <c r="D748" s="270"/>
      <c r="E748" s="271"/>
      <c r="F748" s="272"/>
      <c r="G748" s="273"/>
      <c r="H748" s="274" t="str">
        <f t="shared" si="19"/>
        <v xml:space="preserve"> </v>
      </c>
      <c r="I748" s="275" t="str">
        <f t="shared" si="16"/>
        <v xml:space="preserve"> </v>
      </c>
      <c r="J748" s="276" t="str">
        <f t="shared" si="17"/>
        <v xml:space="preserve"> </v>
      </c>
      <c r="K748" s="277" t="str">
        <f t="shared" si="18"/>
        <v xml:space="preserve"> </v>
      </c>
    </row>
    <row r="749" spans="1:11" ht="19.5" x14ac:dyDescent="0.25">
      <c r="A749" s="267"/>
      <c r="B749" s="268"/>
      <c r="C749" s="269"/>
      <c r="D749" s="270"/>
      <c r="E749" s="271"/>
      <c r="F749" s="272"/>
      <c r="G749" s="273"/>
      <c r="H749" s="274" t="str">
        <f t="shared" si="19"/>
        <v xml:space="preserve"> </v>
      </c>
      <c r="I749" s="275" t="str">
        <f t="shared" si="16"/>
        <v xml:space="preserve"> </v>
      </c>
      <c r="J749" s="276" t="str">
        <f t="shared" si="17"/>
        <v xml:space="preserve"> </v>
      </c>
      <c r="K749" s="277" t="str">
        <f t="shared" si="18"/>
        <v xml:space="preserve"> </v>
      </c>
    </row>
    <row r="750" spans="1:11" ht="19.5" x14ac:dyDescent="0.25">
      <c r="A750" s="267"/>
      <c r="B750" s="268"/>
      <c r="C750" s="269"/>
      <c r="D750" s="270"/>
      <c r="E750" s="271"/>
      <c r="F750" s="272"/>
      <c r="G750" s="273"/>
      <c r="H750" s="274" t="str">
        <f t="shared" si="19"/>
        <v xml:space="preserve"> </v>
      </c>
      <c r="I750" s="275" t="str">
        <f t="shared" si="16"/>
        <v xml:space="preserve"> </v>
      </c>
      <c r="J750" s="276" t="str">
        <f t="shared" si="17"/>
        <v xml:space="preserve"> </v>
      </c>
      <c r="K750" s="277" t="str">
        <f t="shared" si="18"/>
        <v xml:space="preserve"> </v>
      </c>
    </row>
    <row r="751" spans="1:11" ht="19.5" x14ac:dyDescent="0.25">
      <c r="A751" s="267"/>
      <c r="B751" s="268"/>
      <c r="C751" s="269"/>
      <c r="D751" s="270"/>
      <c r="E751" s="271"/>
      <c r="F751" s="272"/>
      <c r="G751" s="273"/>
      <c r="H751" s="274" t="str">
        <f t="shared" si="19"/>
        <v xml:space="preserve"> </v>
      </c>
      <c r="I751" s="275" t="str">
        <f t="shared" si="16"/>
        <v xml:space="preserve"> </v>
      </c>
      <c r="J751" s="276" t="str">
        <f t="shared" si="17"/>
        <v xml:space="preserve"> </v>
      </c>
      <c r="K751" s="277" t="str">
        <f t="shared" si="18"/>
        <v xml:space="preserve"> </v>
      </c>
    </row>
    <row r="752" spans="1:11" ht="19.5" x14ac:dyDescent="0.25">
      <c r="A752" s="267"/>
      <c r="B752" s="268"/>
      <c r="C752" s="269"/>
      <c r="D752" s="270"/>
      <c r="E752" s="271"/>
      <c r="F752" s="272"/>
      <c r="G752" s="273"/>
      <c r="H752" s="274" t="str">
        <f t="shared" si="19"/>
        <v xml:space="preserve"> </v>
      </c>
      <c r="I752" s="275" t="str">
        <f t="shared" ref="I752:I785" si="20">IF($D752="Заплыв №", "РЕЗУЛЬТАТ", " ")</f>
        <v xml:space="preserve"> </v>
      </c>
      <c r="J752" s="276" t="str">
        <f t="shared" ref="J752:J785" si="21">IF($D752="Заплыв №", "ФИНИШ", " ")</f>
        <v xml:space="preserve"> </v>
      </c>
      <c r="K752" s="277" t="str">
        <f t="shared" ref="K752:K785" si="22">IF($D752="Заплыв №", "ПРИМ.", " ")</f>
        <v xml:space="preserve"> </v>
      </c>
    </row>
    <row r="753" spans="1:11" ht="19.5" x14ac:dyDescent="0.25">
      <c r="A753" s="267"/>
      <c r="B753" s="268"/>
      <c r="C753" s="269"/>
      <c r="D753" s="270"/>
      <c r="E753" s="271"/>
      <c r="F753" s="272"/>
      <c r="G753" s="273"/>
      <c r="H753" s="274" t="str">
        <f t="shared" si="19"/>
        <v xml:space="preserve"> </v>
      </c>
      <c r="I753" s="275" t="str">
        <f t="shared" si="20"/>
        <v xml:space="preserve"> </v>
      </c>
      <c r="J753" s="276" t="str">
        <f t="shared" si="21"/>
        <v xml:space="preserve"> </v>
      </c>
      <c r="K753" s="277" t="str">
        <f t="shared" si="22"/>
        <v xml:space="preserve"> </v>
      </c>
    </row>
    <row r="754" spans="1:11" ht="19.5" x14ac:dyDescent="0.25">
      <c r="A754" s="267"/>
      <c r="B754" s="268"/>
      <c r="C754" s="269"/>
      <c r="D754" s="270"/>
      <c r="E754" s="271"/>
      <c r="F754" s="272"/>
      <c r="G754" s="273"/>
      <c r="H754" s="274" t="str">
        <f t="shared" si="19"/>
        <v xml:space="preserve"> </v>
      </c>
      <c r="I754" s="275" t="str">
        <f t="shared" si="20"/>
        <v xml:space="preserve"> </v>
      </c>
      <c r="J754" s="276" t="str">
        <f t="shared" si="21"/>
        <v xml:space="preserve"> </v>
      </c>
      <c r="K754" s="277" t="str">
        <f t="shared" si="22"/>
        <v xml:space="preserve"> </v>
      </c>
    </row>
    <row r="755" spans="1:11" ht="19.5" x14ac:dyDescent="0.25">
      <c r="A755" s="267"/>
      <c r="B755" s="268"/>
      <c r="C755" s="269"/>
      <c r="D755" s="270"/>
      <c r="E755" s="271"/>
      <c r="F755" s="272"/>
      <c r="G755" s="273"/>
      <c r="H755" s="274" t="str">
        <f t="shared" si="19"/>
        <v xml:space="preserve"> </v>
      </c>
      <c r="I755" s="275" t="str">
        <f t="shared" si="20"/>
        <v xml:space="preserve"> </v>
      </c>
      <c r="J755" s="276" t="str">
        <f t="shared" si="21"/>
        <v xml:space="preserve"> </v>
      </c>
      <c r="K755" s="277" t="str">
        <f t="shared" si="22"/>
        <v xml:space="preserve"> </v>
      </c>
    </row>
    <row r="756" spans="1:11" ht="19.5" x14ac:dyDescent="0.25">
      <c r="A756" s="267"/>
      <c r="B756" s="268"/>
      <c r="C756" s="269"/>
      <c r="D756" s="270"/>
      <c r="E756" s="271"/>
      <c r="F756" s="272"/>
      <c r="G756" s="273"/>
      <c r="H756" s="274" t="str">
        <f t="shared" si="19"/>
        <v xml:space="preserve"> </v>
      </c>
      <c r="I756" s="275" t="str">
        <f t="shared" si="20"/>
        <v xml:space="preserve"> </v>
      </c>
      <c r="J756" s="276" t="str">
        <f t="shared" si="21"/>
        <v xml:space="preserve"> </v>
      </c>
      <c r="K756" s="277" t="str">
        <f t="shared" si="22"/>
        <v xml:space="preserve"> </v>
      </c>
    </row>
    <row r="757" spans="1:11" ht="19.5" x14ac:dyDescent="0.25">
      <c r="A757" s="267"/>
      <c r="B757" s="268"/>
      <c r="C757" s="269"/>
      <c r="D757" s="270"/>
      <c r="E757" s="271"/>
      <c r="F757" s="272"/>
      <c r="G757" s="273"/>
      <c r="H757" s="274" t="str">
        <f t="shared" si="19"/>
        <v xml:space="preserve"> </v>
      </c>
      <c r="I757" s="275" t="str">
        <f t="shared" si="20"/>
        <v xml:space="preserve"> </v>
      </c>
      <c r="J757" s="276" t="str">
        <f t="shared" si="21"/>
        <v xml:space="preserve"> </v>
      </c>
      <c r="K757" s="277" t="str">
        <f t="shared" si="22"/>
        <v xml:space="preserve"> </v>
      </c>
    </row>
    <row r="758" spans="1:11" ht="19.5" x14ac:dyDescent="0.25">
      <c r="A758" s="267"/>
      <c r="B758" s="268"/>
      <c r="C758" s="269"/>
      <c r="D758" s="270"/>
      <c r="E758" s="271"/>
      <c r="F758" s="272"/>
      <c r="G758" s="273"/>
      <c r="H758" s="274" t="str">
        <f t="shared" si="19"/>
        <v xml:space="preserve"> </v>
      </c>
      <c r="I758" s="275" t="str">
        <f t="shared" si="20"/>
        <v xml:space="preserve"> </v>
      </c>
      <c r="J758" s="276" t="str">
        <f t="shared" si="21"/>
        <v xml:space="preserve"> </v>
      </c>
      <c r="K758" s="277" t="str">
        <f t="shared" si="22"/>
        <v xml:space="preserve"> </v>
      </c>
    </row>
    <row r="759" spans="1:11" ht="19.5" x14ac:dyDescent="0.25">
      <c r="A759" s="267"/>
      <c r="B759" s="268"/>
      <c r="C759" s="269"/>
      <c r="D759" s="270"/>
      <c r="E759" s="271"/>
      <c r="F759" s="272"/>
      <c r="G759" s="273"/>
      <c r="H759" s="274" t="str">
        <f t="shared" si="19"/>
        <v xml:space="preserve"> </v>
      </c>
      <c r="I759" s="275" t="str">
        <f t="shared" si="20"/>
        <v xml:space="preserve"> </v>
      </c>
      <c r="J759" s="276" t="str">
        <f t="shared" si="21"/>
        <v xml:space="preserve"> </v>
      </c>
      <c r="K759" s="277" t="str">
        <f t="shared" si="22"/>
        <v xml:space="preserve"> </v>
      </c>
    </row>
    <row r="760" spans="1:11" ht="19.5" x14ac:dyDescent="0.25">
      <c r="A760" s="267"/>
      <c r="B760" s="268"/>
      <c r="C760" s="269"/>
      <c r="D760" s="270"/>
      <c r="E760" s="271"/>
      <c r="F760" s="272"/>
      <c r="G760" s="273"/>
      <c r="H760" s="274" t="str">
        <f t="shared" si="19"/>
        <v xml:space="preserve"> </v>
      </c>
      <c r="I760" s="275" t="str">
        <f t="shared" si="20"/>
        <v xml:space="preserve"> </v>
      </c>
      <c r="J760" s="276" t="str">
        <f t="shared" si="21"/>
        <v xml:space="preserve"> </v>
      </c>
      <c r="K760" s="277" t="str">
        <f t="shared" si="22"/>
        <v xml:space="preserve"> </v>
      </c>
    </row>
    <row r="761" spans="1:11" ht="19.5" x14ac:dyDescent="0.25">
      <c r="A761" s="267"/>
      <c r="B761" s="268"/>
      <c r="C761" s="269"/>
      <c r="D761" s="270"/>
      <c r="E761" s="271"/>
      <c r="F761" s="272"/>
      <c r="G761" s="273"/>
      <c r="H761" s="274" t="str">
        <f t="shared" si="19"/>
        <v xml:space="preserve"> </v>
      </c>
      <c r="I761" s="275" t="str">
        <f t="shared" si="20"/>
        <v xml:space="preserve"> </v>
      </c>
      <c r="J761" s="276" t="str">
        <f t="shared" si="21"/>
        <v xml:space="preserve"> </v>
      </c>
      <c r="K761" s="277" t="str">
        <f t="shared" si="22"/>
        <v xml:space="preserve"> </v>
      </c>
    </row>
    <row r="762" spans="1:11" ht="19.5" x14ac:dyDescent="0.25">
      <c r="A762" s="267"/>
      <c r="B762" s="268"/>
      <c r="C762" s="269"/>
      <c r="D762" s="270"/>
      <c r="E762" s="271"/>
      <c r="F762" s="272"/>
      <c r="G762" s="273"/>
      <c r="H762" s="274" t="str">
        <f t="shared" si="19"/>
        <v xml:space="preserve"> </v>
      </c>
      <c r="I762" s="275" t="str">
        <f t="shared" si="20"/>
        <v xml:space="preserve"> </v>
      </c>
      <c r="J762" s="276" t="str">
        <f t="shared" si="21"/>
        <v xml:space="preserve"> </v>
      </c>
      <c r="K762" s="277" t="str">
        <f t="shared" si="22"/>
        <v xml:space="preserve"> </v>
      </c>
    </row>
    <row r="763" spans="1:11" ht="19.5" x14ac:dyDescent="0.25">
      <c r="A763" s="267"/>
      <c r="B763" s="268"/>
      <c r="C763" s="269"/>
      <c r="D763" s="270"/>
      <c r="E763" s="271"/>
      <c r="F763" s="272"/>
      <c r="G763" s="273"/>
      <c r="H763" s="274" t="str">
        <f t="shared" si="19"/>
        <v xml:space="preserve"> </v>
      </c>
      <c r="I763" s="275" t="str">
        <f t="shared" si="20"/>
        <v xml:space="preserve"> </v>
      </c>
      <c r="J763" s="276" t="str">
        <f t="shared" si="21"/>
        <v xml:space="preserve"> </v>
      </c>
      <c r="K763" s="277" t="str">
        <f t="shared" si="22"/>
        <v xml:space="preserve"> </v>
      </c>
    </row>
    <row r="764" spans="1:11" ht="19.5" x14ac:dyDescent="0.25">
      <c r="A764" s="267"/>
      <c r="B764" s="268"/>
      <c r="C764" s="269"/>
      <c r="D764" s="270"/>
      <c r="E764" s="271"/>
      <c r="F764" s="272"/>
      <c r="G764" s="273"/>
      <c r="H764" s="274" t="str">
        <f t="shared" si="19"/>
        <v xml:space="preserve"> </v>
      </c>
      <c r="I764" s="275" t="str">
        <f t="shared" si="20"/>
        <v xml:space="preserve"> </v>
      </c>
      <c r="J764" s="276" t="str">
        <f t="shared" si="21"/>
        <v xml:space="preserve"> </v>
      </c>
      <c r="K764" s="277" t="str">
        <f t="shared" si="22"/>
        <v xml:space="preserve"> </v>
      </c>
    </row>
    <row r="765" spans="1:11" ht="19.5" x14ac:dyDescent="0.25">
      <c r="A765" s="267"/>
      <c r="B765" s="268"/>
      <c r="C765" s="269"/>
      <c r="D765" s="270"/>
      <c r="E765" s="271"/>
      <c r="F765" s="272"/>
      <c r="G765" s="273"/>
      <c r="H765" s="274" t="str">
        <f t="shared" si="19"/>
        <v xml:space="preserve"> </v>
      </c>
      <c r="I765" s="275" t="str">
        <f t="shared" si="20"/>
        <v xml:space="preserve"> </v>
      </c>
      <c r="J765" s="276" t="str">
        <f t="shared" si="21"/>
        <v xml:space="preserve"> </v>
      </c>
      <c r="K765" s="277" t="str">
        <f t="shared" si="22"/>
        <v xml:space="preserve"> </v>
      </c>
    </row>
    <row r="766" spans="1:11" ht="19.5" x14ac:dyDescent="0.25">
      <c r="A766" s="267"/>
      <c r="B766" s="268"/>
      <c r="C766" s="269"/>
      <c r="D766" s="270"/>
      <c r="E766" s="271"/>
      <c r="F766" s="272"/>
      <c r="G766" s="273"/>
      <c r="H766" s="274" t="str">
        <f t="shared" si="19"/>
        <v xml:space="preserve"> </v>
      </c>
      <c r="I766" s="275" t="str">
        <f t="shared" si="20"/>
        <v xml:space="preserve"> </v>
      </c>
      <c r="J766" s="276" t="str">
        <f t="shared" si="21"/>
        <v xml:space="preserve"> </v>
      </c>
      <c r="K766" s="277" t="str">
        <f t="shared" si="22"/>
        <v xml:space="preserve"> </v>
      </c>
    </row>
    <row r="767" spans="1:11" ht="19.5" x14ac:dyDescent="0.25">
      <c r="A767" s="267"/>
      <c r="B767" s="268"/>
      <c r="C767" s="269"/>
      <c r="D767" s="270"/>
      <c r="E767" s="271"/>
      <c r="F767" s="272"/>
      <c r="G767" s="273"/>
      <c r="H767" s="274" t="str">
        <f t="shared" si="19"/>
        <v xml:space="preserve"> </v>
      </c>
      <c r="I767" s="275" t="str">
        <f t="shared" si="20"/>
        <v xml:space="preserve"> </v>
      </c>
      <c r="J767" s="276" t="str">
        <f t="shared" si="21"/>
        <v xml:space="preserve"> </v>
      </c>
      <c r="K767" s="277" t="str">
        <f t="shared" si="22"/>
        <v xml:space="preserve"> </v>
      </c>
    </row>
    <row r="768" spans="1:11" ht="19.5" x14ac:dyDescent="0.25">
      <c r="A768" s="267"/>
      <c r="B768" s="268"/>
      <c r="C768" s="269"/>
      <c r="D768" s="270"/>
      <c r="E768" s="271"/>
      <c r="F768" s="272"/>
      <c r="G768" s="273"/>
      <c r="H768" s="274" t="str">
        <f t="shared" si="19"/>
        <v xml:space="preserve"> </v>
      </c>
      <c r="I768" s="275" t="str">
        <f t="shared" si="20"/>
        <v xml:space="preserve"> </v>
      </c>
      <c r="J768" s="276" t="str">
        <f t="shared" si="21"/>
        <v xml:space="preserve"> </v>
      </c>
      <c r="K768" s="277" t="str">
        <f t="shared" si="22"/>
        <v xml:space="preserve"> </v>
      </c>
    </row>
    <row r="769" spans="1:11" ht="19.5" x14ac:dyDescent="0.25">
      <c r="A769" s="267"/>
      <c r="B769" s="268"/>
      <c r="C769" s="269"/>
      <c r="D769" s="270"/>
      <c r="E769" s="271"/>
      <c r="F769" s="272"/>
      <c r="G769" s="273"/>
      <c r="H769" s="274" t="str">
        <f t="shared" si="19"/>
        <v xml:space="preserve"> </v>
      </c>
      <c r="I769" s="275" t="str">
        <f t="shared" si="20"/>
        <v xml:space="preserve"> </v>
      </c>
      <c r="J769" s="276" t="str">
        <f t="shared" si="21"/>
        <v xml:space="preserve"> </v>
      </c>
      <c r="K769" s="277" t="str">
        <f t="shared" si="22"/>
        <v xml:space="preserve"> </v>
      </c>
    </row>
    <row r="770" spans="1:11" ht="19.5" x14ac:dyDescent="0.25">
      <c r="A770" s="267"/>
      <c r="B770" s="268"/>
      <c r="C770" s="269"/>
      <c r="D770" s="270"/>
      <c r="E770" s="271"/>
      <c r="F770" s="272"/>
      <c r="G770" s="273"/>
      <c r="H770" s="274" t="str">
        <f t="shared" ref="H770:H785" si="23">IF(ISBLANK(A770), " ", A770)</f>
        <v xml:space="preserve"> </v>
      </c>
      <c r="I770" s="275" t="str">
        <f t="shared" si="20"/>
        <v xml:space="preserve"> </v>
      </c>
      <c r="J770" s="276" t="str">
        <f t="shared" si="21"/>
        <v xml:space="preserve"> </v>
      </c>
      <c r="K770" s="277" t="str">
        <f t="shared" si="22"/>
        <v xml:space="preserve"> </v>
      </c>
    </row>
    <row r="771" spans="1:11" ht="19.5" x14ac:dyDescent="0.25">
      <c r="A771" s="267"/>
      <c r="B771" s="268"/>
      <c r="C771" s="269"/>
      <c r="D771" s="270"/>
      <c r="E771" s="271"/>
      <c r="F771" s="272"/>
      <c r="G771" s="273"/>
      <c r="H771" s="274" t="str">
        <f t="shared" si="23"/>
        <v xml:space="preserve"> </v>
      </c>
      <c r="I771" s="275" t="str">
        <f t="shared" si="20"/>
        <v xml:space="preserve"> </v>
      </c>
      <c r="J771" s="276" t="str">
        <f t="shared" si="21"/>
        <v xml:space="preserve"> </v>
      </c>
      <c r="K771" s="277" t="str">
        <f t="shared" si="22"/>
        <v xml:space="preserve"> </v>
      </c>
    </row>
    <row r="772" spans="1:11" ht="19.5" x14ac:dyDescent="0.25">
      <c r="A772" s="267"/>
      <c r="B772" s="268"/>
      <c r="C772" s="269"/>
      <c r="D772" s="270"/>
      <c r="E772" s="271"/>
      <c r="F772" s="272"/>
      <c r="G772" s="273"/>
      <c r="H772" s="274" t="str">
        <f t="shared" si="23"/>
        <v xml:space="preserve"> </v>
      </c>
      <c r="I772" s="275" t="str">
        <f t="shared" si="20"/>
        <v xml:space="preserve"> </v>
      </c>
      <c r="J772" s="276" t="str">
        <f t="shared" si="21"/>
        <v xml:space="preserve"> </v>
      </c>
      <c r="K772" s="277" t="str">
        <f t="shared" si="22"/>
        <v xml:space="preserve"> </v>
      </c>
    </row>
    <row r="773" spans="1:11" ht="19.5" x14ac:dyDescent="0.25">
      <c r="A773" s="267"/>
      <c r="B773" s="268"/>
      <c r="C773" s="269"/>
      <c r="D773" s="270"/>
      <c r="E773" s="271"/>
      <c r="F773" s="272"/>
      <c r="G773" s="273"/>
      <c r="H773" s="274" t="str">
        <f t="shared" si="23"/>
        <v xml:space="preserve"> </v>
      </c>
      <c r="I773" s="275" t="str">
        <f t="shared" si="20"/>
        <v xml:space="preserve"> </v>
      </c>
      <c r="J773" s="276" t="str">
        <f t="shared" si="21"/>
        <v xml:space="preserve"> </v>
      </c>
      <c r="K773" s="277" t="str">
        <f t="shared" si="22"/>
        <v xml:space="preserve"> </v>
      </c>
    </row>
    <row r="774" spans="1:11" ht="19.5" x14ac:dyDescent="0.25">
      <c r="A774" s="267"/>
      <c r="B774" s="268"/>
      <c r="C774" s="269"/>
      <c r="D774" s="270"/>
      <c r="E774" s="271"/>
      <c r="F774" s="272"/>
      <c r="G774" s="273"/>
      <c r="H774" s="274" t="str">
        <f t="shared" si="23"/>
        <v xml:space="preserve"> </v>
      </c>
      <c r="I774" s="275" t="str">
        <f t="shared" si="20"/>
        <v xml:space="preserve"> </v>
      </c>
      <c r="J774" s="276" t="str">
        <f t="shared" si="21"/>
        <v xml:space="preserve"> </v>
      </c>
      <c r="K774" s="277" t="str">
        <f t="shared" si="22"/>
        <v xml:space="preserve"> </v>
      </c>
    </row>
    <row r="775" spans="1:11" ht="19.5" x14ac:dyDescent="0.25">
      <c r="A775" s="267"/>
      <c r="B775" s="268"/>
      <c r="C775" s="269"/>
      <c r="D775" s="270"/>
      <c r="E775" s="271"/>
      <c r="F775" s="272"/>
      <c r="G775" s="273"/>
      <c r="H775" s="274" t="str">
        <f t="shared" si="23"/>
        <v xml:space="preserve"> </v>
      </c>
      <c r="I775" s="275" t="str">
        <f t="shared" si="20"/>
        <v xml:space="preserve"> </v>
      </c>
      <c r="J775" s="276" t="str">
        <f t="shared" si="21"/>
        <v xml:space="preserve"> </v>
      </c>
      <c r="K775" s="277" t="str">
        <f t="shared" si="22"/>
        <v xml:space="preserve"> </v>
      </c>
    </row>
    <row r="776" spans="1:11" ht="19.5" x14ac:dyDescent="0.25">
      <c r="A776" s="267"/>
      <c r="B776" s="268"/>
      <c r="C776" s="269"/>
      <c r="D776" s="270"/>
      <c r="E776" s="271"/>
      <c r="F776" s="272"/>
      <c r="G776" s="273"/>
      <c r="H776" s="274" t="str">
        <f t="shared" si="23"/>
        <v xml:space="preserve"> </v>
      </c>
      <c r="I776" s="275" t="str">
        <f t="shared" si="20"/>
        <v xml:space="preserve"> </v>
      </c>
      <c r="J776" s="276" t="str">
        <f t="shared" si="21"/>
        <v xml:space="preserve"> </v>
      </c>
      <c r="K776" s="277" t="str">
        <f t="shared" si="22"/>
        <v xml:space="preserve"> </v>
      </c>
    </row>
    <row r="777" spans="1:11" ht="19.5" x14ac:dyDescent="0.25">
      <c r="A777" s="267"/>
      <c r="B777" s="268"/>
      <c r="C777" s="269"/>
      <c r="D777" s="270"/>
      <c r="E777" s="271"/>
      <c r="F777" s="272"/>
      <c r="G777" s="273"/>
      <c r="H777" s="274" t="str">
        <f t="shared" si="23"/>
        <v xml:space="preserve"> </v>
      </c>
      <c r="I777" s="275" t="str">
        <f t="shared" si="20"/>
        <v xml:space="preserve"> </v>
      </c>
      <c r="J777" s="276" t="str">
        <f t="shared" si="21"/>
        <v xml:space="preserve"> </v>
      </c>
      <c r="K777" s="277" t="str">
        <f t="shared" si="22"/>
        <v xml:space="preserve"> </v>
      </c>
    </row>
    <row r="778" spans="1:11" ht="19.5" x14ac:dyDescent="0.25">
      <c r="A778" s="267"/>
      <c r="B778" s="268"/>
      <c r="C778" s="269"/>
      <c r="D778" s="270"/>
      <c r="E778" s="271"/>
      <c r="F778" s="272"/>
      <c r="G778" s="273"/>
      <c r="H778" s="274" t="str">
        <f t="shared" si="23"/>
        <v xml:space="preserve"> </v>
      </c>
      <c r="I778" s="275" t="str">
        <f t="shared" si="20"/>
        <v xml:space="preserve"> </v>
      </c>
      <c r="J778" s="276" t="str">
        <f t="shared" si="21"/>
        <v xml:space="preserve"> </v>
      </c>
      <c r="K778" s="277" t="str">
        <f t="shared" si="22"/>
        <v xml:space="preserve"> </v>
      </c>
    </row>
    <row r="779" spans="1:11" ht="19.5" x14ac:dyDescent="0.25">
      <c r="A779" s="267"/>
      <c r="B779" s="268"/>
      <c r="C779" s="269"/>
      <c r="D779" s="270"/>
      <c r="E779" s="271"/>
      <c r="F779" s="272"/>
      <c r="G779" s="273"/>
      <c r="H779" s="274" t="str">
        <f t="shared" si="23"/>
        <v xml:space="preserve"> </v>
      </c>
      <c r="I779" s="275" t="str">
        <f t="shared" si="20"/>
        <v xml:space="preserve"> </v>
      </c>
      <c r="J779" s="276" t="str">
        <f t="shared" si="21"/>
        <v xml:space="preserve"> </v>
      </c>
      <c r="K779" s="277" t="str">
        <f t="shared" si="22"/>
        <v xml:space="preserve"> </v>
      </c>
    </row>
    <row r="780" spans="1:11" ht="19.5" x14ac:dyDescent="0.25">
      <c r="A780" s="267"/>
      <c r="B780" s="268"/>
      <c r="C780" s="269"/>
      <c r="D780" s="270"/>
      <c r="E780" s="271"/>
      <c r="F780" s="272"/>
      <c r="G780" s="273"/>
      <c r="H780" s="274" t="str">
        <f t="shared" si="23"/>
        <v xml:space="preserve"> </v>
      </c>
      <c r="I780" s="275" t="str">
        <f t="shared" si="20"/>
        <v xml:space="preserve"> </v>
      </c>
      <c r="J780" s="276" t="str">
        <f t="shared" si="21"/>
        <v xml:space="preserve"> </v>
      </c>
      <c r="K780" s="277" t="str">
        <f t="shared" si="22"/>
        <v xml:space="preserve"> </v>
      </c>
    </row>
    <row r="781" spans="1:11" ht="19.5" x14ac:dyDescent="0.25">
      <c r="A781" s="267"/>
      <c r="B781" s="268"/>
      <c r="C781" s="269"/>
      <c r="D781" s="270"/>
      <c r="E781" s="271"/>
      <c r="F781" s="272"/>
      <c r="G781" s="273"/>
      <c r="H781" s="274" t="str">
        <f t="shared" si="23"/>
        <v xml:space="preserve"> </v>
      </c>
      <c r="I781" s="275" t="str">
        <f t="shared" si="20"/>
        <v xml:space="preserve"> </v>
      </c>
      <c r="J781" s="276" t="str">
        <f t="shared" si="21"/>
        <v xml:space="preserve"> </v>
      </c>
      <c r="K781" s="277" t="str">
        <f t="shared" si="22"/>
        <v xml:space="preserve"> </v>
      </c>
    </row>
    <row r="782" spans="1:11" ht="19.5" x14ac:dyDescent="0.25">
      <c r="A782" s="267"/>
      <c r="B782" s="268"/>
      <c r="C782" s="269"/>
      <c r="D782" s="270"/>
      <c r="E782" s="271"/>
      <c r="F782" s="272"/>
      <c r="G782" s="273"/>
      <c r="H782" s="274" t="str">
        <f t="shared" si="23"/>
        <v xml:space="preserve"> </v>
      </c>
      <c r="I782" s="275" t="str">
        <f t="shared" si="20"/>
        <v xml:space="preserve"> </v>
      </c>
      <c r="J782" s="276" t="str">
        <f t="shared" si="21"/>
        <v xml:space="preserve"> </v>
      </c>
      <c r="K782" s="277" t="str">
        <f t="shared" si="22"/>
        <v xml:space="preserve"> </v>
      </c>
    </row>
    <row r="783" spans="1:11" ht="19.5" x14ac:dyDescent="0.25">
      <c r="A783" s="267"/>
      <c r="B783" s="268"/>
      <c r="C783" s="269"/>
      <c r="D783" s="270"/>
      <c r="E783" s="271"/>
      <c r="F783" s="272"/>
      <c r="G783" s="273"/>
      <c r="H783" s="274" t="str">
        <f t="shared" si="23"/>
        <v xml:space="preserve"> </v>
      </c>
      <c r="I783" s="275" t="str">
        <f t="shared" si="20"/>
        <v xml:space="preserve"> </v>
      </c>
      <c r="J783" s="276" t="str">
        <f t="shared" si="21"/>
        <v xml:space="preserve"> </v>
      </c>
      <c r="K783" s="277" t="str">
        <f t="shared" si="22"/>
        <v xml:space="preserve"> </v>
      </c>
    </row>
    <row r="784" spans="1:11" ht="19.5" x14ac:dyDescent="0.25">
      <c r="A784" s="267"/>
      <c r="B784" s="268"/>
      <c r="C784" s="269"/>
      <c r="D784" s="270"/>
      <c r="E784" s="271"/>
      <c r="F784" s="272"/>
      <c r="G784" s="273"/>
      <c r="H784" s="274" t="str">
        <f t="shared" si="23"/>
        <v xml:space="preserve"> </v>
      </c>
      <c r="I784" s="275" t="str">
        <f t="shared" si="20"/>
        <v xml:space="preserve"> </v>
      </c>
      <c r="J784" s="276" t="str">
        <f t="shared" si="21"/>
        <v xml:space="preserve"> </v>
      </c>
      <c r="K784" s="277" t="str">
        <f t="shared" si="22"/>
        <v xml:space="preserve"> </v>
      </c>
    </row>
    <row r="785" spans="1:11" ht="19.5" x14ac:dyDescent="0.25">
      <c r="A785" s="267"/>
      <c r="B785" s="268"/>
      <c r="C785" s="269"/>
      <c r="D785" s="270"/>
      <c r="E785" s="271"/>
      <c r="F785" s="272"/>
      <c r="G785" s="273"/>
      <c r="H785" s="274" t="str">
        <f t="shared" si="23"/>
        <v xml:space="preserve"> </v>
      </c>
      <c r="I785" s="275" t="str">
        <f t="shared" si="20"/>
        <v xml:space="preserve"> </v>
      </c>
      <c r="J785" s="276" t="str">
        <f t="shared" si="21"/>
        <v xml:space="preserve"> </v>
      </c>
      <c r="K785" s="277" t="str">
        <f t="shared" si="22"/>
        <v xml:space="preserve"> </v>
      </c>
    </row>
  </sheetData>
  <conditionalFormatting sqref="C1:C1048576">
    <cfRule type="expression" dxfId="173" priority="3">
      <formula>IF(C1="Заплыв №", TRUE)</formula>
    </cfRule>
  </conditionalFormatting>
  <conditionalFormatting sqref="D1:D1048576">
    <cfRule type="expression" dxfId="172" priority="2">
      <formula>IF(D1&lt;1000, TRUE)</formula>
    </cfRule>
  </conditionalFormatting>
  <conditionalFormatting sqref="A1:C1048576 H3:H449">
    <cfRule type="expression" dxfId="171" priority="1">
      <formula>IF(LEN(A1)&gt;30, TRUE, IF(LEN(B1)&gt;30, TRUE, IF(LEN(C1)&gt;30, TRUE)))</formula>
    </cfRule>
  </conditionalFormatting>
  <pageMargins left="0.31496062874794006" right="0.31496062874794006" top="0.31496062874794006" bottom="0.39370077848434448" header="0" footer="0.11811023205518723"/>
  <pageSetup paperSize="9" fitToWidth="0" fitToHeight="0" orientation="portrait"/>
  <headerFooter>
    <oddFooter>&amp;R&amp;8&amp;"Times New Roman,Regular"Стр. &amp;P из &amp;N&amp;12&amp;"-,Regular"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/>
  </sheetViews>
  <sheetFormatPr defaultColWidth="9.140625" defaultRowHeight="14.25" x14ac:dyDescent="0.2"/>
  <cols>
    <col min="1" max="1" width="5.140625" style="279" customWidth="1"/>
    <col min="2" max="2" width="43.5703125" style="279" customWidth="1"/>
    <col min="3" max="3" width="26.42578125" style="279" customWidth="1"/>
    <col min="4" max="4" width="9.42578125" style="279" customWidth="1"/>
    <col min="5" max="5" width="7.5703125" style="279" customWidth="1"/>
    <col min="6" max="6" width="17.42578125" style="280" customWidth="1"/>
    <col min="7" max="7" width="9.85546875" style="279" customWidth="1"/>
    <col min="8" max="8" width="19.85546875" style="279" customWidth="1"/>
    <col min="9" max="21" width="1.140625" style="281" customWidth="1"/>
    <col min="22" max="256" width="9.140625" style="281" bestFit="1" customWidth="1"/>
    <col min="257" max="257" width="5.140625" style="281" customWidth="1"/>
    <col min="258" max="258" width="47.42578125" style="281" customWidth="1"/>
    <col min="259" max="259" width="26.42578125" style="281" customWidth="1"/>
    <col min="260" max="260" width="9.42578125" style="281" customWidth="1"/>
    <col min="261" max="261" width="7.5703125" style="281" customWidth="1"/>
    <col min="262" max="262" width="17.42578125" style="281" customWidth="1"/>
    <col min="263" max="263" width="9.85546875" style="281" customWidth="1"/>
    <col min="264" max="264" width="13.5703125" style="281" customWidth="1"/>
    <col min="265" max="512" width="9.140625" style="281" bestFit="1" customWidth="1"/>
    <col min="513" max="513" width="5.140625" style="281" customWidth="1"/>
    <col min="514" max="514" width="47.42578125" style="281" customWidth="1"/>
    <col min="515" max="515" width="26.42578125" style="281" customWidth="1"/>
    <col min="516" max="516" width="9.42578125" style="281" customWidth="1"/>
    <col min="517" max="517" width="7.5703125" style="281" customWidth="1"/>
    <col min="518" max="518" width="17.42578125" style="281" customWidth="1"/>
    <col min="519" max="519" width="9.85546875" style="281" customWidth="1"/>
    <col min="520" max="520" width="13.5703125" style="281" customWidth="1"/>
    <col min="521" max="768" width="9.140625" style="281" bestFit="1" customWidth="1"/>
    <col min="769" max="769" width="5.140625" style="281" customWidth="1"/>
    <col min="770" max="770" width="47.42578125" style="281" customWidth="1"/>
    <col min="771" max="771" width="26.42578125" style="281" customWidth="1"/>
    <col min="772" max="772" width="9.42578125" style="281" customWidth="1"/>
    <col min="773" max="773" width="7.5703125" style="281" customWidth="1"/>
    <col min="774" max="774" width="17.42578125" style="281" customWidth="1"/>
    <col min="775" max="775" width="9.85546875" style="281" customWidth="1"/>
    <col min="776" max="776" width="13.5703125" style="281" customWidth="1"/>
    <col min="777" max="1024" width="9.140625" style="281" bestFit="1" customWidth="1"/>
    <col min="1025" max="1025" width="5.140625" style="281" customWidth="1"/>
    <col min="1026" max="1026" width="47.42578125" style="281" customWidth="1"/>
    <col min="1027" max="1027" width="26.42578125" style="281" customWidth="1"/>
    <col min="1028" max="1028" width="9.42578125" style="281" customWidth="1"/>
    <col min="1029" max="1029" width="7.5703125" style="281" customWidth="1"/>
    <col min="1030" max="1030" width="17.42578125" style="281" customWidth="1"/>
    <col min="1031" max="1031" width="9.85546875" style="281" customWidth="1"/>
    <col min="1032" max="1032" width="13.5703125" style="281" customWidth="1"/>
    <col min="1033" max="1280" width="9.140625" style="281" bestFit="1" customWidth="1"/>
    <col min="1281" max="1281" width="5.140625" style="281" customWidth="1"/>
    <col min="1282" max="1282" width="47.42578125" style="281" customWidth="1"/>
    <col min="1283" max="1283" width="26.42578125" style="281" customWidth="1"/>
    <col min="1284" max="1284" width="9.42578125" style="281" customWidth="1"/>
    <col min="1285" max="1285" width="7.5703125" style="281" customWidth="1"/>
    <col min="1286" max="1286" width="17.42578125" style="281" customWidth="1"/>
    <col min="1287" max="1287" width="9.85546875" style="281" customWidth="1"/>
    <col min="1288" max="1288" width="13.5703125" style="281" customWidth="1"/>
    <col min="1289" max="1536" width="9.140625" style="281" bestFit="1" customWidth="1"/>
    <col min="1537" max="1537" width="5.140625" style="281" customWidth="1"/>
    <col min="1538" max="1538" width="47.42578125" style="281" customWidth="1"/>
    <col min="1539" max="1539" width="26.42578125" style="281" customWidth="1"/>
    <col min="1540" max="1540" width="9.42578125" style="281" customWidth="1"/>
    <col min="1541" max="1541" width="7.5703125" style="281" customWidth="1"/>
    <col min="1542" max="1542" width="17.42578125" style="281" customWidth="1"/>
    <col min="1543" max="1543" width="9.85546875" style="281" customWidth="1"/>
    <col min="1544" max="1544" width="13.5703125" style="281" customWidth="1"/>
    <col min="1545" max="1792" width="9.140625" style="281" bestFit="1" customWidth="1"/>
    <col min="1793" max="1793" width="5.140625" style="281" customWidth="1"/>
    <col min="1794" max="1794" width="47.42578125" style="281" customWidth="1"/>
    <col min="1795" max="1795" width="26.42578125" style="281" customWidth="1"/>
    <col min="1796" max="1796" width="9.42578125" style="281" customWidth="1"/>
    <col min="1797" max="1797" width="7.5703125" style="281" customWidth="1"/>
    <col min="1798" max="1798" width="17.42578125" style="281" customWidth="1"/>
    <col min="1799" max="1799" width="9.85546875" style="281" customWidth="1"/>
    <col min="1800" max="1800" width="13.5703125" style="281" customWidth="1"/>
    <col min="1801" max="2048" width="9.140625" style="281" bestFit="1" customWidth="1"/>
    <col min="2049" max="2049" width="5.140625" style="281" customWidth="1"/>
    <col min="2050" max="2050" width="47.42578125" style="281" customWidth="1"/>
    <col min="2051" max="2051" width="26.42578125" style="281" customWidth="1"/>
    <col min="2052" max="2052" width="9.42578125" style="281" customWidth="1"/>
    <col min="2053" max="2053" width="7.5703125" style="281" customWidth="1"/>
    <col min="2054" max="2054" width="17.42578125" style="281" customWidth="1"/>
    <col min="2055" max="2055" width="9.85546875" style="281" customWidth="1"/>
    <col min="2056" max="2056" width="13.5703125" style="281" customWidth="1"/>
    <col min="2057" max="2304" width="9.140625" style="281" bestFit="1" customWidth="1"/>
    <col min="2305" max="2305" width="5.140625" style="281" customWidth="1"/>
    <col min="2306" max="2306" width="47.42578125" style="281" customWidth="1"/>
    <col min="2307" max="2307" width="26.42578125" style="281" customWidth="1"/>
    <col min="2308" max="2308" width="9.42578125" style="281" customWidth="1"/>
    <col min="2309" max="2309" width="7.5703125" style="281" customWidth="1"/>
    <col min="2310" max="2310" width="17.42578125" style="281" customWidth="1"/>
    <col min="2311" max="2311" width="9.85546875" style="281" customWidth="1"/>
    <col min="2312" max="2312" width="13.5703125" style="281" customWidth="1"/>
    <col min="2313" max="2560" width="9.140625" style="281" bestFit="1" customWidth="1"/>
    <col min="2561" max="2561" width="5.140625" style="281" customWidth="1"/>
    <col min="2562" max="2562" width="47.42578125" style="281" customWidth="1"/>
    <col min="2563" max="2563" width="26.42578125" style="281" customWidth="1"/>
    <col min="2564" max="2564" width="9.42578125" style="281" customWidth="1"/>
    <col min="2565" max="2565" width="7.5703125" style="281" customWidth="1"/>
    <col min="2566" max="2566" width="17.42578125" style="281" customWidth="1"/>
    <col min="2567" max="2567" width="9.85546875" style="281" customWidth="1"/>
    <col min="2568" max="2568" width="13.5703125" style="281" customWidth="1"/>
    <col min="2569" max="2816" width="9.140625" style="281" bestFit="1" customWidth="1"/>
    <col min="2817" max="2817" width="5.140625" style="281" customWidth="1"/>
    <col min="2818" max="2818" width="47.42578125" style="281" customWidth="1"/>
    <col min="2819" max="2819" width="26.42578125" style="281" customWidth="1"/>
    <col min="2820" max="2820" width="9.42578125" style="281" customWidth="1"/>
    <col min="2821" max="2821" width="7.5703125" style="281" customWidth="1"/>
    <col min="2822" max="2822" width="17.42578125" style="281" customWidth="1"/>
    <col min="2823" max="2823" width="9.85546875" style="281" customWidth="1"/>
    <col min="2824" max="2824" width="13.5703125" style="281" customWidth="1"/>
    <col min="2825" max="3072" width="9.140625" style="281" bestFit="1" customWidth="1"/>
    <col min="3073" max="3073" width="5.140625" style="281" customWidth="1"/>
    <col min="3074" max="3074" width="47.42578125" style="281" customWidth="1"/>
    <col min="3075" max="3075" width="26.42578125" style="281" customWidth="1"/>
    <col min="3076" max="3076" width="9.42578125" style="281" customWidth="1"/>
    <col min="3077" max="3077" width="7.5703125" style="281" customWidth="1"/>
    <col min="3078" max="3078" width="17.42578125" style="281" customWidth="1"/>
    <col min="3079" max="3079" width="9.85546875" style="281" customWidth="1"/>
    <col min="3080" max="3080" width="13.5703125" style="281" customWidth="1"/>
    <col min="3081" max="3328" width="9.140625" style="281" bestFit="1" customWidth="1"/>
    <col min="3329" max="3329" width="5.140625" style="281" customWidth="1"/>
    <col min="3330" max="3330" width="47.42578125" style="281" customWidth="1"/>
    <col min="3331" max="3331" width="26.42578125" style="281" customWidth="1"/>
    <col min="3332" max="3332" width="9.42578125" style="281" customWidth="1"/>
    <col min="3333" max="3333" width="7.5703125" style="281" customWidth="1"/>
    <col min="3334" max="3334" width="17.42578125" style="281" customWidth="1"/>
    <col min="3335" max="3335" width="9.85546875" style="281" customWidth="1"/>
    <col min="3336" max="3336" width="13.5703125" style="281" customWidth="1"/>
    <col min="3337" max="3584" width="9.140625" style="281" bestFit="1" customWidth="1"/>
    <col min="3585" max="3585" width="5.140625" style="281" customWidth="1"/>
    <col min="3586" max="3586" width="47.42578125" style="281" customWidth="1"/>
    <col min="3587" max="3587" width="26.42578125" style="281" customWidth="1"/>
    <col min="3588" max="3588" width="9.42578125" style="281" customWidth="1"/>
    <col min="3589" max="3589" width="7.5703125" style="281" customWidth="1"/>
    <col min="3590" max="3590" width="17.42578125" style="281" customWidth="1"/>
    <col min="3591" max="3591" width="9.85546875" style="281" customWidth="1"/>
    <col min="3592" max="3592" width="13.5703125" style="281" customWidth="1"/>
    <col min="3593" max="3840" width="9.140625" style="281" bestFit="1" customWidth="1"/>
    <col min="3841" max="3841" width="5.140625" style="281" customWidth="1"/>
    <col min="3842" max="3842" width="47.42578125" style="281" customWidth="1"/>
    <col min="3843" max="3843" width="26.42578125" style="281" customWidth="1"/>
    <col min="3844" max="3844" width="9.42578125" style="281" customWidth="1"/>
    <col min="3845" max="3845" width="7.5703125" style="281" customWidth="1"/>
    <col min="3846" max="3846" width="17.42578125" style="281" customWidth="1"/>
    <col min="3847" max="3847" width="9.85546875" style="281" customWidth="1"/>
    <col min="3848" max="3848" width="13.5703125" style="281" customWidth="1"/>
    <col min="3849" max="4096" width="9.140625" style="281" bestFit="1" customWidth="1"/>
    <col min="4097" max="4097" width="5.140625" style="281" customWidth="1"/>
    <col min="4098" max="4098" width="47.42578125" style="281" customWidth="1"/>
    <col min="4099" max="4099" width="26.42578125" style="281" customWidth="1"/>
    <col min="4100" max="4100" width="9.42578125" style="281" customWidth="1"/>
    <col min="4101" max="4101" width="7.5703125" style="281" customWidth="1"/>
    <col min="4102" max="4102" width="17.42578125" style="281" customWidth="1"/>
    <col min="4103" max="4103" width="9.85546875" style="281" customWidth="1"/>
    <col min="4104" max="4104" width="13.5703125" style="281" customWidth="1"/>
    <col min="4105" max="4352" width="9.140625" style="281" bestFit="1" customWidth="1"/>
    <col min="4353" max="4353" width="5.140625" style="281" customWidth="1"/>
    <col min="4354" max="4354" width="47.42578125" style="281" customWidth="1"/>
    <col min="4355" max="4355" width="26.42578125" style="281" customWidth="1"/>
    <col min="4356" max="4356" width="9.42578125" style="281" customWidth="1"/>
    <col min="4357" max="4357" width="7.5703125" style="281" customWidth="1"/>
    <col min="4358" max="4358" width="17.42578125" style="281" customWidth="1"/>
    <col min="4359" max="4359" width="9.85546875" style="281" customWidth="1"/>
    <col min="4360" max="4360" width="13.5703125" style="281" customWidth="1"/>
    <col min="4361" max="4608" width="9.140625" style="281" bestFit="1" customWidth="1"/>
    <col min="4609" max="4609" width="5.140625" style="281" customWidth="1"/>
    <col min="4610" max="4610" width="47.42578125" style="281" customWidth="1"/>
    <col min="4611" max="4611" width="26.42578125" style="281" customWidth="1"/>
    <col min="4612" max="4612" width="9.42578125" style="281" customWidth="1"/>
    <col min="4613" max="4613" width="7.5703125" style="281" customWidth="1"/>
    <col min="4614" max="4614" width="17.42578125" style="281" customWidth="1"/>
    <col min="4615" max="4615" width="9.85546875" style="281" customWidth="1"/>
    <col min="4616" max="4616" width="13.5703125" style="281" customWidth="1"/>
    <col min="4617" max="4864" width="9.140625" style="281" bestFit="1" customWidth="1"/>
    <col min="4865" max="4865" width="5.140625" style="281" customWidth="1"/>
    <col min="4866" max="4866" width="47.42578125" style="281" customWidth="1"/>
    <col min="4867" max="4867" width="26.42578125" style="281" customWidth="1"/>
    <col min="4868" max="4868" width="9.42578125" style="281" customWidth="1"/>
    <col min="4869" max="4869" width="7.5703125" style="281" customWidth="1"/>
    <col min="4870" max="4870" width="17.42578125" style="281" customWidth="1"/>
    <col min="4871" max="4871" width="9.85546875" style="281" customWidth="1"/>
    <col min="4872" max="4872" width="13.5703125" style="281" customWidth="1"/>
    <col min="4873" max="5120" width="9.140625" style="281" bestFit="1" customWidth="1"/>
    <col min="5121" max="5121" width="5.140625" style="281" customWidth="1"/>
    <col min="5122" max="5122" width="47.42578125" style="281" customWidth="1"/>
    <col min="5123" max="5123" width="26.42578125" style="281" customWidth="1"/>
    <col min="5124" max="5124" width="9.42578125" style="281" customWidth="1"/>
    <col min="5125" max="5125" width="7.5703125" style="281" customWidth="1"/>
    <col min="5126" max="5126" width="17.42578125" style="281" customWidth="1"/>
    <col min="5127" max="5127" width="9.85546875" style="281" customWidth="1"/>
    <col min="5128" max="5128" width="13.5703125" style="281" customWidth="1"/>
    <col min="5129" max="5376" width="9.140625" style="281" bestFit="1" customWidth="1"/>
    <col min="5377" max="5377" width="5.140625" style="281" customWidth="1"/>
    <col min="5378" max="5378" width="47.42578125" style="281" customWidth="1"/>
    <col min="5379" max="5379" width="26.42578125" style="281" customWidth="1"/>
    <col min="5380" max="5380" width="9.42578125" style="281" customWidth="1"/>
    <col min="5381" max="5381" width="7.5703125" style="281" customWidth="1"/>
    <col min="5382" max="5382" width="17.42578125" style="281" customWidth="1"/>
    <col min="5383" max="5383" width="9.85546875" style="281" customWidth="1"/>
    <col min="5384" max="5384" width="13.5703125" style="281" customWidth="1"/>
    <col min="5385" max="5632" width="9.140625" style="281" bestFit="1" customWidth="1"/>
    <col min="5633" max="5633" width="5.140625" style="281" customWidth="1"/>
    <col min="5634" max="5634" width="47.42578125" style="281" customWidth="1"/>
    <col min="5635" max="5635" width="26.42578125" style="281" customWidth="1"/>
    <col min="5636" max="5636" width="9.42578125" style="281" customWidth="1"/>
    <col min="5637" max="5637" width="7.5703125" style="281" customWidth="1"/>
    <col min="5638" max="5638" width="17.42578125" style="281" customWidth="1"/>
    <col min="5639" max="5639" width="9.85546875" style="281" customWidth="1"/>
    <col min="5640" max="5640" width="13.5703125" style="281" customWidth="1"/>
    <col min="5641" max="5888" width="9.140625" style="281" bestFit="1" customWidth="1"/>
    <col min="5889" max="5889" width="5.140625" style="281" customWidth="1"/>
    <col min="5890" max="5890" width="47.42578125" style="281" customWidth="1"/>
    <col min="5891" max="5891" width="26.42578125" style="281" customWidth="1"/>
    <col min="5892" max="5892" width="9.42578125" style="281" customWidth="1"/>
    <col min="5893" max="5893" width="7.5703125" style="281" customWidth="1"/>
    <col min="5894" max="5894" width="17.42578125" style="281" customWidth="1"/>
    <col min="5895" max="5895" width="9.85546875" style="281" customWidth="1"/>
    <col min="5896" max="5896" width="13.5703125" style="281" customWidth="1"/>
    <col min="5897" max="6144" width="9.140625" style="281" bestFit="1" customWidth="1"/>
    <col min="6145" max="6145" width="5.140625" style="281" customWidth="1"/>
    <col min="6146" max="6146" width="47.42578125" style="281" customWidth="1"/>
    <col min="6147" max="6147" width="26.42578125" style="281" customWidth="1"/>
    <col min="6148" max="6148" width="9.42578125" style="281" customWidth="1"/>
    <col min="6149" max="6149" width="7.5703125" style="281" customWidth="1"/>
    <col min="6150" max="6150" width="17.42578125" style="281" customWidth="1"/>
    <col min="6151" max="6151" width="9.85546875" style="281" customWidth="1"/>
    <col min="6152" max="6152" width="13.5703125" style="281" customWidth="1"/>
    <col min="6153" max="6400" width="9.140625" style="281" bestFit="1" customWidth="1"/>
    <col min="6401" max="6401" width="5.140625" style="281" customWidth="1"/>
    <col min="6402" max="6402" width="47.42578125" style="281" customWidth="1"/>
    <col min="6403" max="6403" width="26.42578125" style="281" customWidth="1"/>
    <col min="6404" max="6404" width="9.42578125" style="281" customWidth="1"/>
    <col min="6405" max="6405" width="7.5703125" style="281" customWidth="1"/>
    <col min="6406" max="6406" width="17.42578125" style="281" customWidth="1"/>
    <col min="6407" max="6407" width="9.85546875" style="281" customWidth="1"/>
    <col min="6408" max="6408" width="13.5703125" style="281" customWidth="1"/>
    <col min="6409" max="6656" width="9.140625" style="281" bestFit="1" customWidth="1"/>
    <col min="6657" max="6657" width="5.140625" style="281" customWidth="1"/>
    <col min="6658" max="6658" width="47.42578125" style="281" customWidth="1"/>
    <col min="6659" max="6659" width="26.42578125" style="281" customWidth="1"/>
    <col min="6660" max="6660" width="9.42578125" style="281" customWidth="1"/>
    <col min="6661" max="6661" width="7.5703125" style="281" customWidth="1"/>
    <col min="6662" max="6662" width="17.42578125" style="281" customWidth="1"/>
    <col min="6663" max="6663" width="9.85546875" style="281" customWidth="1"/>
    <col min="6664" max="6664" width="13.5703125" style="281" customWidth="1"/>
    <col min="6665" max="6912" width="9.140625" style="281" bestFit="1" customWidth="1"/>
    <col min="6913" max="6913" width="5.140625" style="281" customWidth="1"/>
    <col min="6914" max="6914" width="47.42578125" style="281" customWidth="1"/>
    <col min="6915" max="6915" width="26.42578125" style="281" customWidth="1"/>
    <col min="6916" max="6916" width="9.42578125" style="281" customWidth="1"/>
    <col min="6917" max="6917" width="7.5703125" style="281" customWidth="1"/>
    <col min="6918" max="6918" width="17.42578125" style="281" customWidth="1"/>
    <col min="6919" max="6919" width="9.85546875" style="281" customWidth="1"/>
    <col min="6920" max="6920" width="13.5703125" style="281" customWidth="1"/>
    <col min="6921" max="7168" width="9.140625" style="281" bestFit="1" customWidth="1"/>
    <col min="7169" max="7169" width="5.140625" style="281" customWidth="1"/>
    <col min="7170" max="7170" width="47.42578125" style="281" customWidth="1"/>
    <col min="7171" max="7171" width="26.42578125" style="281" customWidth="1"/>
    <col min="7172" max="7172" width="9.42578125" style="281" customWidth="1"/>
    <col min="7173" max="7173" width="7.5703125" style="281" customWidth="1"/>
    <col min="7174" max="7174" width="17.42578125" style="281" customWidth="1"/>
    <col min="7175" max="7175" width="9.85546875" style="281" customWidth="1"/>
    <col min="7176" max="7176" width="13.5703125" style="281" customWidth="1"/>
    <col min="7177" max="7424" width="9.140625" style="281" bestFit="1" customWidth="1"/>
    <col min="7425" max="7425" width="5.140625" style="281" customWidth="1"/>
    <col min="7426" max="7426" width="47.42578125" style="281" customWidth="1"/>
    <col min="7427" max="7427" width="26.42578125" style="281" customWidth="1"/>
    <col min="7428" max="7428" width="9.42578125" style="281" customWidth="1"/>
    <col min="7429" max="7429" width="7.5703125" style="281" customWidth="1"/>
    <col min="7430" max="7430" width="17.42578125" style="281" customWidth="1"/>
    <col min="7431" max="7431" width="9.85546875" style="281" customWidth="1"/>
    <col min="7432" max="7432" width="13.5703125" style="281" customWidth="1"/>
    <col min="7433" max="7680" width="9.140625" style="281" bestFit="1" customWidth="1"/>
    <col min="7681" max="7681" width="5.140625" style="281" customWidth="1"/>
    <col min="7682" max="7682" width="47.42578125" style="281" customWidth="1"/>
    <col min="7683" max="7683" width="26.42578125" style="281" customWidth="1"/>
    <col min="7684" max="7684" width="9.42578125" style="281" customWidth="1"/>
    <col min="7685" max="7685" width="7.5703125" style="281" customWidth="1"/>
    <col min="7686" max="7686" width="17.42578125" style="281" customWidth="1"/>
    <col min="7687" max="7687" width="9.85546875" style="281" customWidth="1"/>
    <col min="7688" max="7688" width="13.5703125" style="281" customWidth="1"/>
    <col min="7689" max="7936" width="9.140625" style="281" bestFit="1" customWidth="1"/>
    <col min="7937" max="7937" width="5.140625" style="281" customWidth="1"/>
    <col min="7938" max="7938" width="47.42578125" style="281" customWidth="1"/>
    <col min="7939" max="7939" width="26.42578125" style="281" customWidth="1"/>
    <col min="7940" max="7940" width="9.42578125" style="281" customWidth="1"/>
    <col min="7941" max="7941" width="7.5703125" style="281" customWidth="1"/>
    <col min="7942" max="7942" width="17.42578125" style="281" customWidth="1"/>
    <col min="7943" max="7943" width="9.85546875" style="281" customWidth="1"/>
    <col min="7944" max="7944" width="13.5703125" style="281" customWidth="1"/>
    <col min="7945" max="8192" width="9.140625" style="281" bestFit="1" customWidth="1"/>
    <col min="8193" max="8193" width="5.140625" style="281" customWidth="1"/>
    <col min="8194" max="8194" width="47.42578125" style="281" customWidth="1"/>
    <col min="8195" max="8195" width="26.42578125" style="281" customWidth="1"/>
    <col min="8196" max="8196" width="9.42578125" style="281" customWidth="1"/>
    <col min="8197" max="8197" width="7.5703125" style="281" customWidth="1"/>
    <col min="8198" max="8198" width="17.42578125" style="281" customWidth="1"/>
    <col min="8199" max="8199" width="9.85546875" style="281" customWidth="1"/>
    <col min="8200" max="8200" width="13.5703125" style="281" customWidth="1"/>
    <col min="8201" max="8448" width="9.140625" style="281" bestFit="1" customWidth="1"/>
    <col min="8449" max="8449" width="5.140625" style="281" customWidth="1"/>
    <col min="8450" max="8450" width="47.42578125" style="281" customWidth="1"/>
    <col min="8451" max="8451" width="26.42578125" style="281" customWidth="1"/>
    <col min="8452" max="8452" width="9.42578125" style="281" customWidth="1"/>
    <col min="8453" max="8453" width="7.5703125" style="281" customWidth="1"/>
    <col min="8454" max="8454" width="17.42578125" style="281" customWidth="1"/>
    <col min="8455" max="8455" width="9.85546875" style="281" customWidth="1"/>
    <col min="8456" max="8456" width="13.5703125" style="281" customWidth="1"/>
    <col min="8457" max="8704" width="9.140625" style="281" bestFit="1" customWidth="1"/>
    <col min="8705" max="8705" width="5.140625" style="281" customWidth="1"/>
    <col min="8706" max="8706" width="47.42578125" style="281" customWidth="1"/>
    <col min="8707" max="8707" width="26.42578125" style="281" customWidth="1"/>
    <col min="8708" max="8708" width="9.42578125" style="281" customWidth="1"/>
    <col min="8709" max="8709" width="7.5703125" style="281" customWidth="1"/>
    <col min="8710" max="8710" width="17.42578125" style="281" customWidth="1"/>
    <col min="8711" max="8711" width="9.85546875" style="281" customWidth="1"/>
    <col min="8712" max="8712" width="13.5703125" style="281" customWidth="1"/>
    <col min="8713" max="8960" width="9.140625" style="281" bestFit="1" customWidth="1"/>
    <col min="8961" max="8961" width="5.140625" style="281" customWidth="1"/>
    <col min="8962" max="8962" width="47.42578125" style="281" customWidth="1"/>
    <col min="8963" max="8963" width="26.42578125" style="281" customWidth="1"/>
    <col min="8964" max="8964" width="9.42578125" style="281" customWidth="1"/>
    <col min="8965" max="8965" width="7.5703125" style="281" customWidth="1"/>
    <col min="8966" max="8966" width="17.42578125" style="281" customWidth="1"/>
    <col min="8967" max="8967" width="9.85546875" style="281" customWidth="1"/>
    <col min="8968" max="8968" width="13.5703125" style="281" customWidth="1"/>
    <col min="8969" max="9216" width="9.140625" style="281" bestFit="1" customWidth="1"/>
    <col min="9217" max="9217" width="5.140625" style="281" customWidth="1"/>
    <col min="9218" max="9218" width="47.42578125" style="281" customWidth="1"/>
    <col min="9219" max="9219" width="26.42578125" style="281" customWidth="1"/>
    <col min="9220" max="9220" width="9.42578125" style="281" customWidth="1"/>
    <col min="9221" max="9221" width="7.5703125" style="281" customWidth="1"/>
    <col min="9222" max="9222" width="17.42578125" style="281" customWidth="1"/>
    <col min="9223" max="9223" width="9.85546875" style="281" customWidth="1"/>
    <col min="9224" max="9224" width="13.5703125" style="281" customWidth="1"/>
    <col min="9225" max="9472" width="9.140625" style="281" bestFit="1" customWidth="1"/>
    <col min="9473" max="9473" width="5.140625" style="281" customWidth="1"/>
    <col min="9474" max="9474" width="47.42578125" style="281" customWidth="1"/>
    <col min="9475" max="9475" width="26.42578125" style="281" customWidth="1"/>
    <col min="9476" max="9476" width="9.42578125" style="281" customWidth="1"/>
    <col min="9477" max="9477" width="7.5703125" style="281" customWidth="1"/>
    <col min="9478" max="9478" width="17.42578125" style="281" customWidth="1"/>
    <col min="9479" max="9479" width="9.85546875" style="281" customWidth="1"/>
    <col min="9480" max="9480" width="13.5703125" style="281" customWidth="1"/>
    <col min="9481" max="9728" width="9.140625" style="281" bestFit="1" customWidth="1"/>
    <col min="9729" max="9729" width="5.140625" style="281" customWidth="1"/>
    <col min="9730" max="9730" width="47.42578125" style="281" customWidth="1"/>
    <col min="9731" max="9731" width="26.42578125" style="281" customWidth="1"/>
    <col min="9732" max="9732" width="9.42578125" style="281" customWidth="1"/>
    <col min="9733" max="9733" width="7.5703125" style="281" customWidth="1"/>
    <col min="9734" max="9734" width="17.42578125" style="281" customWidth="1"/>
    <col min="9735" max="9735" width="9.85546875" style="281" customWidth="1"/>
    <col min="9736" max="9736" width="13.5703125" style="281" customWidth="1"/>
    <col min="9737" max="9984" width="9.140625" style="281" bestFit="1" customWidth="1"/>
    <col min="9985" max="9985" width="5.140625" style="281" customWidth="1"/>
    <col min="9986" max="9986" width="47.42578125" style="281" customWidth="1"/>
    <col min="9987" max="9987" width="26.42578125" style="281" customWidth="1"/>
    <col min="9988" max="9988" width="9.42578125" style="281" customWidth="1"/>
    <col min="9989" max="9989" width="7.5703125" style="281" customWidth="1"/>
    <col min="9990" max="9990" width="17.42578125" style="281" customWidth="1"/>
    <col min="9991" max="9991" width="9.85546875" style="281" customWidth="1"/>
    <col min="9992" max="9992" width="13.5703125" style="281" customWidth="1"/>
    <col min="9993" max="10240" width="9.140625" style="281" bestFit="1" customWidth="1"/>
    <col min="10241" max="10241" width="5.140625" style="281" customWidth="1"/>
    <col min="10242" max="10242" width="47.42578125" style="281" customWidth="1"/>
    <col min="10243" max="10243" width="26.42578125" style="281" customWidth="1"/>
    <col min="10244" max="10244" width="9.42578125" style="281" customWidth="1"/>
    <col min="10245" max="10245" width="7.5703125" style="281" customWidth="1"/>
    <col min="10246" max="10246" width="17.42578125" style="281" customWidth="1"/>
    <col min="10247" max="10247" width="9.85546875" style="281" customWidth="1"/>
    <col min="10248" max="10248" width="13.5703125" style="281" customWidth="1"/>
    <col min="10249" max="10496" width="9.140625" style="281" bestFit="1" customWidth="1"/>
    <col min="10497" max="10497" width="5.140625" style="281" customWidth="1"/>
    <col min="10498" max="10498" width="47.42578125" style="281" customWidth="1"/>
    <col min="10499" max="10499" width="26.42578125" style="281" customWidth="1"/>
    <col min="10500" max="10500" width="9.42578125" style="281" customWidth="1"/>
    <col min="10501" max="10501" width="7.5703125" style="281" customWidth="1"/>
    <col min="10502" max="10502" width="17.42578125" style="281" customWidth="1"/>
    <col min="10503" max="10503" width="9.85546875" style="281" customWidth="1"/>
    <col min="10504" max="10504" width="13.5703125" style="281" customWidth="1"/>
    <col min="10505" max="10752" width="9.140625" style="281" bestFit="1" customWidth="1"/>
    <col min="10753" max="10753" width="5.140625" style="281" customWidth="1"/>
    <col min="10754" max="10754" width="47.42578125" style="281" customWidth="1"/>
    <col min="10755" max="10755" width="26.42578125" style="281" customWidth="1"/>
    <col min="10756" max="10756" width="9.42578125" style="281" customWidth="1"/>
    <col min="10757" max="10757" width="7.5703125" style="281" customWidth="1"/>
    <col min="10758" max="10758" width="17.42578125" style="281" customWidth="1"/>
    <col min="10759" max="10759" width="9.85546875" style="281" customWidth="1"/>
    <col min="10760" max="10760" width="13.5703125" style="281" customWidth="1"/>
    <col min="10761" max="11008" width="9.140625" style="281" bestFit="1" customWidth="1"/>
    <col min="11009" max="11009" width="5.140625" style="281" customWidth="1"/>
    <col min="11010" max="11010" width="47.42578125" style="281" customWidth="1"/>
    <col min="11011" max="11011" width="26.42578125" style="281" customWidth="1"/>
    <col min="11012" max="11012" width="9.42578125" style="281" customWidth="1"/>
    <col min="11013" max="11013" width="7.5703125" style="281" customWidth="1"/>
    <col min="11014" max="11014" width="17.42578125" style="281" customWidth="1"/>
    <col min="11015" max="11015" width="9.85546875" style="281" customWidth="1"/>
    <col min="11016" max="11016" width="13.5703125" style="281" customWidth="1"/>
    <col min="11017" max="11264" width="9.140625" style="281" bestFit="1" customWidth="1"/>
    <col min="11265" max="11265" width="5.140625" style="281" customWidth="1"/>
    <col min="11266" max="11266" width="47.42578125" style="281" customWidth="1"/>
    <col min="11267" max="11267" width="26.42578125" style="281" customWidth="1"/>
    <col min="11268" max="11268" width="9.42578125" style="281" customWidth="1"/>
    <col min="11269" max="11269" width="7.5703125" style="281" customWidth="1"/>
    <col min="11270" max="11270" width="17.42578125" style="281" customWidth="1"/>
    <col min="11271" max="11271" width="9.85546875" style="281" customWidth="1"/>
    <col min="11272" max="11272" width="13.5703125" style="281" customWidth="1"/>
    <col min="11273" max="11520" width="9.140625" style="281" bestFit="1" customWidth="1"/>
    <col min="11521" max="11521" width="5.140625" style="281" customWidth="1"/>
    <col min="11522" max="11522" width="47.42578125" style="281" customWidth="1"/>
    <col min="11523" max="11523" width="26.42578125" style="281" customWidth="1"/>
    <col min="11524" max="11524" width="9.42578125" style="281" customWidth="1"/>
    <col min="11525" max="11525" width="7.5703125" style="281" customWidth="1"/>
    <col min="11526" max="11526" width="17.42578125" style="281" customWidth="1"/>
    <col min="11527" max="11527" width="9.85546875" style="281" customWidth="1"/>
    <col min="11528" max="11528" width="13.5703125" style="281" customWidth="1"/>
    <col min="11529" max="11776" width="9.140625" style="281" bestFit="1" customWidth="1"/>
    <col min="11777" max="11777" width="5.140625" style="281" customWidth="1"/>
    <col min="11778" max="11778" width="47.42578125" style="281" customWidth="1"/>
    <col min="11779" max="11779" width="26.42578125" style="281" customWidth="1"/>
    <col min="11780" max="11780" width="9.42578125" style="281" customWidth="1"/>
    <col min="11781" max="11781" width="7.5703125" style="281" customWidth="1"/>
    <col min="11782" max="11782" width="17.42578125" style="281" customWidth="1"/>
    <col min="11783" max="11783" width="9.85546875" style="281" customWidth="1"/>
    <col min="11784" max="11784" width="13.5703125" style="281" customWidth="1"/>
    <col min="11785" max="12032" width="9.140625" style="281" bestFit="1" customWidth="1"/>
    <col min="12033" max="12033" width="5.140625" style="281" customWidth="1"/>
    <col min="12034" max="12034" width="47.42578125" style="281" customWidth="1"/>
    <col min="12035" max="12035" width="26.42578125" style="281" customWidth="1"/>
    <col min="12036" max="12036" width="9.42578125" style="281" customWidth="1"/>
    <col min="12037" max="12037" width="7.5703125" style="281" customWidth="1"/>
    <col min="12038" max="12038" width="17.42578125" style="281" customWidth="1"/>
    <col min="12039" max="12039" width="9.85546875" style="281" customWidth="1"/>
    <col min="12040" max="12040" width="13.5703125" style="281" customWidth="1"/>
    <col min="12041" max="12288" width="9.140625" style="281" bestFit="1" customWidth="1"/>
    <col min="12289" max="12289" width="5.140625" style="281" customWidth="1"/>
    <col min="12290" max="12290" width="47.42578125" style="281" customWidth="1"/>
    <col min="12291" max="12291" width="26.42578125" style="281" customWidth="1"/>
    <col min="12292" max="12292" width="9.42578125" style="281" customWidth="1"/>
    <col min="12293" max="12293" width="7.5703125" style="281" customWidth="1"/>
    <col min="12294" max="12294" width="17.42578125" style="281" customWidth="1"/>
    <col min="12295" max="12295" width="9.85546875" style="281" customWidth="1"/>
    <col min="12296" max="12296" width="13.5703125" style="281" customWidth="1"/>
    <col min="12297" max="12544" width="9.140625" style="281" bestFit="1" customWidth="1"/>
    <col min="12545" max="12545" width="5.140625" style="281" customWidth="1"/>
    <col min="12546" max="12546" width="47.42578125" style="281" customWidth="1"/>
    <col min="12547" max="12547" width="26.42578125" style="281" customWidth="1"/>
    <col min="12548" max="12548" width="9.42578125" style="281" customWidth="1"/>
    <col min="12549" max="12549" width="7.5703125" style="281" customWidth="1"/>
    <col min="12550" max="12550" width="17.42578125" style="281" customWidth="1"/>
    <col min="12551" max="12551" width="9.85546875" style="281" customWidth="1"/>
    <col min="12552" max="12552" width="13.5703125" style="281" customWidth="1"/>
    <col min="12553" max="12800" width="9.140625" style="281" bestFit="1" customWidth="1"/>
    <col min="12801" max="12801" width="5.140625" style="281" customWidth="1"/>
    <col min="12802" max="12802" width="47.42578125" style="281" customWidth="1"/>
    <col min="12803" max="12803" width="26.42578125" style="281" customWidth="1"/>
    <col min="12804" max="12804" width="9.42578125" style="281" customWidth="1"/>
    <col min="12805" max="12805" width="7.5703125" style="281" customWidth="1"/>
    <col min="12806" max="12806" width="17.42578125" style="281" customWidth="1"/>
    <col min="12807" max="12807" width="9.85546875" style="281" customWidth="1"/>
    <col min="12808" max="12808" width="13.5703125" style="281" customWidth="1"/>
    <col min="12809" max="13056" width="9.140625" style="281" bestFit="1" customWidth="1"/>
    <col min="13057" max="13057" width="5.140625" style="281" customWidth="1"/>
    <col min="13058" max="13058" width="47.42578125" style="281" customWidth="1"/>
    <col min="13059" max="13059" width="26.42578125" style="281" customWidth="1"/>
    <col min="13060" max="13060" width="9.42578125" style="281" customWidth="1"/>
    <col min="13061" max="13061" width="7.5703125" style="281" customWidth="1"/>
    <col min="13062" max="13062" width="17.42578125" style="281" customWidth="1"/>
    <col min="13063" max="13063" width="9.85546875" style="281" customWidth="1"/>
    <col min="13064" max="13064" width="13.5703125" style="281" customWidth="1"/>
    <col min="13065" max="13312" width="9.140625" style="281" bestFit="1" customWidth="1"/>
    <col min="13313" max="13313" width="5.140625" style="281" customWidth="1"/>
    <col min="13314" max="13314" width="47.42578125" style="281" customWidth="1"/>
    <col min="13315" max="13315" width="26.42578125" style="281" customWidth="1"/>
    <col min="13316" max="13316" width="9.42578125" style="281" customWidth="1"/>
    <col min="13317" max="13317" width="7.5703125" style="281" customWidth="1"/>
    <col min="13318" max="13318" width="17.42578125" style="281" customWidth="1"/>
    <col min="13319" max="13319" width="9.85546875" style="281" customWidth="1"/>
    <col min="13320" max="13320" width="13.5703125" style="281" customWidth="1"/>
    <col min="13321" max="13568" width="9.140625" style="281" bestFit="1" customWidth="1"/>
    <col min="13569" max="13569" width="5.140625" style="281" customWidth="1"/>
    <col min="13570" max="13570" width="47.42578125" style="281" customWidth="1"/>
    <col min="13571" max="13571" width="26.42578125" style="281" customWidth="1"/>
    <col min="13572" max="13572" width="9.42578125" style="281" customWidth="1"/>
    <col min="13573" max="13573" width="7.5703125" style="281" customWidth="1"/>
    <col min="13574" max="13574" width="17.42578125" style="281" customWidth="1"/>
    <col min="13575" max="13575" width="9.85546875" style="281" customWidth="1"/>
    <col min="13576" max="13576" width="13.5703125" style="281" customWidth="1"/>
    <col min="13577" max="13824" width="9.140625" style="281" bestFit="1" customWidth="1"/>
    <col min="13825" max="13825" width="5.140625" style="281" customWidth="1"/>
    <col min="13826" max="13826" width="47.42578125" style="281" customWidth="1"/>
    <col min="13827" max="13827" width="26.42578125" style="281" customWidth="1"/>
    <col min="13828" max="13828" width="9.42578125" style="281" customWidth="1"/>
    <col min="13829" max="13829" width="7.5703125" style="281" customWidth="1"/>
    <col min="13830" max="13830" width="17.42578125" style="281" customWidth="1"/>
    <col min="13831" max="13831" width="9.85546875" style="281" customWidth="1"/>
    <col min="13832" max="13832" width="13.5703125" style="281" customWidth="1"/>
    <col min="13833" max="14080" width="9.140625" style="281" bestFit="1" customWidth="1"/>
    <col min="14081" max="14081" width="5.140625" style="281" customWidth="1"/>
    <col min="14082" max="14082" width="47.42578125" style="281" customWidth="1"/>
    <col min="14083" max="14083" width="26.42578125" style="281" customWidth="1"/>
    <col min="14084" max="14084" width="9.42578125" style="281" customWidth="1"/>
    <col min="14085" max="14085" width="7.5703125" style="281" customWidth="1"/>
    <col min="14086" max="14086" width="17.42578125" style="281" customWidth="1"/>
    <col min="14087" max="14087" width="9.85546875" style="281" customWidth="1"/>
    <col min="14088" max="14088" width="13.5703125" style="281" customWidth="1"/>
    <col min="14089" max="14336" width="9.140625" style="281" bestFit="1" customWidth="1"/>
    <col min="14337" max="14337" width="5.140625" style="281" customWidth="1"/>
    <col min="14338" max="14338" width="47.42578125" style="281" customWidth="1"/>
    <col min="14339" max="14339" width="26.42578125" style="281" customWidth="1"/>
    <col min="14340" max="14340" width="9.42578125" style="281" customWidth="1"/>
    <col min="14341" max="14341" width="7.5703125" style="281" customWidth="1"/>
    <col min="14342" max="14342" width="17.42578125" style="281" customWidth="1"/>
    <col min="14343" max="14343" width="9.85546875" style="281" customWidth="1"/>
    <col min="14344" max="14344" width="13.5703125" style="281" customWidth="1"/>
    <col min="14345" max="14592" width="9.140625" style="281" bestFit="1" customWidth="1"/>
    <col min="14593" max="14593" width="5.140625" style="281" customWidth="1"/>
    <col min="14594" max="14594" width="47.42578125" style="281" customWidth="1"/>
    <col min="14595" max="14595" width="26.42578125" style="281" customWidth="1"/>
    <col min="14596" max="14596" width="9.42578125" style="281" customWidth="1"/>
    <col min="14597" max="14597" width="7.5703125" style="281" customWidth="1"/>
    <col min="14598" max="14598" width="17.42578125" style="281" customWidth="1"/>
    <col min="14599" max="14599" width="9.85546875" style="281" customWidth="1"/>
    <col min="14600" max="14600" width="13.5703125" style="281" customWidth="1"/>
    <col min="14601" max="14848" width="9.140625" style="281" bestFit="1" customWidth="1"/>
    <col min="14849" max="14849" width="5.140625" style="281" customWidth="1"/>
    <col min="14850" max="14850" width="47.42578125" style="281" customWidth="1"/>
    <col min="14851" max="14851" width="26.42578125" style="281" customWidth="1"/>
    <col min="14852" max="14852" width="9.42578125" style="281" customWidth="1"/>
    <col min="14853" max="14853" width="7.5703125" style="281" customWidth="1"/>
    <col min="14854" max="14854" width="17.42578125" style="281" customWidth="1"/>
    <col min="14855" max="14855" width="9.85546875" style="281" customWidth="1"/>
    <col min="14856" max="14856" width="13.5703125" style="281" customWidth="1"/>
    <col min="14857" max="15104" width="9.140625" style="281" bestFit="1" customWidth="1"/>
    <col min="15105" max="15105" width="5.140625" style="281" customWidth="1"/>
    <col min="15106" max="15106" width="47.42578125" style="281" customWidth="1"/>
    <col min="15107" max="15107" width="26.42578125" style="281" customWidth="1"/>
    <col min="15108" max="15108" width="9.42578125" style="281" customWidth="1"/>
    <col min="15109" max="15109" width="7.5703125" style="281" customWidth="1"/>
    <col min="15110" max="15110" width="17.42578125" style="281" customWidth="1"/>
    <col min="15111" max="15111" width="9.85546875" style="281" customWidth="1"/>
    <col min="15112" max="15112" width="13.5703125" style="281" customWidth="1"/>
    <col min="15113" max="15360" width="9.140625" style="281" bestFit="1" customWidth="1"/>
    <col min="15361" max="15361" width="5.140625" style="281" customWidth="1"/>
    <col min="15362" max="15362" width="47.42578125" style="281" customWidth="1"/>
    <col min="15363" max="15363" width="26.42578125" style="281" customWidth="1"/>
    <col min="15364" max="15364" width="9.42578125" style="281" customWidth="1"/>
    <col min="15365" max="15365" width="7.5703125" style="281" customWidth="1"/>
    <col min="15366" max="15366" width="17.42578125" style="281" customWidth="1"/>
    <col min="15367" max="15367" width="9.85546875" style="281" customWidth="1"/>
    <col min="15368" max="15368" width="13.5703125" style="281" customWidth="1"/>
    <col min="15369" max="15616" width="9.140625" style="281" bestFit="1" customWidth="1"/>
    <col min="15617" max="15617" width="5.140625" style="281" customWidth="1"/>
    <col min="15618" max="15618" width="47.42578125" style="281" customWidth="1"/>
    <col min="15619" max="15619" width="26.42578125" style="281" customWidth="1"/>
    <col min="15620" max="15620" width="9.42578125" style="281" customWidth="1"/>
    <col min="15621" max="15621" width="7.5703125" style="281" customWidth="1"/>
    <col min="15622" max="15622" width="17.42578125" style="281" customWidth="1"/>
    <col min="15623" max="15623" width="9.85546875" style="281" customWidth="1"/>
    <col min="15624" max="15624" width="13.5703125" style="281" customWidth="1"/>
    <col min="15625" max="15872" width="9.140625" style="281" bestFit="1" customWidth="1"/>
    <col min="15873" max="15873" width="5.140625" style="281" customWidth="1"/>
    <col min="15874" max="15874" width="47.42578125" style="281" customWidth="1"/>
    <col min="15875" max="15875" width="26.42578125" style="281" customWidth="1"/>
    <col min="15876" max="15876" width="9.42578125" style="281" customWidth="1"/>
    <col min="15877" max="15877" width="7.5703125" style="281" customWidth="1"/>
    <col min="15878" max="15878" width="17.42578125" style="281" customWidth="1"/>
    <col min="15879" max="15879" width="9.85546875" style="281" customWidth="1"/>
    <col min="15880" max="15880" width="13.5703125" style="281" customWidth="1"/>
    <col min="15881" max="16128" width="9.140625" style="281" bestFit="1" customWidth="1"/>
    <col min="16129" max="16129" width="5.140625" style="281" customWidth="1"/>
    <col min="16130" max="16130" width="47.42578125" style="281" customWidth="1"/>
    <col min="16131" max="16131" width="26.42578125" style="281" customWidth="1"/>
    <col min="16132" max="16132" width="9.42578125" style="281" customWidth="1"/>
    <col min="16133" max="16133" width="7.5703125" style="281" customWidth="1"/>
    <col min="16134" max="16134" width="17.42578125" style="281" customWidth="1"/>
    <col min="16135" max="16135" width="9.85546875" style="281" customWidth="1"/>
    <col min="16136" max="16136" width="13.5703125" style="281" customWidth="1"/>
    <col min="16137" max="16384" width="9.140625" style="281" bestFit="1" customWidth="1"/>
  </cols>
  <sheetData>
    <row r="1" spans="1:8" x14ac:dyDescent="0.2">
      <c r="F1" s="1951" t="s">
        <v>552</v>
      </c>
      <c r="G1" s="1951"/>
      <c r="H1" s="1951"/>
    </row>
    <row r="2" spans="1:8" x14ac:dyDescent="0.2">
      <c r="F2" s="1951" t="s">
        <v>553</v>
      </c>
      <c r="G2" s="1951"/>
      <c r="H2" s="1951"/>
    </row>
    <row r="3" spans="1:8" x14ac:dyDescent="0.2">
      <c r="H3" s="282"/>
    </row>
    <row r="4" spans="1:8" ht="45" customHeight="1" x14ac:dyDescent="0.2">
      <c r="A4" s="1956" t="s">
        <v>554</v>
      </c>
      <c r="B4" s="1956"/>
      <c r="C4" s="1956"/>
      <c r="D4" s="1956"/>
      <c r="E4" s="1956"/>
      <c r="F4" s="1956"/>
      <c r="G4" s="1956"/>
      <c r="H4" s="1956"/>
    </row>
    <row r="5" spans="1:8" ht="45.75" customHeight="1" x14ac:dyDescent="0.2">
      <c r="A5" s="1970" t="s">
        <v>555</v>
      </c>
      <c r="B5" s="1890" t="s">
        <v>556</v>
      </c>
      <c r="C5" s="1890" t="s">
        <v>557</v>
      </c>
      <c r="D5" s="1850" t="s">
        <v>558</v>
      </c>
      <c r="E5" s="1957"/>
      <c r="F5" s="1890" t="s">
        <v>559</v>
      </c>
      <c r="G5" s="1959" t="s">
        <v>560</v>
      </c>
      <c r="H5" s="1952" t="s">
        <v>561</v>
      </c>
    </row>
    <row r="6" spans="1:8" ht="24" x14ac:dyDescent="0.2">
      <c r="A6" s="1971"/>
      <c r="B6" s="1891"/>
      <c r="C6" s="1979"/>
      <c r="D6" s="283" t="s">
        <v>562</v>
      </c>
      <c r="E6" s="284" t="s">
        <v>66</v>
      </c>
      <c r="F6" s="1958"/>
      <c r="G6" s="1960"/>
      <c r="H6" s="1953"/>
    </row>
    <row r="7" spans="1:8" x14ac:dyDescent="0.2">
      <c r="A7" s="1904">
        <v>1</v>
      </c>
      <c r="B7" s="1850"/>
      <c r="C7" s="1850"/>
      <c r="D7" s="1850" t="s">
        <v>563</v>
      </c>
      <c r="E7" s="1850">
        <v>1</v>
      </c>
      <c r="F7" s="285" t="s">
        <v>564</v>
      </c>
      <c r="G7" s="286">
        <v>200</v>
      </c>
      <c r="H7" s="1935"/>
    </row>
    <row r="8" spans="1:8" ht="28.5" x14ac:dyDescent="0.2">
      <c r="A8" s="1910"/>
      <c r="B8" s="1870"/>
      <c r="C8" s="1892"/>
      <c r="D8" s="1929"/>
      <c r="E8" s="1861"/>
      <c r="F8" s="287" t="s">
        <v>565</v>
      </c>
      <c r="G8" s="288">
        <v>50</v>
      </c>
      <c r="H8" s="1950"/>
    </row>
    <row r="9" spans="1:8" ht="28.5" x14ac:dyDescent="0.2">
      <c r="A9" s="1908">
        <v>2</v>
      </c>
      <c r="B9" s="1843"/>
      <c r="C9" s="1843"/>
      <c r="D9" s="1927" t="s">
        <v>563</v>
      </c>
      <c r="E9" s="1843">
        <v>2</v>
      </c>
      <c r="F9" s="287" t="s">
        <v>566</v>
      </c>
      <c r="G9" s="288">
        <v>200</v>
      </c>
      <c r="H9" s="1932"/>
    </row>
    <row r="10" spans="1:8" ht="28.5" x14ac:dyDescent="0.2">
      <c r="A10" s="1909"/>
      <c r="B10" s="1871"/>
      <c r="C10" s="1972"/>
      <c r="D10" s="1928"/>
      <c r="E10" s="1867"/>
      <c r="F10" s="287" t="s">
        <v>567</v>
      </c>
      <c r="G10" s="288">
        <v>50</v>
      </c>
      <c r="H10" s="1947"/>
    </row>
    <row r="11" spans="1:8" x14ac:dyDescent="0.2">
      <c r="A11" s="1906">
        <v>3</v>
      </c>
      <c r="B11" s="1859"/>
      <c r="C11" s="1859"/>
      <c r="D11" s="1859" t="s">
        <v>563</v>
      </c>
      <c r="E11" s="1859">
        <v>3</v>
      </c>
      <c r="F11" s="289" t="s">
        <v>568</v>
      </c>
      <c r="G11" s="290">
        <v>200</v>
      </c>
      <c r="H11" s="1948"/>
    </row>
    <row r="12" spans="1:8" ht="28.5" x14ac:dyDescent="0.2">
      <c r="A12" s="1907"/>
      <c r="B12" s="1884"/>
      <c r="C12" s="1895"/>
      <c r="D12" s="1926"/>
      <c r="E12" s="1860"/>
      <c r="F12" s="291" t="s">
        <v>569</v>
      </c>
      <c r="G12" s="292">
        <v>50</v>
      </c>
      <c r="H12" s="1949"/>
    </row>
    <row r="13" spans="1:8" x14ac:dyDescent="0.2">
      <c r="A13" s="1904">
        <v>4</v>
      </c>
      <c r="B13" s="1850"/>
      <c r="C13" s="1850"/>
      <c r="D13" s="1850" t="s">
        <v>563</v>
      </c>
      <c r="E13" s="1850">
        <v>1</v>
      </c>
      <c r="F13" s="285" t="s">
        <v>564</v>
      </c>
      <c r="G13" s="286">
        <v>200</v>
      </c>
      <c r="H13" s="1935"/>
    </row>
    <row r="14" spans="1:8" ht="28.5" x14ac:dyDescent="0.2">
      <c r="A14" s="1968"/>
      <c r="B14" s="1872"/>
      <c r="C14" s="1899"/>
      <c r="D14" s="1925"/>
      <c r="E14" s="1851"/>
      <c r="F14" s="287" t="s">
        <v>565</v>
      </c>
      <c r="G14" s="288">
        <v>50</v>
      </c>
      <c r="H14" s="1955"/>
    </row>
    <row r="15" spans="1:8" ht="28.5" x14ac:dyDescent="0.2">
      <c r="A15" s="1908">
        <v>5</v>
      </c>
      <c r="B15" s="1843"/>
      <c r="C15" s="1843"/>
      <c r="D15" s="1843" t="s">
        <v>563</v>
      </c>
      <c r="E15" s="1843">
        <v>2</v>
      </c>
      <c r="F15" s="287" t="s">
        <v>566</v>
      </c>
      <c r="G15" s="288">
        <v>200</v>
      </c>
      <c r="H15" s="1932"/>
    </row>
    <row r="16" spans="1:8" ht="28.5" x14ac:dyDescent="0.2">
      <c r="A16" s="1964"/>
      <c r="B16" s="1885"/>
      <c r="C16" s="1974"/>
      <c r="D16" s="1924"/>
      <c r="E16" s="1869"/>
      <c r="F16" s="287" t="s">
        <v>567</v>
      </c>
      <c r="G16" s="288">
        <v>50</v>
      </c>
      <c r="H16" s="1954"/>
    </row>
    <row r="17" spans="1:8" x14ac:dyDescent="0.2">
      <c r="A17" s="1966">
        <v>6</v>
      </c>
      <c r="B17" s="1841"/>
      <c r="C17" s="1841"/>
      <c r="D17" s="1841" t="s">
        <v>563</v>
      </c>
      <c r="E17" s="1841">
        <v>3</v>
      </c>
      <c r="F17" s="287" t="s">
        <v>568</v>
      </c>
      <c r="G17" s="288">
        <v>200</v>
      </c>
      <c r="H17" s="1930"/>
    </row>
    <row r="18" spans="1:8" ht="28.5" x14ac:dyDescent="0.2">
      <c r="A18" s="1967"/>
      <c r="B18" s="1873"/>
      <c r="C18" s="1978"/>
      <c r="D18" s="1923"/>
      <c r="E18" s="1852"/>
      <c r="F18" s="291" t="s">
        <v>569</v>
      </c>
      <c r="G18" s="292">
        <v>50</v>
      </c>
      <c r="H18" s="1946"/>
    </row>
    <row r="19" spans="1:8" ht="87" customHeight="1" x14ac:dyDescent="0.2">
      <c r="A19" s="293"/>
      <c r="B19" s="293"/>
      <c r="C19" s="293"/>
      <c r="D19" s="293"/>
      <c r="E19" s="293"/>
      <c r="F19" s="294"/>
      <c r="G19" s="295"/>
      <c r="H19" s="293"/>
    </row>
    <row r="20" spans="1:8" x14ac:dyDescent="0.2">
      <c r="A20" s="1904">
        <v>7</v>
      </c>
      <c r="B20" s="1876"/>
      <c r="C20" s="1850" t="e">
        <f>'[1]Итоговый протокол'!$F$294</f>
        <v>#REF!</v>
      </c>
      <c r="D20" s="1850" t="s">
        <v>570</v>
      </c>
      <c r="E20" s="1850">
        <v>1</v>
      </c>
      <c r="F20" s="285" t="s">
        <v>564</v>
      </c>
      <c r="G20" s="286">
        <v>200</v>
      </c>
      <c r="H20" s="1935"/>
    </row>
    <row r="21" spans="1:8" ht="28.5" x14ac:dyDescent="0.2">
      <c r="A21" s="1905"/>
      <c r="B21" s="1886"/>
      <c r="C21" s="1894"/>
      <c r="D21" s="1922"/>
      <c r="E21" s="1868"/>
      <c r="F21" s="287" t="s">
        <v>565</v>
      </c>
      <c r="G21" s="288">
        <v>50</v>
      </c>
      <c r="H21" s="1945"/>
    </row>
    <row r="22" spans="1:8" x14ac:dyDescent="0.2">
      <c r="A22" s="1908">
        <v>8</v>
      </c>
      <c r="B22" s="1874"/>
      <c r="C22" s="1843" t="e">
        <f>'[1]Итоговый протокол'!$F$294</f>
        <v>#REF!</v>
      </c>
      <c r="D22" s="1843" t="s">
        <v>570</v>
      </c>
      <c r="E22" s="1843">
        <v>1</v>
      </c>
      <c r="F22" s="287" t="s">
        <v>564</v>
      </c>
      <c r="G22" s="288">
        <v>200</v>
      </c>
      <c r="H22" s="1932"/>
    </row>
    <row r="23" spans="1:8" ht="28.5" x14ac:dyDescent="0.2">
      <c r="A23" s="1911"/>
      <c r="B23" s="1875"/>
      <c r="C23" s="1898"/>
      <c r="D23" s="1921"/>
      <c r="E23" s="1853"/>
      <c r="F23" s="287" t="s">
        <v>565</v>
      </c>
      <c r="G23" s="288">
        <v>50</v>
      </c>
      <c r="H23" s="1944"/>
    </row>
    <row r="24" spans="1:8" x14ac:dyDescent="0.2">
      <c r="A24" s="1908">
        <f>A22+1</f>
        <v>9</v>
      </c>
      <c r="B24" s="1874"/>
      <c r="C24" s="1843" t="e">
        <f>'[1]Итоговый протокол'!$F$294</f>
        <v>#REF!</v>
      </c>
      <c r="D24" s="1843" t="s">
        <v>570</v>
      </c>
      <c r="E24" s="1843">
        <v>1</v>
      </c>
      <c r="F24" s="287" t="s">
        <v>564</v>
      </c>
      <c r="G24" s="288">
        <v>200</v>
      </c>
      <c r="H24" s="1932"/>
    </row>
    <row r="25" spans="1:8" ht="28.5" x14ac:dyDescent="0.2">
      <c r="A25" s="1965"/>
      <c r="B25" s="1888"/>
      <c r="C25" s="1973"/>
      <c r="D25" s="1920"/>
      <c r="E25" s="1866"/>
      <c r="F25" s="287" t="s">
        <v>565</v>
      </c>
      <c r="G25" s="288">
        <v>50</v>
      </c>
      <c r="H25" s="1943"/>
    </row>
    <row r="26" spans="1:8" x14ac:dyDescent="0.2">
      <c r="A26" s="1966">
        <f>A24+1</f>
        <v>10</v>
      </c>
      <c r="B26" s="1880"/>
      <c r="C26" s="1841" t="e">
        <f>'[1]Итоговый протокол'!$F$294</f>
        <v>#REF!</v>
      </c>
      <c r="D26" s="1841" t="s">
        <v>570</v>
      </c>
      <c r="E26" s="1841">
        <v>1</v>
      </c>
      <c r="F26" s="287" t="s">
        <v>564</v>
      </c>
      <c r="G26" s="288">
        <v>200</v>
      </c>
      <c r="H26" s="1930"/>
    </row>
    <row r="27" spans="1:8" ht="28.5" x14ac:dyDescent="0.2">
      <c r="A27" s="1969"/>
      <c r="B27" s="1881"/>
      <c r="C27" s="1977"/>
      <c r="D27" s="1919"/>
      <c r="E27" s="1854"/>
      <c r="F27" s="291" t="s">
        <v>565</v>
      </c>
      <c r="G27" s="292">
        <v>50</v>
      </c>
      <c r="H27" s="1942"/>
    </row>
    <row r="28" spans="1:8" ht="28.5" x14ac:dyDescent="0.2">
      <c r="A28" s="1904">
        <v>11</v>
      </c>
      <c r="B28" s="1876"/>
      <c r="C28" s="1850" t="e">
        <f>'[1]Итоговый протокол'!$F$300</f>
        <v>#REF!</v>
      </c>
      <c r="D28" s="1850" t="s">
        <v>570</v>
      </c>
      <c r="E28" s="1850">
        <v>2</v>
      </c>
      <c r="F28" s="285" t="s">
        <v>566</v>
      </c>
      <c r="G28" s="286">
        <v>200</v>
      </c>
      <c r="H28" s="1935"/>
    </row>
    <row r="29" spans="1:8" ht="28.5" x14ac:dyDescent="0.2">
      <c r="A29" s="1913"/>
      <c r="B29" s="1877"/>
      <c r="C29" s="1897"/>
      <c r="D29" s="1918"/>
      <c r="E29" s="1865"/>
      <c r="F29" s="287" t="s">
        <v>567</v>
      </c>
      <c r="G29" s="288">
        <v>50</v>
      </c>
      <c r="H29" s="1941"/>
    </row>
    <row r="30" spans="1:8" ht="28.5" x14ac:dyDescent="0.2">
      <c r="A30" s="1908">
        <v>12</v>
      </c>
      <c r="B30" s="1874"/>
      <c r="C30" s="1843" t="e">
        <f>'[1]Итоговый протокол'!$F$300</f>
        <v>#REF!</v>
      </c>
      <c r="D30" s="1843" t="s">
        <v>570</v>
      </c>
      <c r="E30" s="1843">
        <v>2</v>
      </c>
      <c r="F30" s="287" t="s">
        <v>566</v>
      </c>
      <c r="G30" s="288">
        <v>200</v>
      </c>
      <c r="H30" s="1932"/>
    </row>
    <row r="31" spans="1:8" ht="28.5" x14ac:dyDescent="0.2">
      <c r="A31" s="1912"/>
      <c r="B31" s="1887"/>
      <c r="C31" s="1975"/>
      <c r="D31" s="1917"/>
      <c r="E31" s="1849"/>
      <c r="F31" s="287" t="s">
        <v>567</v>
      </c>
      <c r="G31" s="288">
        <v>50</v>
      </c>
      <c r="H31" s="1940"/>
    </row>
    <row r="32" spans="1:8" ht="28.5" x14ac:dyDescent="0.2">
      <c r="A32" s="1908">
        <f>A30+1</f>
        <v>13</v>
      </c>
      <c r="B32" s="1874"/>
      <c r="C32" s="1843" t="e">
        <f>'[1]Итоговый протокол'!$F$300</f>
        <v>#REF!</v>
      </c>
      <c r="D32" s="1843" t="s">
        <v>570</v>
      </c>
      <c r="E32" s="1843">
        <v>2</v>
      </c>
      <c r="F32" s="287" t="s">
        <v>566</v>
      </c>
      <c r="G32" s="288">
        <v>200</v>
      </c>
      <c r="H32" s="1932"/>
    </row>
    <row r="33" spans="1:8" ht="28.5" x14ac:dyDescent="0.2">
      <c r="A33" s="1961"/>
      <c r="B33" s="1889"/>
      <c r="C33" s="1976"/>
      <c r="D33" s="1916"/>
      <c r="E33" s="1864"/>
      <c r="F33" s="287" t="s">
        <v>567</v>
      </c>
      <c r="G33" s="288">
        <v>50</v>
      </c>
      <c r="H33" s="1939"/>
    </row>
    <row r="34" spans="1:8" ht="28.5" x14ac:dyDescent="0.2">
      <c r="A34" s="1962">
        <f>A32+1</f>
        <v>14</v>
      </c>
      <c r="B34" s="1878"/>
      <c r="C34" s="1857" t="e">
        <f>'[1]Итоговый протокол'!$F$300</f>
        <v>#REF!</v>
      </c>
      <c r="D34" s="1857" t="s">
        <v>570</v>
      </c>
      <c r="E34" s="1857">
        <v>2</v>
      </c>
      <c r="F34" s="287" t="s">
        <v>566</v>
      </c>
      <c r="G34" s="288">
        <v>200</v>
      </c>
      <c r="H34" s="1937"/>
    </row>
    <row r="35" spans="1:8" ht="28.5" x14ac:dyDescent="0.2">
      <c r="A35" s="1963"/>
      <c r="B35" s="1879"/>
      <c r="C35" s="1900"/>
      <c r="D35" s="1915"/>
      <c r="E35" s="1858"/>
      <c r="F35" s="296" t="s">
        <v>567</v>
      </c>
      <c r="G35" s="297">
        <v>50</v>
      </c>
      <c r="H35" s="1938"/>
    </row>
    <row r="36" spans="1:8" x14ac:dyDescent="0.2">
      <c r="A36" s="1901">
        <v>15</v>
      </c>
      <c r="B36" s="1882"/>
      <c r="C36" s="1850" t="e">
        <f>'[1]Итоговый протокол'!$F$304</f>
        <v>#REF!</v>
      </c>
      <c r="D36" s="1850" t="s">
        <v>570</v>
      </c>
      <c r="E36" s="1850">
        <v>3</v>
      </c>
      <c r="F36" s="285" t="s">
        <v>568</v>
      </c>
      <c r="G36" s="286">
        <v>200</v>
      </c>
      <c r="H36" s="1935"/>
    </row>
    <row r="37" spans="1:8" ht="28.5" x14ac:dyDescent="0.2">
      <c r="A37" s="1902"/>
      <c r="B37" s="1883"/>
      <c r="C37" s="1896"/>
      <c r="D37" s="1914"/>
      <c r="E37" s="1863"/>
      <c r="F37" s="287" t="s">
        <v>569</v>
      </c>
      <c r="G37" s="288">
        <v>50</v>
      </c>
      <c r="H37" s="1936"/>
    </row>
    <row r="38" spans="1:8" x14ac:dyDescent="0.2">
      <c r="A38" s="1837">
        <v>16</v>
      </c>
      <c r="B38" s="1839"/>
      <c r="C38" s="1843" t="e">
        <f>'[1]Итоговый протокол'!$F$304</f>
        <v>#REF!</v>
      </c>
      <c r="D38" s="1843" t="s">
        <v>570</v>
      </c>
      <c r="E38" s="1843">
        <v>3</v>
      </c>
      <c r="F38" s="287" t="s">
        <v>568</v>
      </c>
      <c r="G38" s="288">
        <v>200</v>
      </c>
      <c r="H38" s="1932"/>
    </row>
    <row r="39" spans="1:8" ht="28.5" x14ac:dyDescent="0.2">
      <c r="A39" s="1903"/>
      <c r="B39" s="1845"/>
      <c r="C39" s="1893"/>
      <c r="D39" s="1848"/>
      <c r="E39" s="1856"/>
      <c r="F39" s="287" t="s">
        <v>569</v>
      </c>
      <c r="G39" s="288">
        <v>50</v>
      </c>
      <c r="H39" s="1934"/>
    </row>
    <row r="40" spans="1:8" x14ac:dyDescent="0.2">
      <c r="A40" s="1837">
        <f>A38+1</f>
        <v>17</v>
      </c>
      <c r="B40" s="1839"/>
      <c r="C40" s="1843" t="e">
        <f>'[1]Итоговый протокол'!$F$304</f>
        <v>#REF!</v>
      </c>
      <c r="D40" s="1843" t="s">
        <v>570</v>
      </c>
      <c r="E40" s="1843">
        <v>3</v>
      </c>
      <c r="F40" s="287" t="s">
        <v>568</v>
      </c>
      <c r="G40" s="288">
        <v>200</v>
      </c>
      <c r="H40" s="1932"/>
    </row>
    <row r="41" spans="1:8" ht="28.5" x14ac:dyDescent="0.2">
      <c r="A41" s="1838"/>
      <c r="B41" s="1840"/>
      <c r="C41" s="1844"/>
      <c r="D41" s="1847"/>
      <c r="E41" s="1862"/>
      <c r="F41" s="287" t="s">
        <v>569</v>
      </c>
      <c r="G41" s="288">
        <v>50</v>
      </c>
      <c r="H41" s="1933"/>
    </row>
    <row r="42" spans="1:8" x14ac:dyDescent="0.2">
      <c r="A42" s="1833">
        <f>A40+1</f>
        <v>18</v>
      </c>
      <c r="B42" s="1835"/>
      <c r="C42" s="1841" t="e">
        <f>'[1]Итоговый протокол'!$F$304</f>
        <v>#REF!</v>
      </c>
      <c r="D42" s="1841" t="s">
        <v>570</v>
      </c>
      <c r="E42" s="1841">
        <v>3</v>
      </c>
      <c r="F42" s="287" t="s">
        <v>568</v>
      </c>
      <c r="G42" s="288">
        <v>200</v>
      </c>
      <c r="H42" s="1930"/>
    </row>
    <row r="43" spans="1:8" ht="28.5" x14ac:dyDescent="0.2">
      <c r="A43" s="1834"/>
      <c r="B43" s="1836"/>
      <c r="C43" s="1842"/>
      <c r="D43" s="1846"/>
      <c r="E43" s="1855"/>
      <c r="F43" s="291" t="s">
        <v>569</v>
      </c>
      <c r="G43" s="292">
        <v>50</v>
      </c>
      <c r="H43" s="1931"/>
    </row>
    <row r="44" spans="1:8" x14ac:dyDescent="0.2">
      <c r="G44" s="298"/>
    </row>
    <row r="45" spans="1:8" x14ac:dyDescent="0.2">
      <c r="F45" s="280" t="s">
        <v>571</v>
      </c>
      <c r="G45" s="298">
        <f>SUM(G7:G43)</f>
        <v>4500</v>
      </c>
    </row>
  </sheetData>
  <mergeCells count="118">
    <mergeCell ref="F1:H1"/>
    <mergeCell ref="H5:H6"/>
    <mergeCell ref="H15:H16"/>
    <mergeCell ref="H13:H14"/>
    <mergeCell ref="F2:H2"/>
    <mergeCell ref="A4:H4"/>
    <mergeCell ref="D5:E5"/>
    <mergeCell ref="F5:F6"/>
    <mergeCell ref="G5:G6"/>
    <mergeCell ref="A15:A16"/>
    <mergeCell ref="A13:A14"/>
    <mergeCell ref="A5:A6"/>
    <mergeCell ref="C9:C10"/>
    <mergeCell ref="C15:C16"/>
    <mergeCell ref="C5:C6"/>
    <mergeCell ref="D17:D18"/>
    <mergeCell ref="D15:D16"/>
    <mergeCell ref="D13:D14"/>
    <mergeCell ref="D11:D12"/>
    <mergeCell ref="D9:D10"/>
    <mergeCell ref="D7:D8"/>
    <mergeCell ref="H42:H43"/>
    <mergeCell ref="H40:H41"/>
    <mergeCell ref="H38:H39"/>
    <mergeCell ref="H36:H37"/>
    <mergeCell ref="H34:H35"/>
    <mergeCell ref="H32:H33"/>
    <mergeCell ref="H30:H31"/>
    <mergeCell ref="H28:H29"/>
    <mergeCell ref="H26:H27"/>
    <mergeCell ref="H24:H25"/>
    <mergeCell ref="H22:H23"/>
    <mergeCell ref="H20:H21"/>
    <mergeCell ref="H17:H18"/>
    <mergeCell ref="H9:H10"/>
    <mergeCell ref="H11:H12"/>
    <mergeCell ref="H7:H8"/>
    <mergeCell ref="D36:D37"/>
    <mergeCell ref="D34:D35"/>
    <mergeCell ref="D32:D33"/>
    <mergeCell ref="D30:D31"/>
    <mergeCell ref="D28:D29"/>
    <mergeCell ref="D26:D27"/>
    <mergeCell ref="D24:D25"/>
    <mergeCell ref="D22:D23"/>
    <mergeCell ref="D20:D21"/>
    <mergeCell ref="A36:A37"/>
    <mergeCell ref="A38:A39"/>
    <mergeCell ref="A20:A21"/>
    <mergeCell ref="A11:A12"/>
    <mergeCell ref="A9:A10"/>
    <mergeCell ref="A7:A8"/>
    <mergeCell ref="A22:A23"/>
    <mergeCell ref="A30:A31"/>
    <mergeCell ref="A28:A29"/>
    <mergeCell ref="A32:A33"/>
    <mergeCell ref="A34:A35"/>
    <mergeCell ref="A24:A25"/>
    <mergeCell ref="A17:A18"/>
    <mergeCell ref="A26:A27"/>
    <mergeCell ref="B5:B6"/>
    <mergeCell ref="C7:C8"/>
    <mergeCell ref="C38:C39"/>
    <mergeCell ref="C20:C21"/>
    <mergeCell ref="C11:C12"/>
    <mergeCell ref="C36:C37"/>
    <mergeCell ref="C28:C29"/>
    <mergeCell ref="C22:C23"/>
    <mergeCell ref="C13:C14"/>
    <mergeCell ref="C34:C35"/>
    <mergeCell ref="C24:C25"/>
    <mergeCell ref="C30:C31"/>
    <mergeCell ref="C32:C33"/>
    <mergeCell ref="C26:C27"/>
    <mergeCell ref="C17:C18"/>
    <mergeCell ref="B7:B8"/>
    <mergeCell ref="B9:B10"/>
    <mergeCell ref="B13:B14"/>
    <mergeCell ref="B17:B18"/>
    <mergeCell ref="B22:B23"/>
    <mergeCell ref="B28:B29"/>
    <mergeCell ref="B34:B35"/>
    <mergeCell ref="B26:B27"/>
    <mergeCell ref="B36:B37"/>
    <mergeCell ref="B11:B12"/>
    <mergeCell ref="B15:B16"/>
    <mergeCell ref="B20:B21"/>
    <mergeCell ref="B30:B31"/>
    <mergeCell ref="B24:B25"/>
    <mergeCell ref="B32:B33"/>
    <mergeCell ref="E7:E8"/>
    <mergeCell ref="E40:E41"/>
    <mergeCell ref="E36:E37"/>
    <mergeCell ref="E32:E33"/>
    <mergeCell ref="E28:E29"/>
    <mergeCell ref="E24:E25"/>
    <mergeCell ref="E9:E10"/>
    <mergeCell ref="E20:E21"/>
    <mergeCell ref="E15:E16"/>
    <mergeCell ref="E30:E31"/>
    <mergeCell ref="E13:E14"/>
    <mergeCell ref="E17:E18"/>
    <mergeCell ref="E22:E23"/>
    <mergeCell ref="E26:E27"/>
    <mergeCell ref="E42:E43"/>
    <mergeCell ref="E38:E39"/>
    <mergeCell ref="E34:E35"/>
    <mergeCell ref="E11:E12"/>
    <mergeCell ref="A42:A43"/>
    <mergeCell ref="B42:B43"/>
    <mergeCell ref="A40:A41"/>
    <mergeCell ref="B40:B41"/>
    <mergeCell ref="C42:C43"/>
    <mergeCell ref="C40:C41"/>
    <mergeCell ref="B38:B39"/>
    <mergeCell ref="D42:D43"/>
    <mergeCell ref="D40:D41"/>
    <mergeCell ref="D38:D39"/>
  </mergeCells>
  <pageMargins left="0.35433068871498108" right="0.35433068871498108" top="0.59055113792419434" bottom="0.35433068871498108" header="0" footer="0"/>
  <pageSetup paperSize="9" scale="90" orientation="landscape"/>
  <headerFooter>
    <oddFooter>&amp;R&amp;11&amp;"Calibri,Regular"Стр. &amp;P из &amp;N&amp;12&amp;"-,Regular"</oddFooter>
  </headerFooter>
  <rowBreaks count="1" manualBreakCount="1">
    <brk id="1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7"/>
  <sheetViews>
    <sheetView workbookViewId="0"/>
  </sheetViews>
  <sheetFormatPr defaultColWidth="9.140625" defaultRowHeight="15" x14ac:dyDescent="0.25"/>
  <cols>
    <col min="1" max="1" width="2.7109375" style="46" customWidth="1"/>
    <col min="2" max="2" width="6.5703125" style="46" customWidth="1"/>
    <col min="3" max="3" width="11" style="46" customWidth="1"/>
    <col min="4" max="4" width="11.7109375" style="46" customWidth="1"/>
    <col min="5" max="5" width="6.28515625" style="46" customWidth="1"/>
    <col min="6" max="6" width="8.5703125" style="46" customWidth="1"/>
    <col min="7" max="7" width="4.42578125" style="46" customWidth="1"/>
    <col min="8" max="8" width="11" style="46" customWidth="1"/>
    <col min="9" max="10" width="2.7109375" style="46" customWidth="1"/>
    <col min="11" max="11" width="4.7109375" style="46" customWidth="1"/>
    <col min="12" max="12" width="2.140625" style="46" customWidth="1"/>
    <col min="13" max="13" width="5.140625" style="46" customWidth="1"/>
    <col min="14" max="14" width="2" style="46" bestFit="1" customWidth="1"/>
    <col min="15" max="15" width="4.85546875" style="46" bestFit="1" customWidth="1"/>
    <col min="16" max="16" width="2" style="46" bestFit="1" customWidth="1"/>
    <col min="17" max="17" width="6.140625" style="46" bestFit="1" customWidth="1"/>
    <col min="18" max="18" width="2.140625" style="46" customWidth="1"/>
    <col min="19" max="19" width="6.140625" style="46" bestFit="1" customWidth="1"/>
    <col min="20" max="20" width="2.28515625" style="46" customWidth="1"/>
    <col min="21" max="21" width="7.5703125" style="46" bestFit="1" customWidth="1"/>
    <col min="22" max="22" width="2" style="46" customWidth="1"/>
    <col min="23" max="23" width="7" style="46" bestFit="1" customWidth="1"/>
    <col min="24" max="24" width="2" style="46" bestFit="1" customWidth="1"/>
    <col min="25" max="25" width="7" style="46" bestFit="1" customWidth="1"/>
    <col min="26" max="26" width="2.42578125" style="46" customWidth="1"/>
    <col min="27" max="27" width="5.85546875" style="46" customWidth="1"/>
    <col min="28" max="28" width="2.28515625" style="46" customWidth="1"/>
    <col min="29" max="29" width="5.85546875" style="46" customWidth="1"/>
    <col min="30" max="30" width="2.42578125" style="46" customWidth="1"/>
    <col min="31" max="31" width="5.85546875" style="46" customWidth="1"/>
    <col min="32" max="32" width="2.42578125" style="46" customWidth="1"/>
    <col min="33" max="33" width="5.85546875" style="46" customWidth="1"/>
    <col min="34" max="34" width="2" style="46" bestFit="1" customWidth="1"/>
    <col min="35" max="35" width="6.42578125" style="46" customWidth="1"/>
    <col min="36" max="36" width="2.140625" style="46" customWidth="1"/>
    <col min="37" max="37" width="5.85546875" style="46" customWidth="1"/>
    <col min="38" max="38" width="2" style="46" bestFit="1" customWidth="1"/>
    <col min="39" max="39" width="5.85546875" style="46" customWidth="1"/>
    <col min="40" max="40" width="2" style="46" bestFit="1" customWidth="1"/>
    <col min="41" max="41" width="5.85546875" style="46" customWidth="1"/>
    <col min="42" max="42" width="2" style="46" bestFit="1" customWidth="1"/>
    <col min="43" max="43" width="6.28515625" style="46" customWidth="1"/>
    <col min="44" max="44" width="2.5703125" style="46" customWidth="1"/>
    <col min="45" max="45" width="7.140625" style="46" customWidth="1"/>
    <col min="46" max="46" width="2.7109375" style="46" customWidth="1"/>
    <col min="47" max="47" width="6.140625" style="46" customWidth="1"/>
    <col min="48" max="48" width="9.140625" style="46" bestFit="1" customWidth="1"/>
    <col min="49" max="16384" width="9.140625" style="46"/>
  </cols>
  <sheetData>
    <row r="1" spans="1:47" ht="19.5" x14ac:dyDescent="0.25">
      <c r="A1" s="39"/>
      <c r="B1" s="299" t="s">
        <v>572</v>
      </c>
      <c r="C1" s="87"/>
      <c r="D1" s="39"/>
      <c r="E1" s="96"/>
      <c r="F1" s="96"/>
      <c r="G1" s="87"/>
      <c r="H1" s="87"/>
      <c r="I1" s="87"/>
      <c r="J1" s="87"/>
      <c r="K1" s="87"/>
      <c r="L1" s="112"/>
      <c r="M1" s="112"/>
      <c r="N1" s="112"/>
      <c r="O1" s="112"/>
      <c r="P1" s="194"/>
      <c r="Q1" s="194"/>
      <c r="R1" s="194"/>
      <c r="S1" s="194"/>
      <c r="T1" s="195"/>
      <c r="U1" s="195"/>
      <c r="V1" s="195"/>
      <c r="W1" s="195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95"/>
      <c r="AL1" s="202"/>
      <c r="AM1" s="195"/>
      <c r="AN1" s="202"/>
      <c r="AO1" s="195"/>
      <c r="AP1" s="96"/>
      <c r="AQ1" s="96"/>
      <c r="AR1" s="96"/>
    </row>
    <row r="2" spans="1:47" s="300" customFormat="1" x14ac:dyDescent="0.25">
      <c r="A2" s="301"/>
      <c r="B2" s="302" t="s">
        <v>573</v>
      </c>
      <c r="C2" s="302"/>
      <c r="D2" s="301"/>
      <c r="E2" s="303"/>
      <c r="F2" s="303"/>
      <c r="G2" s="302"/>
      <c r="H2" s="302"/>
      <c r="I2" s="302"/>
      <c r="J2" s="302"/>
      <c r="K2" s="302"/>
      <c r="L2" s="304"/>
      <c r="M2" s="304"/>
      <c r="N2" s="304"/>
      <c r="O2" s="304"/>
      <c r="P2" s="305"/>
      <c r="Q2" s="305"/>
      <c r="R2" s="305"/>
      <c r="S2" s="305"/>
      <c r="T2" s="306"/>
      <c r="U2" s="306"/>
      <c r="V2" s="306"/>
      <c r="W2" s="306"/>
      <c r="X2" s="304"/>
      <c r="Y2" s="304"/>
      <c r="Z2" s="304"/>
      <c r="AA2" s="304"/>
      <c r="AB2" s="304"/>
      <c r="AC2" s="304"/>
      <c r="AD2" s="304"/>
      <c r="AE2" s="304"/>
      <c r="AF2" s="307"/>
      <c r="AG2" s="307"/>
      <c r="AH2" s="307"/>
      <c r="AI2" s="307"/>
      <c r="AJ2" s="307"/>
      <c r="AK2" s="308"/>
      <c r="AL2" s="309"/>
      <c r="AM2" s="308"/>
      <c r="AN2" s="309"/>
      <c r="AO2" s="308"/>
      <c r="AP2" s="310"/>
      <c r="AQ2" s="311"/>
      <c r="AR2" s="311"/>
    </row>
    <row r="3" spans="1:47" s="300" customFormat="1" x14ac:dyDescent="0.25">
      <c r="A3" s="301"/>
      <c r="B3" s="302" t="s">
        <v>574</v>
      </c>
      <c r="C3" s="302"/>
      <c r="D3" s="301"/>
      <c r="E3" s="303"/>
      <c r="F3" s="303"/>
      <c r="G3" s="302"/>
      <c r="H3" s="302"/>
      <c r="I3" s="302"/>
      <c r="J3" s="302"/>
      <c r="K3" s="302"/>
      <c r="L3" s="304"/>
      <c r="M3" s="304"/>
      <c r="N3" s="304"/>
      <c r="O3" s="304"/>
      <c r="P3" s="305"/>
      <c r="Q3" s="305"/>
      <c r="R3" s="305"/>
      <c r="S3" s="305"/>
      <c r="T3" s="306"/>
      <c r="U3" s="306"/>
      <c r="V3" s="306"/>
      <c r="W3" s="306"/>
      <c r="X3" s="304"/>
      <c r="Y3" s="304"/>
      <c r="Z3" s="304"/>
      <c r="AA3" s="304"/>
      <c r="AB3" s="304"/>
      <c r="AC3" s="304"/>
      <c r="AD3" s="304"/>
      <c r="AE3" s="304"/>
      <c r="AF3" s="307"/>
      <c r="AG3" s="307"/>
      <c r="AH3" s="307"/>
      <c r="AI3" s="307"/>
      <c r="AJ3" s="307"/>
      <c r="AK3" s="308"/>
      <c r="AL3" s="309"/>
      <c r="AM3" s="308"/>
      <c r="AN3" s="309"/>
      <c r="AO3" s="308"/>
      <c r="AP3" s="310"/>
      <c r="AQ3" s="311"/>
      <c r="AR3" s="311"/>
    </row>
    <row r="4" spans="1:47" s="300" customFormat="1" x14ac:dyDescent="0.25">
      <c r="A4" s="301"/>
      <c r="B4" s="2071" t="s">
        <v>575</v>
      </c>
      <c r="C4" s="2071"/>
      <c r="D4" s="2071"/>
      <c r="E4" s="2071"/>
      <c r="F4" s="2071"/>
      <c r="G4" s="2071"/>
      <c r="H4" s="2071"/>
      <c r="I4" s="2071"/>
      <c r="J4" s="2071"/>
      <c r="K4" s="2071"/>
      <c r="L4" s="2071"/>
      <c r="M4" s="2071"/>
      <c r="N4" s="2071"/>
      <c r="O4" s="2071"/>
      <c r="P4" s="2071"/>
      <c r="Q4" s="2071"/>
      <c r="R4" s="2071"/>
      <c r="S4" s="2071"/>
      <c r="T4" s="2071"/>
      <c r="U4" s="2071"/>
      <c r="V4" s="2071"/>
      <c r="W4" s="2071"/>
      <c r="X4" s="2071"/>
      <c r="Y4" s="2071"/>
      <c r="Z4" s="2071"/>
      <c r="AA4" s="2071"/>
      <c r="AB4" s="2071"/>
      <c r="AC4" s="2071"/>
      <c r="AD4" s="304"/>
      <c r="AE4" s="304"/>
      <c r="AF4" s="307"/>
      <c r="AG4" s="307"/>
      <c r="AH4" s="307"/>
      <c r="AI4" s="307"/>
      <c r="AJ4" s="307"/>
      <c r="AK4" s="308"/>
      <c r="AL4" s="309"/>
      <c r="AM4" s="308"/>
      <c r="AN4" s="309"/>
      <c r="AO4" s="308"/>
      <c r="AP4" s="310"/>
      <c r="AQ4" s="311"/>
      <c r="AR4" s="311"/>
    </row>
    <row r="5" spans="1:47" s="300" customFormat="1" ht="27" customHeight="1" x14ac:dyDescent="0.25">
      <c r="A5" s="301"/>
      <c r="B5" s="2071"/>
      <c r="C5" s="2071"/>
      <c r="D5" s="2071"/>
      <c r="E5" s="2071"/>
      <c r="F5" s="2071"/>
      <c r="G5" s="2071"/>
      <c r="H5" s="2071"/>
      <c r="I5" s="2071"/>
      <c r="J5" s="2071"/>
      <c r="K5" s="2071"/>
      <c r="L5" s="2071"/>
      <c r="M5" s="2071"/>
      <c r="N5" s="2071"/>
      <c r="O5" s="2071"/>
      <c r="P5" s="2071"/>
      <c r="Q5" s="2071"/>
      <c r="R5" s="2071"/>
      <c r="S5" s="2071"/>
      <c r="T5" s="2071"/>
      <c r="U5" s="2071"/>
      <c r="V5" s="2071"/>
      <c r="W5" s="2071"/>
      <c r="X5" s="2071"/>
      <c r="Y5" s="2071"/>
      <c r="Z5" s="2071"/>
      <c r="AA5" s="2071"/>
      <c r="AB5" s="2071"/>
      <c r="AC5" s="2071"/>
      <c r="AD5" s="304"/>
      <c r="AE5" s="304"/>
      <c r="AF5" s="307"/>
      <c r="AG5" s="307"/>
      <c r="AH5" s="307"/>
      <c r="AI5" s="307"/>
      <c r="AJ5" s="307"/>
      <c r="AK5" s="308"/>
      <c r="AL5" s="309"/>
      <c r="AM5" s="308"/>
      <c r="AN5" s="309"/>
      <c r="AO5" s="308"/>
      <c r="AP5" s="310"/>
      <c r="AQ5" s="311"/>
      <c r="AR5" s="311"/>
    </row>
    <row r="6" spans="1:47" s="300" customFormat="1" x14ac:dyDescent="0.25">
      <c r="A6" s="301"/>
      <c r="B6" s="302" t="s">
        <v>576</v>
      </c>
      <c r="C6" s="302"/>
      <c r="D6" s="301"/>
      <c r="E6" s="303"/>
      <c r="F6" s="303"/>
      <c r="G6" s="302"/>
      <c r="H6" s="302"/>
      <c r="I6" s="302"/>
      <c r="J6" s="302"/>
      <c r="K6" s="302"/>
      <c r="L6" s="304"/>
      <c r="M6" s="304"/>
      <c r="N6" s="304"/>
      <c r="O6" s="304"/>
      <c r="P6" s="305"/>
      <c r="Q6" s="305"/>
      <c r="R6" s="305"/>
      <c r="S6" s="305"/>
      <c r="T6" s="306"/>
      <c r="U6" s="306"/>
      <c r="V6" s="306"/>
      <c r="W6" s="306"/>
      <c r="X6" s="304"/>
      <c r="Y6" s="304"/>
      <c r="Z6" s="304"/>
      <c r="AA6" s="304"/>
      <c r="AB6" s="304"/>
      <c r="AC6" s="304"/>
      <c r="AD6" s="304"/>
      <c r="AE6" s="304"/>
      <c r="AF6" s="307"/>
      <c r="AG6" s="307"/>
      <c r="AH6" s="307"/>
      <c r="AI6" s="307"/>
      <c r="AJ6" s="307"/>
      <c r="AK6" s="308"/>
      <c r="AL6" s="309"/>
      <c r="AM6" s="308"/>
      <c r="AN6" s="309"/>
      <c r="AO6" s="308"/>
      <c r="AP6" s="310"/>
      <c r="AQ6" s="311"/>
      <c r="AR6" s="311"/>
    </row>
    <row r="7" spans="1:47" s="300" customFormat="1" x14ac:dyDescent="0.25">
      <c r="A7" s="301"/>
      <c r="B7" s="2071" t="s">
        <v>577</v>
      </c>
      <c r="C7" s="2071"/>
      <c r="D7" s="2071"/>
      <c r="E7" s="2071"/>
      <c r="F7" s="2071"/>
      <c r="G7" s="2071"/>
      <c r="H7" s="2071"/>
      <c r="I7" s="2071"/>
      <c r="J7" s="2071"/>
      <c r="K7" s="2071"/>
      <c r="L7" s="2071"/>
      <c r="M7" s="2071"/>
      <c r="N7" s="2071"/>
      <c r="O7" s="2071"/>
      <c r="P7" s="2071"/>
      <c r="Q7" s="2071"/>
      <c r="R7" s="2071"/>
      <c r="S7" s="2071"/>
      <c r="T7" s="2071"/>
      <c r="U7" s="2071"/>
      <c r="V7" s="2071"/>
      <c r="W7" s="2071"/>
      <c r="X7" s="2071"/>
      <c r="Y7" s="2071"/>
      <c r="Z7" s="2071"/>
      <c r="AA7" s="2071"/>
      <c r="AB7" s="2071"/>
      <c r="AC7" s="2071"/>
      <c r="AD7" s="304"/>
      <c r="AE7" s="304"/>
      <c r="AF7" s="307"/>
      <c r="AG7" s="307"/>
      <c r="AH7" s="307"/>
      <c r="AI7" s="307"/>
      <c r="AJ7" s="307"/>
      <c r="AK7" s="308"/>
      <c r="AL7" s="309"/>
      <c r="AM7" s="308"/>
      <c r="AN7" s="309"/>
      <c r="AO7" s="308"/>
      <c r="AP7" s="310"/>
      <c r="AQ7" s="311"/>
      <c r="AR7" s="311"/>
    </row>
    <row r="8" spans="1:47" s="300" customFormat="1" ht="35.25" customHeight="1" x14ac:dyDescent="0.25">
      <c r="A8" s="301"/>
      <c r="B8" s="2071"/>
      <c r="C8" s="2071"/>
      <c r="D8" s="2071"/>
      <c r="E8" s="2071"/>
      <c r="F8" s="2071"/>
      <c r="G8" s="2071"/>
      <c r="H8" s="2071"/>
      <c r="I8" s="2071"/>
      <c r="J8" s="2071"/>
      <c r="K8" s="2071"/>
      <c r="L8" s="2071"/>
      <c r="M8" s="2071"/>
      <c r="N8" s="2071"/>
      <c r="O8" s="2071"/>
      <c r="P8" s="2071"/>
      <c r="Q8" s="2071"/>
      <c r="R8" s="2071"/>
      <c r="S8" s="2071"/>
      <c r="T8" s="2071"/>
      <c r="U8" s="2071"/>
      <c r="V8" s="2071"/>
      <c r="W8" s="2071"/>
      <c r="X8" s="2071"/>
      <c r="Y8" s="2071"/>
      <c r="Z8" s="2071"/>
      <c r="AA8" s="2071"/>
      <c r="AB8" s="2071"/>
      <c r="AC8" s="2071"/>
      <c r="AD8" s="304"/>
      <c r="AE8" s="304"/>
      <c r="AF8" s="307"/>
      <c r="AG8" s="307"/>
      <c r="AH8" s="307"/>
      <c r="AI8" s="307"/>
      <c r="AJ8" s="307"/>
      <c r="AK8" s="308"/>
      <c r="AL8" s="309"/>
      <c r="AM8" s="308"/>
      <c r="AN8" s="309"/>
      <c r="AO8" s="308"/>
      <c r="AP8" s="310"/>
      <c r="AQ8" s="311"/>
      <c r="AR8" s="311"/>
    </row>
    <row r="9" spans="1:47" ht="12.75" customHeight="1" x14ac:dyDescent="0.25">
      <c r="A9" s="39"/>
      <c r="B9" s="87"/>
      <c r="C9" s="87"/>
      <c r="D9" s="39"/>
      <c r="F9" s="96"/>
      <c r="G9" s="87"/>
      <c r="H9" s="87"/>
      <c r="I9" s="87"/>
      <c r="J9" s="87"/>
      <c r="K9" s="87"/>
      <c r="L9" s="112"/>
      <c r="M9" s="112"/>
      <c r="N9" s="112"/>
      <c r="O9" s="112"/>
      <c r="P9" s="194"/>
      <c r="Q9" s="194"/>
      <c r="R9" s="194"/>
      <c r="S9" s="194"/>
      <c r="T9" s="195"/>
      <c r="U9" s="195"/>
      <c r="V9" s="195"/>
      <c r="W9" s="195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202"/>
      <c r="AN9" s="195"/>
      <c r="AO9" s="202"/>
      <c r="AP9" s="195"/>
      <c r="AQ9" s="202"/>
      <c r="AR9" s="195"/>
      <c r="AS9" s="96"/>
      <c r="AT9" s="96"/>
      <c r="AU9" s="96"/>
    </row>
    <row r="10" spans="1:47" ht="15.75" customHeight="1" x14ac:dyDescent="0.25">
      <c r="A10" s="313"/>
      <c r="B10" s="314" t="s">
        <v>578</v>
      </c>
      <c r="C10" s="315"/>
      <c r="D10" s="315"/>
      <c r="E10" s="316"/>
      <c r="F10" s="317"/>
      <c r="G10" s="315"/>
      <c r="H10" s="2072" t="s">
        <v>579</v>
      </c>
      <c r="I10" s="2073"/>
      <c r="J10" s="2074"/>
      <c r="K10" s="2075"/>
      <c r="L10" s="2076"/>
      <c r="M10" s="2077"/>
      <c r="N10" s="2078"/>
      <c r="O10" s="2079"/>
      <c r="P10" s="2018" t="s">
        <v>246</v>
      </c>
      <c r="Q10" s="2080"/>
      <c r="R10" s="2081"/>
      <c r="S10" s="2082"/>
      <c r="T10" s="2083"/>
      <c r="U10" s="2028" t="s">
        <v>580</v>
      </c>
      <c r="V10" s="2052"/>
      <c r="W10" s="2053"/>
      <c r="X10" s="2054"/>
      <c r="Y10" s="2055"/>
      <c r="Z10" s="2056"/>
      <c r="AA10" s="2057"/>
      <c r="AB10" s="2058"/>
      <c r="AC10" s="2059"/>
      <c r="AD10" s="1987" t="s">
        <v>581</v>
      </c>
      <c r="AE10" s="1988"/>
      <c r="AF10" s="1989"/>
      <c r="AG10" s="1990"/>
      <c r="AH10" s="1991"/>
      <c r="AI10" s="1992"/>
      <c r="AJ10" s="1993"/>
      <c r="AK10" s="1994"/>
      <c r="AL10" s="1995"/>
      <c r="AM10" s="1996"/>
      <c r="AN10" s="1997"/>
      <c r="AO10" s="1998"/>
      <c r="AP10" s="1999"/>
      <c r="AQ10" s="318"/>
      <c r="AR10" s="96"/>
      <c r="AS10" s="96"/>
      <c r="AT10" s="96"/>
    </row>
    <row r="11" spans="1:47" ht="18" customHeight="1" x14ac:dyDescent="0.25">
      <c r="A11" s="313"/>
      <c r="B11" s="319" t="s">
        <v>582</v>
      </c>
      <c r="C11" s="320"/>
      <c r="D11" s="321" t="s">
        <v>583</v>
      </c>
      <c r="E11" s="322">
        <v>7</v>
      </c>
      <c r="F11" s="321" t="s">
        <v>584</v>
      </c>
      <c r="G11" s="323">
        <v>3</v>
      </c>
      <c r="H11" s="324" t="s">
        <v>260</v>
      </c>
      <c r="I11" s="2048" t="s">
        <v>79</v>
      </c>
      <c r="J11" s="2089"/>
      <c r="K11" s="2090"/>
      <c r="L11" s="2048" t="s">
        <v>94</v>
      </c>
      <c r="M11" s="2070"/>
      <c r="N11" s="2046" t="s">
        <v>158</v>
      </c>
      <c r="O11" s="2069"/>
      <c r="P11" s="2084"/>
      <c r="Q11" s="2085"/>
      <c r="R11" s="2086"/>
      <c r="S11" s="2087"/>
      <c r="T11" s="2088"/>
      <c r="U11" s="2060"/>
      <c r="V11" s="2061"/>
      <c r="W11" s="2062"/>
      <c r="X11" s="2063"/>
      <c r="Y11" s="2064"/>
      <c r="Z11" s="2065"/>
      <c r="AA11" s="2066"/>
      <c r="AB11" s="2067"/>
      <c r="AC11" s="2068"/>
      <c r="AD11" s="2000"/>
      <c r="AE11" s="2001"/>
      <c r="AF11" s="2001"/>
      <c r="AG11" s="2001"/>
      <c r="AH11" s="2001"/>
      <c r="AI11" s="2001"/>
      <c r="AJ11" s="2001"/>
      <c r="AK11" s="2001"/>
      <c r="AL11" s="2001"/>
      <c r="AM11" s="2001"/>
      <c r="AN11" s="2001"/>
      <c r="AO11" s="2001"/>
      <c r="AP11" s="2002"/>
      <c r="AQ11" s="327"/>
      <c r="AR11" s="96"/>
      <c r="AS11" s="96"/>
      <c r="AT11" s="96"/>
    </row>
    <row r="12" spans="1:47" ht="18" customHeight="1" x14ac:dyDescent="0.25">
      <c r="A12" s="313"/>
      <c r="B12" s="315"/>
      <c r="C12" s="320"/>
      <c r="D12" s="321" t="s">
        <v>585</v>
      </c>
      <c r="E12" s="322">
        <v>7</v>
      </c>
      <c r="F12" s="321" t="s">
        <v>310</v>
      </c>
      <c r="G12" s="323">
        <v>2</v>
      </c>
      <c r="H12" s="324" t="s">
        <v>261</v>
      </c>
      <c r="I12" s="2048" t="s">
        <v>76</v>
      </c>
      <c r="J12" s="2050"/>
      <c r="K12" s="2051"/>
      <c r="L12" s="2048" t="s">
        <v>100</v>
      </c>
      <c r="M12" s="2049"/>
      <c r="N12" s="2046" t="s">
        <v>82</v>
      </c>
      <c r="O12" s="2047"/>
      <c r="P12" s="2018" t="s">
        <v>248</v>
      </c>
      <c r="Q12" s="2019"/>
      <c r="R12" s="2020"/>
      <c r="S12" s="2021"/>
      <c r="T12" s="2022"/>
      <c r="U12" s="2028" t="s">
        <v>586</v>
      </c>
      <c r="V12" s="2029"/>
      <c r="W12" s="2030"/>
      <c r="X12" s="2031"/>
      <c r="Y12" s="2032"/>
      <c r="Z12" s="2033"/>
      <c r="AA12" s="2034"/>
      <c r="AB12" s="2035"/>
      <c r="AC12" s="2036"/>
      <c r="AD12" s="2003"/>
      <c r="AE12" s="2001"/>
      <c r="AF12" s="2001"/>
      <c r="AG12" s="2001"/>
      <c r="AH12" s="2001"/>
      <c r="AI12" s="2001"/>
      <c r="AJ12" s="2001"/>
      <c r="AK12" s="2001"/>
      <c r="AL12" s="2001"/>
      <c r="AM12" s="2001"/>
      <c r="AN12" s="2001"/>
      <c r="AO12" s="2001"/>
      <c r="AP12" s="2004"/>
      <c r="AQ12" s="318"/>
      <c r="AR12" s="96"/>
      <c r="AS12" s="96"/>
      <c r="AT12" s="96"/>
    </row>
    <row r="13" spans="1:47" ht="18" customHeight="1" x14ac:dyDescent="0.25">
      <c r="A13" s="313"/>
      <c r="B13" s="328"/>
      <c r="C13" s="313" t="s">
        <v>587</v>
      </c>
      <c r="D13" s="329" t="s">
        <v>588</v>
      </c>
      <c r="E13" s="330">
        <v>18</v>
      </c>
      <c r="F13" s="329" t="s">
        <v>589</v>
      </c>
      <c r="G13" s="331"/>
      <c r="H13" s="332" t="s">
        <v>262</v>
      </c>
      <c r="I13" s="1981" t="s">
        <v>84</v>
      </c>
      <c r="J13" s="1982"/>
      <c r="K13" s="1983"/>
      <c r="L13" s="1981" t="s">
        <v>117</v>
      </c>
      <c r="M13" s="1984"/>
      <c r="N13" s="1985"/>
      <c r="O13" s="1986"/>
      <c r="P13" s="2023"/>
      <c r="Q13" s="2024"/>
      <c r="R13" s="2025"/>
      <c r="S13" s="2026"/>
      <c r="T13" s="2027"/>
      <c r="U13" s="2037"/>
      <c r="V13" s="2038"/>
      <c r="W13" s="2039"/>
      <c r="X13" s="2040"/>
      <c r="Y13" s="2041"/>
      <c r="Z13" s="2042"/>
      <c r="AA13" s="2043"/>
      <c r="AB13" s="2044"/>
      <c r="AC13" s="2045"/>
      <c r="AD13" s="2005"/>
      <c r="AE13" s="2006"/>
      <c r="AF13" s="2007"/>
      <c r="AG13" s="2008"/>
      <c r="AH13" s="2009"/>
      <c r="AI13" s="2010"/>
      <c r="AJ13" s="2011"/>
      <c r="AK13" s="2012"/>
      <c r="AL13" s="2013"/>
      <c r="AM13" s="2014"/>
      <c r="AN13" s="2015"/>
      <c r="AO13" s="2016"/>
      <c r="AP13" s="2017"/>
      <c r="AQ13" s="195"/>
      <c r="AR13" s="96"/>
      <c r="AS13" s="96"/>
      <c r="AT13" s="96"/>
    </row>
    <row r="14" spans="1:47" ht="25.5" x14ac:dyDescent="0.25">
      <c r="A14" s="1980" t="s">
        <v>590</v>
      </c>
      <c r="B14" s="1980"/>
      <c r="C14" s="1980"/>
      <c r="D14" s="1980"/>
      <c r="E14" s="1980"/>
      <c r="F14" s="1980"/>
      <c r="G14" s="1980"/>
      <c r="H14" s="1980"/>
      <c r="I14" s="1980"/>
      <c r="J14" s="1980"/>
      <c r="K14" s="1980"/>
      <c r="L14" s="1980"/>
      <c r="M14" s="1980"/>
      <c r="N14" s="1980"/>
      <c r="O14" s="1980"/>
      <c r="P14" s="1980"/>
      <c r="Q14" s="1980"/>
      <c r="R14" s="1980"/>
      <c r="S14" s="1980"/>
      <c r="T14" s="1980"/>
      <c r="U14" s="1980"/>
      <c r="V14" s="1980"/>
      <c r="W14" s="1980"/>
      <c r="X14" s="1980"/>
      <c r="Y14" s="1980"/>
      <c r="Z14" s="1980"/>
      <c r="AA14" s="1980"/>
      <c r="AB14" s="1980"/>
      <c r="AC14" s="1980"/>
      <c r="AD14" s="1980"/>
      <c r="AE14" s="1980"/>
      <c r="AF14" s="1980"/>
      <c r="AG14" s="1980"/>
      <c r="AH14" s="1980"/>
      <c r="AI14" s="1980"/>
      <c r="AJ14" s="1980"/>
      <c r="AK14" s="1980"/>
      <c r="AL14" s="1980"/>
      <c r="AM14" s="1980"/>
      <c r="AN14" s="1980"/>
      <c r="AO14" s="1980"/>
      <c r="AP14" s="1980"/>
      <c r="AQ14" s="333"/>
      <c r="AR14" s="333"/>
      <c r="AS14" s="96"/>
      <c r="AT14" s="96"/>
      <c r="AU14" s="96"/>
    </row>
    <row r="15" spans="1:47" ht="15.75" customHeight="1" x14ac:dyDescent="0.25">
      <c r="A15" s="193"/>
      <c r="B15" s="87"/>
      <c r="C15" s="334"/>
      <c r="D15" s="335" t="s">
        <v>591</v>
      </c>
      <c r="E15" s="336" t="s">
        <v>592</v>
      </c>
      <c r="F15" s="336"/>
      <c r="G15" s="334"/>
      <c r="H15" s="334"/>
      <c r="I15" s="334"/>
      <c r="J15" s="334"/>
      <c r="K15" s="334"/>
      <c r="L15" s="337"/>
      <c r="M15" s="337"/>
      <c r="N15" s="337"/>
      <c r="O15" s="337"/>
      <c r="P15" s="337"/>
      <c r="Q15" s="337"/>
      <c r="R15" s="337"/>
      <c r="S15" s="337"/>
      <c r="T15" s="337"/>
      <c r="U15" s="337"/>
      <c r="V15" s="337"/>
      <c r="W15" s="337"/>
      <c r="X15" s="112"/>
      <c r="Y15" s="112"/>
      <c r="Z15" s="112"/>
      <c r="AA15" s="112"/>
      <c r="AH15" s="112"/>
      <c r="AI15" s="112"/>
      <c r="AJ15" s="112"/>
      <c r="AL15" s="112"/>
      <c r="AR15" s="195"/>
      <c r="AS15" s="96"/>
      <c r="AT15" s="96"/>
      <c r="AU15" s="96"/>
    </row>
    <row r="16" spans="1:47" ht="15.75" customHeight="1" x14ac:dyDescent="0.25">
      <c r="A16" s="193"/>
      <c r="B16" s="87"/>
      <c r="C16" s="334"/>
      <c r="D16" s="335" t="s">
        <v>593</v>
      </c>
      <c r="E16" s="338" t="s">
        <v>594</v>
      </c>
      <c r="F16" s="336"/>
      <c r="G16" s="334"/>
      <c r="H16" s="334"/>
      <c r="I16" s="334"/>
      <c r="J16" s="334"/>
      <c r="K16" s="334"/>
      <c r="L16" s="337"/>
      <c r="M16" s="337"/>
      <c r="N16" s="337"/>
      <c r="O16" s="337"/>
      <c r="P16" s="337"/>
      <c r="Q16" s="337"/>
      <c r="R16" s="337"/>
      <c r="S16" s="337"/>
      <c r="T16" s="337"/>
      <c r="U16" s="337"/>
      <c r="V16" s="337"/>
      <c r="W16" s="337"/>
      <c r="X16" s="112"/>
      <c r="Y16" s="112"/>
      <c r="Z16" s="112"/>
      <c r="AA16" s="112"/>
      <c r="AD16" s="55"/>
      <c r="AG16" s="112"/>
      <c r="AH16" s="339"/>
      <c r="AI16" s="339"/>
      <c r="AJ16" s="339"/>
      <c r="AK16" s="112"/>
      <c r="AL16" s="112"/>
      <c r="AR16" s="195"/>
      <c r="AS16" s="96"/>
      <c r="AT16" s="96"/>
      <c r="AU16" s="96"/>
    </row>
    <row r="17" spans="1:51" ht="15.75" customHeight="1" x14ac:dyDescent="0.25">
      <c r="A17" s="193"/>
      <c r="B17" s="262"/>
      <c r="C17" s="262"/>
      <c r="D17" s="262"/>
      <c r="E17" s="340" t="s">
        <v>595</v>
      </c>
      <c r="G17" s="341" t="s">
        <v>596</v>
      </c>
      <c r="H17" s="342"/>
      <c r="I17" s="342"/>
      <c r="J17" s="342"/>
      <c r="K17" s="342"/>
      <c r="L17" s="343"/>
      <c r="M17" s="343"/>
      <c r="N17" s="343"/>
      <c r="O17" s="343"/>
      <c r="P17" s="343"/>
      <c r="Q17" s="343"/>
      <c r="R17" s="343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3"/>
      <c r="AD17" s="343"/>
      <c r="AE17" s="343"/>
      <c r="AF17" s="343"/>
      <c r="AG17" s="343"/>
      <c r="AH17" s="343"/>
      <c r="AI17" s="343"/>
      <c r="AJ17" s="343"/>
      <c r="AK17" s="343"/>
      <c r="AL17" s="343"/>
      <c r="AM17" s="344"/>
      <c r="AN17" s="345"/>
      <c r="AO17" s="345"/>
      <c r="AP17" s="345"/>
      <c r="AR17" s="318"/>
      <c r="AS17" s="96"/>
      <c r="AT17" s="96"/>
      <c r="AU17" s="96"/>
    </row>
    <row r="18" spans="1:51" ht="6" customHeight="1" x14ac:dyDescent="0.25">
      <c r="A18" s="193"/>
      <c r="B18" s="262"/>
      <c r="C18" s="262"/>
      <c r="D18" s="262"/>
      <c r="E18" s="340"/>
      <c r="G18" s="341"/>
      <c r="H18" s="262"/>
      <c r="I18" s="262"/>
      <c r="J18" s="262"/>
      <c r="K18" s="262"/>
      <c r="L18" s="318"/>
      <c r="M18" s="318"/>
      <c r="N18" s="318"/>
      <c r="O18" s="318"/>
      <c r="P18" s="318"/>
      <c r="Q18" s="318"/>
      <c r="R18" s="318"/>
      <c r="S18" s="318"/>
      <c r="T18" s="318"/>
      <c r="U18" s="318"/>
      <c r="V18" s="318"/>
      <c r="W18" s="318"/>
      <c r="X18" s="318"/>
      <c r="Y18" s="318"/>
      <c r="Z18" s="318"/>
      <c r="AA18" s="318"/>
      <c r="AB18" s="318"/>
      <c r="AC18" s="318"/>
      <c r="AD18" s="318"/>
      <c r="AE18" s="318"/>
      <c r="AF18" s="318"/>
      <c r="AG18" s="318"/>
      <c r="AH18" s="318"/>
      <c r="AI18" s="318"/>
      <c r="AJ18" s="318"/>
      <c r="AK18" s="318"/>
      <c r="AL18" s="318"/>
      <c r="AM18" s="346"/>
      <c r="AR18" s="318"/>
      <c r="AS18" s="96"/>
      <c r="AT18" s="96"/>
      <c r="AU18" s="96"/>
    </row>
    <row r="19" spans="1:51" ht="21" customHeight="1" x14ac:dyDescent="0.25">
      <c r="A19" s="2104" t="s">
        <v>6</v>
      </c>
      <c r="B19" s="2108" t="s">
        <v>597</v>
      </c>
      <c r="C19" s="2118" t="s">
        <v>598</v>
      </c>
      <c r="D19" s="2119"/>
      <c r="E19" s="2106" t="s">
        <v>599</v>
      </c>
      <c r="F19" s="2110" t="s">
        <v>70</v>
      </c>
      <c r="G19" s="2116" t="s">
        <v>600</v>
      </c>
      <c r="H19" s="2112" t="s">
        <v>601</v>
      </c>
      <c r="I19" s="2122" t="s">
        <v>602</v>
      </c>
      <c r="J19" s="2114" t="s">
        <v>603</v>
      </c>
      <c r="K19" s="2092" t="s">
        <v>604</v>
      </c>
      <c r="L19" s="2124"/>
      <c r="M19" s="2125"/>
      <c r="N19" s="2126"/>
      <c r="O19" s="2127" t="s">
        <v>605</v>
      </c>
      <c r="P19" s="2128"/>
      <c r="Q19" s="2129"/>
      <c r="R19" s="2130"/>
      <c r="S19" s="2131"/>
      <c r="T19" s="2132"/>
      <c r="U19" s="2133"/>
      <c r="V19" s="2134"/>
      <c r="W19" s="2135"/>
      <c r="X19" s="2136"/>
      <c r="Y19" s="2137"/>
      <c r="Z19" s="2138"/>
      <c r="AA19" s="2100" t="s">
        <v>606</v>
      </c>
      <c r="AB19" s="2101"/>
      <c r="AC19" s="2102"/>
      <c r="AD19" s="2103"/>
      <c r="AE19" s="2092" t="s">
        <v>607</v>
      </c>
      <c r="AF19" s="2093"/>
      <c r="AG19" s="2094"/>
      <c r="AH19" s="2095"/>
      <c r="AI19" s="2096"/>
      <c r="AJ19" s="2097"/>
      <c r="AK19" s="2098"/>
      <c r="AL19" s="2099"/>
      <c r="AM19" s="2139" t="s">
        <v>608</v>
      </c>
      <c r="AN19" s="2140"/>
      <c r="AO19" s="2141"/>
      <c r="AP19" s="2142"/>
      <c r="AQ19" s="2143"/>
      <c r="AR19" s="2144"/>
      <c r="AS19" s="2145"/>
      <c r="AT19" s="2146"/>
      <c r="AU19" s="347"/>
    </row>
    <row r="20" spans="1:51" ht="33" customHeight="1" x14ac:dyDescent="0.25">
      <c r="A20" s="2105"/>
      <c r="B20" s="2109"/>
      <c r="C20" s="2120"/>
      <c r="D20" s="2121"/>
      <c r="E20" s="2107"/>
      <c r="F20" s="2111"/>
      <c r="G20" s="2117"/>
      <c r="H20" s="2113"/>
      <c r="I20" s="2123"/>
      <c r="J20" s="2115"/>
      <c r="K20" s="348" t="s">
        <v>609</v>
      </c>
      <c r="L20" s="349" t="s">
        <v>610</v>
      </c>
      <c r="M20" s="350" t="s">
        <v>611</v>
      </c>
      <c r="N20" s="351" t="s">
        <v>610</v>
      </c>
      <c r="O20" s="352" t="s">
        <v>611</v>
      </c>
      <c r="P20" s="349" t="s">
        <v>610</v>
      </c>
      <c r="Q20" s="350" t="s">
        <v>612</v>
      </c>
      <c r="R20" s="349" t="s">
        <v>610</v>
      </c>
      <c r="S20" s="350" t="s">
        <v>613</v>
      </c>
      <c r="T20" s="349" t="s">
        <v>610</v>
      </c>
      <c r="U20" s="350" t="s">
        <v>614</v>
      </c>
      <c r="V20" s="349" t="s">
        <v>610</v>
      </c>
      <c r="W20" s="350" t="s">
        <v>615</v>
      </c>
      <c r="X20" s="349" t="s">
        <v>610</v>
      </c>
      <c r="Y20" s="350" t="s">
        <v>616</v>
      </c>
      <c r="Z20" s="351" t="s">
        <v>610</v>
      </c>
      <c r="AA20" s="353" t="s">
        <v>612</v>
      </c>
      <c r="AB20" s="354" t="s">
        <v>610</v>
      </c>
      <c r="AC20" s="355" t="s">
        <v>614</v>
      </c>
      <c r="AD20" s="356" t="s">
        <v>610</v>
      </c>
      <c r="AE20" s="357" t="s">
        <v>611</v>
      </c>
      <c r="AF20" s="354" t="s">
        <v>610</v>
      </c>
      <c r="AG20" s="355" t="s">
        <v>612</v>
      </c>
      <c r="AH20" s="356" t="s">
        <v>610</v>
      </c>
      <c r="AI20" s="358" t="s">
        <v>613</v>
      </c>
      <c r="AJ20" s="356" t="s">
        <v>610</v>
      </c>
      <c r="AK20" s="358" t="s">
        <v>614</v>
      </c>
      <c r="AL20" s="359" t="s">
        <v>610</v>
      </c>
      <c r="AM20" s="360" t="s">
        <v>617</v>
      </c>
      <c r="AN20" s="361" t="s">
        <v>618</v>
      </c>
      <c r="AO20" s="362" t="s">
        <v>619</v>
      </c>
      <c r="AP20" s="361" t="s">
        <v>618</v>
      </c>
      <c r="AQ20" s="360" t="s">
        <v>620</v>
      </c>
      <c r="AR20" s="361" t="s">
        <v>618</v>
      </c>
      <c r="AS20" s="362" t="s">
        <v>621</v>
      </c>
      <c r="AT20" s="361" t="s">
        <v>618</v>
      </c>
      <c r="AU20" s="54"/>
      <c r="AV20" s="18" t="s">
        <v>622</v>
      </c>
      <c r="AW20" s="18" t="s">
        <v>623</v>
      </c>
      <c r="AX20" s="18" t="s">
        <v>603</v>
      </c>
    </row>
    <row r="21" spans="1:51" ht="12" customHeight="1" x14ac:dyDescent="0.25">
      <c r="A21" s="363">
        <v>1</v>
      </c>
      <c r="B21" s="364" t="s">
        <v>76</v>
      </c>
      <c r="C21" s="365" t="s">
        <v>264</v>
      </c>
      <c r="D21" s="366" t="s">
        <v>454</v>
      </c>
      <c r="E21" s="367">
        <v>37622</v>
      </c>
      <c r="F21" s="368" t="str">
        <f t="shared" ref="F21:F52" si="0">$E$16</f>
        <v>Сокращенное название</v>
      </c>
      <c r="G21" s="364" t="s">
        <v>624</v>
      </c>
      <c r="H21" s="369" t="str">
        <f>E76</f>
        <v>Фамилия_1 Имя Отчество</v>
      </c>
      <c r="I21" s="370">
        <f t="shared" ref="I21:I52" si="1">COUNTIF(K21:AL21, "&gt;=0")-COUNTIF(K21:AL21, "в")-COUNTIF(K21:AL21, "л")</f>
        <v>0</v>
      </c>
      <c r="J21" s="371">
        <f t="shared" ref="J21:J52" si="2">COUNTIF(K21:AL21, "л")</f>
        <v>0</v>
      </c>
      <c r="K21" s="372"/>
      <c r="L21" s="373"/>
      <c r="M21" s="373"/>
      <c r="N21" s="374"/>
      <c r="O21" s="375"/>
      <c r="P21" s="373"/>
      <c r="Q21" s="373"/>
      <c r="R21" s="373"/>
      <c r="S21" s="373"/>
      <c r="T21" s="373"/>
      <c r="U21" s="373"/>
      <c r="V21" s="373"/>
      <c r="W21" s="373"/>
      <c r="X21" s="373"/>
      <c r="Y21" s="376"/>
      <c r="Z21" s="377"/>
      <c r="AA21" s="378"/>
      <c r="AB21" s="378"/>
      <c r="AC21" s="379"/>
      <c r="AD21" s="380"/>
      <c r="AE21" s="372"/>
      <c r="AF21" s="375"/>
      <c r="AG21" s="373"/>
      <c r="AH21" s="381"/>
      <c r="AI21" s="380"/>
      <c r="AJ21" s="379"/>
      <c r="AK21" s="382"/>
      <c r="AL21" s="383"/>
      <c r="AM21" s="372"/>
      <c r="AN21" s="384"/>
      <c r="AO21" s="372"/>
      <c r="AP21" s="385"/>
      <c r="AQ21" s="372"/>
      <c r="AR21" s="384"/>
      <c r="AS21" s="372"/>
      <c r="AT21" s="385"/>
      <c r="AU21" s="54"/>
      <c r="AV21" s="18" t="e">
        <f>SUMIFS(#REF!,#REF!, $C21,#REF!, $E21,#REF!, $F21)</f>
        <v>#REF!</v>
      </c>
      <c r="AW21" s="55" t="e">
        <f>COUNTIFS(#REF!, $C21,#REF!, $E21,#REF!, $F21,#REF!, "&gt;=0")</f>
        <v>#REF!</v>
      </c>
      <c r="AX21" s="18" t="e">
        <f>COUNTIFS(#REF!, $C21,#REF!, $E21,#REF!, $F21,#REF!, "лично")</f>
        <v>#REF!</v>
      </c>
      <c r="AY21" s="364" t="s">
        <v>260</v>
      </c>
    </row>
    <row r="22" spans="1:51" ht="12" customHeight="1" x14ac:dyDescent="0.25">
      <c r="A22" s="363">
        <v>2</v>
      </c>
      <c r="B22" s="364" t="s">
        <v>76</v>
      </c>
      <c r="C22" s="365" t="s">
        <v>264</v>
      </c>
      <c r="D22" s="366" t="s">
        <v>454</v>
      </c>
      <c r="E22" s="367"/>
      <c r="F22" s="368" t="str">
        <f t="shared" si="0"/>
        <v>Сокращенное название</v>
      </c>
      <c r="G22" s="364" t="s">
        <v>624</v>
      </c>
      <c r="H22" s="369" t="str">
        <f t="shared" ref="H22:H53" si="3">H21</f>
        <v>Фамилия_1 Имя Отчество</v>
      </c>
      <c r="I22" s="370">
        <f t="shared" si="1"/>
        <v>0</v>
      </c>
      <c r="J22" s="371">
        <f t="shared" si="2"/>
        <v>0</v>
      </c>
      <c r="K22" s="372"/>
      <c r="L22" s="373"/>
      <c r="M22" s="373"/>
      <c r="N22" s="374"/>
      <c r="O22" s="375"/>
      <c r="P22" s="373"/>
      <c r="Q22" s="373"/>
      <c r="R22" s="373"/>
      <c r="S22" s="373"/>
      <c r="T22" s="373"/>
      <c r="U22" s="373"/>
      <c r="V22" s="373"/>
      <c r="W22" s="373"/>
      <c r="X22" s="373"/>
      <c r="Y22" s="376"/>
      <c r="Z22" s="377"/>
      <c r="AA22" s="378"/>
      <c r="AB22" s="378"/>
      <c r="AC22" s="379"/>
      <c r="AD22" s="380"/>
      <c r="AE22" s="372"/>
      <c r="AF22" s="375"/>
      <c r="AG22" s="373"/>
      <c r="AH22" s="381"/>
      <c r="AI22" s="380"/>
      <c r="AJ22" s="379"/>
      <c r="AK22" s="382"/>
      <c r="AL22" s="383"/>
      <c r="AM22" s="372"/>
      <c r="AN22" s="384"/>
      <c r="AO22" s="372"/>
      <c r="AP22" s="385"/>
      <c r="AQ22" s="372"/>
      <c r="AR22" s="384"/>
      <c r="AS22" s="372"/>
      <c r="AT22" s="385"/>
      <c r="AU22" s="54"/>
      <c r="AV22" s="18" t="e">
        <f>SUMIFS(#REF!,#REF!, $C22,#REF!, $E22,#REF!, $F22)</f>
        <v>#REF!</v>
      </c>
      <c r="AW22" s="55" t="e">
        <f>COUNTIFS(#REF!, $C22,#REF!, $E22,#REF!, $F22,#REF!, "&gt;=0")</f>
        <v>#REF!</v>
      </c>
      <c r="AX22" s="18" t="e">
        <f>COUNTIFS(#REF!, $C22,#REF!, $E22,#REF!, $F22,#REF!, "лично")</f>
        <v>#REF!</v>
      </c>
      <c r="AY22" s="364" t="s">
        <v>260</v>
      </c>
    </row>
    <row r="23" spans="1:51" ht="12" customHeight="1" x14ac:dyDescent="0.25">
      <c r="A23" s="363">
        <v>3</v>
      </c>
      <c r="B23" s="364" t="s">
        <v>260</v>
      </c>
      <c r="C23" s="365" t="s">
        <v>264</v>
      </c>
      <c r="D23" s="366" t="s">
        <v>454</v>
      </c>
      <c r="E23" s="367"/>
      <c r="F23" s="368" t="str">
        <f t="shared" si="0"/>
        <v>Сокращенное название</v>
      </c>
      <c r="G23" s="364" t="s">
        <v>624</v>
      </c>
      <c r="H23" s="369" t="str">
        <f t="shared" si="3"/>
        <v>Фамилия_1 Имя Отчество</v>
      </c>
      <c r="I23" s="370">
        <f t="shared" si="1"/>
        <v>0</v>
      </c>
      <c r="J23" s="371">
        <f t="shared" si="2"/>
        <v>0</v>
      </c>
      <c r="K23" s="372"/>
      <c r="L23" s="373"/>
      <c r="M23" s="373"/>
      <c r="N23" s="374"/>
      <c r="O23" s="375"/>
      <c r="P23" s="373"/>
      <c r="Q23" s="373"/>
      <c r="R23" s="373"/>
      <c r="S23" s="373"/>
      <c r="T23" s="373"/>
      <c r="U23" s="373"/>
      <c r="V23" s="373"/>
      <c r="W23" s="373"/>
      <c r="X23" s="373"/>
      <c r="Y23" s="376"/>
      <c r="Z23" s="377"/>
      <c r="AA23" s="378"/>
      <c r="AB23" s="378"/>
      <c r="AC23" s="379"/>
      <c r="AD23" s="380"/>
      <c r="AE23" s="372"/>
      <c r="AF23" s="375"/>
      <c r="AG23" s="373"/>
      <c r="AH23" s="381"/>
      <c r="AI23" s="380"/>
      <c r="AJ23" s="379"/>
      <c r="AK23" s="382"/>
      <c r="AL23" s="383"/>
      <c r="AM23" s="372"/>
      <c r="AN23" s="384"/>
      <c r="AO23" s="372"/>
      <c r="AP23" s="385"/>
      <c r="AQ23" s="372"/>
      <c r="AR23" s="384"/>
      <c r="AS23" s="372"/>
      <c r="AT23" s="385"/>
      <c r="AU23" s="54"/>
      <c r="AV23" s="18" t="e">
        <f>SUMIFS(#REF!,#REF!, $C23,#REF!, $E23,#REF!, $F23)</f>
        <v>#REF!</v>
      </c>
      <c r="AW23" s="55" t="e">
        <f>COUNTIFS(#REF!, $C23,#REF!, $E23,#REF!, $F23,#REF!, "&gt;=0")</f>
        <v>#REF!</v>
      </c>
      <c r="AX23" s="18" t="e">
        <f>COUNTIFS(#REF!, $C23,#REF!, $E23,#REF!, $F23,#REF!, "лично")</f>
        <v>#REF!</v>
      </c>
      <c r="AY23" s="364" t="s">
        <v>261</v>
      </c>
    </row>
    <row r="24" spans="1:51" ht="12" customHeight="1" x14ac:dyDescent="0.25">
      <c r="A24" s="363">
        <v>4</v>
      </c>
      <c r="B24" s="364" t="s">
        <v>261</v>
      </c>
      <c r="C24" s="365" t="s">
        <v>264</v>
      </c>
      <c r="D24" s="366" t="s">
        <v>454</v>
      </c>
      <c r="E24" s="367"/>
      <c r="F24" s="368" t="str">
        <f t="shared" si="0"/>
        <v>Сокращенное название</v>
      </c>
      <c r="G24" s="364" t="s">
        <v>624</v>
      </c>
      <c r="H24" s="369" t="str">
        <f t="shared" si="3"/>
        <v>Фамилия_1 Имя Отчество</v>
      </c>
      <c r="I24" s="370">
        <f t="shared" si="1"/>
        <v>0</v>
      </c>
      <c r="J24" s="371">
        <f t="shared" si="2"/>
        <v>0</v>
      </c>
      <c r="K24" s="372"/>
      <c r="L24" s="373"/>
      <c r="M24" s="373"/>
      <c r="N24" s="374"/>
      <c r="O24" s="375"/>
      <c r="P24" s="373"/>
      <c r="Q24" s="373"/>
      <c r="R24" s="373"/>
      <c r="S24" s="373"/>
      <c r="T24" s="373"/>
      <c r="U24" s="373"/>
      <c r="V24" s="373"/>
      <c r="W24" s="373"/>
      <c r="X24" s="373"/>
      <c r="Y24" s="376"/>
      <c r="Z24" s="377"/>
      <c r="AA24" s="378"/>
      <c r="AB24" s="378"/>
      <c r="AC24" s="379"/>
      <c r="AD24" s="380"/>
      <c r="AE24" s="372"/>
      <c r="AF24" s="375"/>
      <c r="AG24" s="373"/>
      <c r="AH24" s="381"/>
      <c r="AI24" s="380"/>
      <c r="AJ24" s="379"/>
      <c r="AK24" s="382"/>
      <c r="AL24" s="383"/>
      <c r="AM24" s="372"/>
      <c r="AN24" s="384"/>
      <c r="AO24" s="372"/>
      <c r="AP24" s="385"/>
      <c r="AQ24" s="372"/>
      <c r="AR24" s="384"/>
      <c r="AS24" s="372"/>
      <c r="AT24" s="385"/>
      <c r="AU24" s="54"/>
      <c r="AV24" s="18" t="e">
        <f>SUMIFS(#REF!,#REF!, $C24,#REF!, $E24,#REF!, $F24)</f>
        <v>#REF!</v>
      </c>
      <c r="AW24" s="55" t="e">
        <f>COUNTIFS(#REF!, $C24,#REF!, $E24,#REF!, $F24,#REF!, "&gt;=0")</f>
        <v>#REF!</v>
      </c>
      <c r="AX24" s="18" t="e">
        <f>COUNTIFS(#REF!, $C24,#REF!, $E24,#REF!, $F24,#REF!, "лично")</f>
        <v>#REF!</v>
      </c>
      <c r="AY24" s="364" t="s">
        <v>262</v>
      </c>
    </row>
    <row r="25" spans="1:51" ht="12" customHeight="1" x14ac:dyDescent="0.25">
      <c r="A25" s="363">
        <v>5</v>
      </c>
      <c r="B25" s="364" t="s">
        <v>262</v>
      </c>
      <c r="C25" s="365" t="s">
        <v>264</v>
      </c>
      <c r="D25" s="366" t="s">
        <v>454</v>
      </c>
      <c r="E25" s="367"/>
      <c r="F25" s="368" t="str">
        <f t="shared" si="0"/>
        <v>Сокращенное название</v>
      </c>
      <c r="G25" s="364" t="s">
        <v>624</v>
      </c>
      <c r="H25" s="369" t="str">
        <f t="shared" si="3"/>
        <v>Фамилия_1 Имя Отчество</v>
      </c>
      <c r="I25" s="370">
        <f t="shared" si="1"/>
        <v>0</v>
      </c>
      <c r="J25" s="371">
        <f t="shared" si="2"/>
        <v>0</v>
      </c>
      <c r="K25" s="372"/>
      <c r="L25" s="373"/>
      <c r="M25" s="373"/>
      <c r="N25" s="374"/>
      <c r="O25" s="375"/>
      <c r="P25" s="373"/>
      <c r="Q25" s="373"/>
      <c r="R25" s="373"/>
      <c r="S25" s="373"/>
      <c r="T25" s="373"/>
      <c r="U25" s="373"/>
      <c r="V25" s="373"/>
      <c r="W25" s="373"/>
      <c r="X25" s="373"/>
      <c r="Y25" s="376"/>
      <c r="Z25" s="377"/>
      <c r="AA25" s="378"/>
      <c r="AB25" s="378"/>
      <c r="AC25" s="379"/>
      <c r="AD25" s="380"/>
      <c r="AE25" s="372"/>
      <c r="AF25" s="375"/>
      <c r="AG25" s="373"/>
      <c r="AH25" s="381"/>
      <c r="AI25" s="380"/>
      <c r="AJ25" s="379"/>
      <c r="AK25" s="382"/>
      <c r="AL25" s="383"/>
      <c r="AM25" s="372"/>
      <c r="AN25" s="384"/>
      <c r="AO25" s="372"/>
      <c r="AP25" s="385"/>
      <c r="AQ25" s="372"/>
      <c r="AR25" s="384"/>
      <c r="AS25" s="372"/>
      <c r="AT25" s="385"/>
      <c r="AU25" s="54"/>
      <c r="AV25" s="18" t="e">
        <f>SUMIFS(#REF!,#REF!, $C25,#REF!, $E25,#REF!, $F25)</f>
        <v>#REF!</v>
      </c>
      <c r="AW25" s="55" t="e">
        <f>COUNTIFS(#REF!, $C25,#REF!, $E25,#REF!, $F25,#REF!, "&gt;=0")</f>
        <v>#REF!</v>
      </c>
      <c r="AX25" s="18" t="e">
        <f>COUNTIFS(#REF!, $C25,#REF!, $E25,#REF!, $F25,#REF!, "лично")</f>
        <v>#REF!</v>
      </c>
      <c r="AY25" s="364" t="s">
        <v>79</v>
      </c>
    </row>
    <row r="26" spans="1:51" ht="12" customHeight="1" x14ac:dyDescent="0.25">
      <c r="A26" s="363">
        <v>6</v>
      </c>
      <c r="B26" s="364" t="s">
        <v>79</v>
      </c>
      <c r="C26" s="365" t="s">
        <v>264</v>
      </c>
      <c r="D26" s="366" t="s">
        <v>454</v>
      </c>
      <c r="E26" s="367"/>
      <c r="F26" s="368" t="str">
        <f t="shared" si="0"/>
        <v>Сокращенное название</v>
      </c>
      <c r="G26" s="364" t="s">
        <v>624</v>
      </c>
      <c r="H26" s="369" t="str">
        <f t="shared" si="3"/>
        <v>Фамилия_1 Имя Отчество</v>
      </c>
      <c r="I26" s="370">
        <f t="shared" si="1"/>
        <v>0</v>
      </c>
      <c r="J26" s="371">
        <f t="shared" si="2"/>
        <v>0</v>
      </c>
      <c r="K26" s="372"/>
      <c r="L26" s="373"/>
      <c r="M26" s="373"/>
      <c r="N26" s="374"/>
      <c r="O26" s="375"/>
      <c r="P26" s="373"/>
      <c r="Q26" s="373"/>
      <c r="R26" s="373"/>
      <c r="S26" s="373"/>
      <c r="T26" s="373"/>
      <c r="U26" s="373"/>
      <c r="V26" s="373"/>
      <c r="W26" s="373"/>
      <c r="X26" s="373"/>
      <c r="Y26" s="376"/>
      <c r="Z26" s="377"/>
      <c r="AA26" s="378"/>
      <c r="AB26" s="378"/>
      <c r="AC26" s="379"/>
      <c r="AD26" s="380"/>
      <c r="AE26" s="372"/>
      <c r="AF26" s="375"/>
      <c r="AG26" s="373"/>
      <c r="AH26" s="381"/>
      <c r="AI26" s="380"/>
      <c r="AJ26" s="379"/>
      <c r="AK26" s="382"/>
      <c r="AL26" s="383"/>
      <c r="AM26" s="372"/>
      <c r="AN26" s="384"/>
      <c r="AO26" s="372"/>
      <c r="AP26" s="385"/>
      <c r="AQ26" s="372"/>
      <c r="AR26" s="384"/>
      <c r="AS26" s="372"/>
      <c r="AT26" s="385"/>
      <c r="AU26" s="54"/>
      <c r="AV26" s="18" t="e">
        <f>SUMIFS(#REF!,#REF!, $C26,#REF!, $E26,#REF!, $F26)</f>
        <v>#REF!</v>
      </c>
      <c r="AW26" s="55" t="e">
        <f>COUNTIFS(#REF!, $C26,#REF!, $E26,#REF!, $F26,#REF!, "&gt;=0")</f>
        <v>#REF!</v>
      </c>
      <c r="AX26" s="18" t="e">
        <f>COUNTIFS(#REF!, $C26,#REF!, $E26,#REF!, $F26,#REF!, "лично")</f>
        <v>#REF!</v>
      </c>
      <c r="AY26" s="364" t="s">
        <v>76</v>
      </c>
    </row>
    <row r="27" spans="1:51" ht="12" customHeight="1" x14ac:dyDescent="0.25">
      <c r="A27" s="363">
        <v>7</v>
      </c>
      <c r="B27" s="364" t="s">
        <v>76</v>
      </c>
      <c r="C27" s="365" t="s">
        <v>264</v>
      </c>
      <c r="D27" s="366" t="s">
        <v>454</v>
      </c>
      <c r="E27" s="367"/>
      <c r="F27" s="368" t="str">
        <f t="shared" si="0"/>
        <v>Сокращенное название</v>
      </c>
      <c r="G27" s="364" t="s">
        <v>624</v>
      </c>
      <c r="H27" s="369" t="str">
        <f t="shared" si="3"/>
        <v>Фамилия_1 Имя Отчество</v>
      </c>
      <c r="I27" s="370">
        <f t="shared" si="1"/>
        <v>0</v>
      </c>
      <c r="J27" s="371">
        <f t="shared" si="2"/>
        <v>0</v>
      </c>
      <c r="K27" s="372"/>
      <c r="L27" s="373"/>
      <c r="M27" s="373"/>
      <c r="N27" s="374"/>
      <c r="O27" s="375"/>
      <c r="P27" s="373"/>
      <c r="Q27" s="373"/>
      <c r="R27" s="373"/>
      <c r="S27" s="373"/>
      <c r="T27" s="373"/>
      <c r="U27" s="373"/>
      <c r="V27" s="373"/>
      <c r="W27" s="373"/>
      <c r="X27" s="373"/>
      <c r="Y27" s="376"/>
      <c r="Z27" s="377"/>
      <c r="AA27" s="378"/>
      <c r="AB27" s="378"/>
      <c r="AC27" s="379"/>
      <c r="AD27" s="380"/>
      <c r="AE27" s="372"/>
      <c r="AF27" s="375"/>
      <c r="AG27" s="373"/>
      <c r="AH27" s="381"/>
      <c r="AI27" s="380"/>
      <c r="AJ27" s="379"/>
      <c r="AK27" s="382"/>
      <c r="AL27" s="383"/>
      <c r="AM27" s="372"/>
      <c r="AN27" s="384"/>
      <c r="AO27" s="372"/>
      <c r="AP27" s="385"/>
      <c r="AQ27" s="372"/>
      <c r="AR27" s="384"/>
      <c r="AS27" s="372"/>
      <c r="AT27" s="385"/>
      <c r="AU27" s="54"/>
      <c r="AV27" s="18" t="e">
        <f>SUMIFS(#REF!,#REF!, $C27,#REF!, $E27,#REF!, $F27)</f>
        <v>#REF!</v>
      </c>
      <c r="AW27" s="55" t="e">
        <f>COUNTIFS(#REF!, $C27,#REF!, $E27,#REF!, $F27,#REF!, "&gt;=0")</f>
        <v>#REF!</v>
      </c>
      <c r="AX27" s="18" t="e">
        <f>COUNTIFS(#REF!, $C27,#REF!, $E27,#REF!, $F27,#REF!, "лично")</f>
        <v>#REF!</v>
      </c>
      <c r="AY27" s="364" t="s">
        <v>84</v>
      </c>
    </row>
    <row r="28" spans="1:51" ht="12" customHeight="1" x14ac:dyDescent="0.25">
      <c r="A28" s="363">
        <v>8</v>
      </c>
      <c r="B28" s="364" t="s">
        <v>76</v>
      </c>
      <c r="C28" s="365" t="s">
        <v>264</v>
      </c>
      <c r="D28" s="366" t="s">
        <v>454</v>
      </c>
      <c r="E28" s="367"/>
      <c r="F28" s="368" t="str">
        <f t="shared" si="0"/>
        <v>Сокращенное название</v>
      </c>
      <c r="G28" s="364" t="s">
        <v>624</v>
      </c>
      <c r="H28" s="369" t="str">
        <f t="shared" si="3"/>
        <v>Фамилия_1 Имя Отчество</v>
      </c>
      <c r="I28" s="370">
        <f t="shared" si="1"/>
        <v>0</v>
      </c>
      <c r="J28" s="371">
        <f t="shared" si="2"/>
        <v>0</v>
      </c>
      <c r="K28" s="372"/>
      <c r="L28" s="373"/>
      <c r="M28" s="373"/>
      <c r="N28" s="374"/>
      <c r="O28" s="375"/>
      <c r="P28" s="373"/>
      <c r="Q28" s="373"/>
      <c r="R28" s="373"/>
      <c r="S28" s="373"/>
      <c r="T28" s="373"/>
      <c r="U28" s="373"/>
      <c r="V28" s="373"/>
      <c r="W28" s="373"/>
      <c r="X28" s="373"/>
      <c r="Y28" s="376"/>
      <c r="Z28" s="377"/>
      <c r="AA28" s="378"/>
      <c r="AB28" s="378"/>
      <c r="AC28" s="379"/>
      <c r="AD28" s="380"/>
      <c r="AE28" s="372"/>
      <c r="AF28" s="375"/>
      <c r="AG28" s="373"/>
      <c r="AH28" s="381"/>
      <c r="AI28" s="380"/>
      <c r="AJ28" s="379"/>
      <c r="AK28" s="382"/>
      <c r="AL28" s="383"/>
      <c r="AM28" s="372"/>
      <c r="AN28" s="384"/>
      <c r="AO28" s="372"/>
      <c r="AP28" s="385"/>
      <c r="AQ28" s="372"/>
      <c r="AR28" s="384"/>
      <c r="AS28" s="372"/>
      <c r="AT28" s="385"/>
      <c r="AU28" s="54"/>
      <c r="AV28" s="18" t="e">
        <f>SUMIFS(#REF!,#REF!, $C28,#REF!, $E28,#REF!, $F28)</f>
        <v>#REF!</v>
      </c>
      <c r="AW28" s="55" t="e">
        <f>COUNTIFS(#REF!, $C28,#REF!, $E28,#REF!, $F28,#REF!, "&gt;=0")</f>
        <v>#REF!</v>
      </c>
      <c r="AX28" s="18" t="e">
        <f>COUNTIFS(#REF!, $C28,#REF!, $E28,#REF!, $F28,#REF!, "лично")</f>
        <v>#REF!</v>
      </c>
      <c r="AY28" s="364" t="s">
        <v>94</v>
      </c>
    </row>
    <row r="29" spans="1:51" ht="12" customHeight="1" x14ac:dyDescent="0.25">
      <c r="A29" s="363">
        <v>9</v>
      </c>
      <c r="B29" s="364" t="s">
        <v>94</v>
      </c>
      <c r="C29" s="365" t="s">
        <v>264</v>
      </c>
      <c r="D29" s="366" t="s">
        <v>454</v>
      </c>
      <c r="E29" s="367"/>
      <c r="F29" s="368" t="str">
        <f t="shared" si="0"/>
        <v>Сокращенное название</v>
      </c>
      <c r="G29" s="364" t="s">
        <v>624</v>
      </c>
      <c r="H29" s="369" t="str">
        <f t="shared" si="3"/>
        <v>Фамилия_1 Имя Отчество</v>
      </c>
      <c r="I29" s="370">
        <f t="shared" si="1"/>
        <v>0</v>
      </c>
      <c r="J29" s="371">
        <f t="shared" si="2"/>
        <v>0</v>
      </c>
      <c r="K29" s="372"/>
      <c r="L29" s="373"/>
      <c r="M29" s="373"/>
      <c r="N29" s="374"/>
      <c r="O29" s="375"/>
      <c r="P29" s="373"/>
      <c r="Q29" s="373"/>
      <c r="R29" s="373"/>
      <c r="S29" s="373"/>
      <c r="T29" s="373"/>
      <c r="U29" s="373"/>
      <c r="V29" s="373"/>
      <c r="W29" s="373"/>
      <c r="X29" s="373"/>
      <c r="Y29" s="376"/>
      <c r="Z29" s="377"/>
      <c r="AA29" s="378"/>
      <c r="AB29" s="378"/>
      <c r="AC29" s="379"/>
      <c r="AD29" s="380"/>
      <c r="AE29" s="372"/>
      <c r="AF29" s="375"/>
      <c r="AG29" s="373"/>
      <c r="AH29" s="381"/>
      <c r="AI29" s="380"/>
      <c r="AJ29" s="379"/>
      <c r="AK29" s="382"/>
      <c r="AL29" s="383"/>
      <c r="AM29" s="372"/>
      <c r="AN29" s="384"/>
      <c r="AO29" s="372"/>
      <c r="AP29" s="385"/>
      <c r="AQ29" s="372"/>
      <c r="AR29" s="384"/>
      <c r="AS29" s="372"/>
      <c r="AT29" s="385"/>
      <c r="AU29" s="54"/>
      <c r="AV29" s="18" t="e">
        <f>SUMIFS(#REF!,#REF!, $C29,#REF!, $E29,#REF!, $F29)</f>
        <v>#REF!</v>
      </c>
      <c r="AW29" s="55" t="e">
        <f>COUNTIFS(#REF!, $C29,#REF!, $E29,#REF!, $F29,#REF!, "&gt;=0")</f>
        <v>#REF!</v>
      </c>
      <c r="AX29" s="18" t="e">
        <f>COUNTIFS(#REF!, $C29,#REF!, $E29,#REF!, $F29,#REF!, "лично")</f>
        <v>#REF!</v>
      </c>
      <c r="AY29" s="386" t="s">
        <v>100</v>
      </c>
    </row>
    <row r="30" spans="1:51" ht="12" customHeight="1" x14ac:dyDescent="0.25">
      <c r="A30" s="363">
        <v>10</v>
      </c>
      <c r="B30" s="364" t="s">
        <v>76</v>
      </c>
      <c r="C30" s="365" t="s">
        <v>264</v>
      </c>
      <c r="D30" s="366" t="s">
        <v>454</v>
      </c>
      <c r="E30" s="367"/>
      <c r="F30" s="368" t="str">
        <f t="shared" si="0"/>
        <v>Сокращенное название</v>
      </c>
      <c r="G30" s="364" t="s">
        <v>624</v>
      </c>
      <c r="H30" s="369" t="str">
        <f t="shared" si="3"/>
        <v>Фамилия_1 Имя Отчество</v>
      </c>
      <c r="I30" s="370">
        <f t="shared" si="1"/>
        <v>0</v>
      </c>
      <c r="J30" s="371">
        <f t="shared" si="2"/>
        <v>0</v>
      </c>
      <c r="K30" s="372"/>
      <c r="L30" s="373"/>
      <c r="M30" s="373"/>
      <c r="N30" s="374"/>
      <c r="O30" s="375"/>
      <c r="P30" s="373"/>
      <c r="Q30" s="373"/>
      <c r="R30" s="373"/>
      <c r="S30" s="373"/>
      <c r="T30" s="373"/>
      <c r="U30" s="373"/>
      <c r="V30" s="373"/>
      <c r="W30" s="373"/>
      <c r="X30" s="373"/>
      <c r="Y30" s="376"/>
      <c r="Z30" s="377"/>
      <c r="AA30" s="378"/>
      <c r="AB30" s="378"/>
      <c r="AC30" s="379"/>
      <c r="AD30" s="380"/>
      <c r="AE30" s="372"/>
      <c r="AF30" s="375"/>
      <c r="AG30" s="373"/>
      <c r="AH30" s="381"/>
      <c r="AI30" s="380"/>
      <c r="AJ30" s="379"/>
      <c r="AK30" s="382"/>
      <c r="AL30" s="383"/>
      <c r="AM30" s="372"/>
      <c r="AN30" s="384"/>
      <c r="AO30" s="372"/>
      <c r="AP30" s="385"/>
      <c r="AQ30" s="372"/>
      <c r="AR30" s="384"/>
      <c r="AS30" s="372"/>
      <c r="AT30" s="385"/>
      <c r="AU30" s="54"/>
      <c r="AV30" s="18" t="e">
        <f>SUMIFS(#REF!,#REF!, $C30,#REF!, $E30,#REF!, $F30)</f>
        <v>#REF!</v>
      </c>
      <c r="AW30" s="55" t="e">
        <f>COUNTIFS(#REF!, $C30,#REF!, $E30,#REF!, $F30,#REF!, "&gt;=0")</f>
        <v>#REF!</v>
      </c>
      <c r="AX30" s="18" t="e">
        <f>COUNTIFS(#REF!, $C30,#REF!, $E30,#REF!, $F30,#REF!, "лично")</f>
        <v>#REF!</v>
      </c>
      <c r="AY30" s="386" t="s">
        <v>117</v>
      </c>
    </row>
    <row r="31" spans="1:51" ht="12" customHeight="1" x14ac:dyDescent="0.25">
      <c r="A31" s="363">
        <v>11</v>
      </c>
      <c r="B31" s="386" t="s">
        <v>100</v>
      </c>
      <c r="C31" s="365" t="s">
        <v>264</v>
      </c>
      <c r="D31" s="366" t="s">
        <v>454</v>
      </c>
      <c r="E31" s="367"/>
      <c r="F31" s="368" t="str">
        <f t="shared" si="0"/>
        <v>Сокращенное название</v>
      </c>
      <c r="G31" s="364" t="s">
        <v>624</v>
      </c>
      <c r="H31" s="369" t="str">
        <f t="shared" si="3"/>
        <v>Фамилия_1 Имя Отчество</v>
      </c>
      <c r="I31" s="370">
        <f t="shared" si="1"/>
        <v>0</v>
      </c>
      <c r="J31" s="371">
        <f t="shared" si="2"/>
        <v>0</v>
      </c>
      <c r="K31" s="372"/>
      <c r="L31" s="373"/>
      <c r="M31" s="373"/>
      <c r="N31" s="374"/>
      <c r="O31" s="375"/>
      <c r="P31" s="373"/>
      <c r="Q31" s="373"/>
      <c r="R31" s="373"/>
      <c r="S31" s="373"/>
      <c r="T31" s="373"/>
      <c r="U31" s="373"/>
      <c r="V31" s="373"/>
      <c r="W31" s="373"/>
      <c r="X31" s="373"/>
      <c r="Y31" s="376"/>
      <c r="Z31" s="377"/>
      <c r="AA31" s="378"/>
      <c r="AB31" s="378"/>
      <c r="AC31" s="379"/>
      <c r="AD31" s="380"/>
      <c r="AE31" s="372"/>
      <c r="AF31" s="375"/>
      <c r="AG31" s="373"/>
      <c r="AH31" s="381"/>
      <c r="AI31" s="380"/>
      <c r="AJ31" s="379"/>
      <c r="AK31" s="382"/>
      <c r="AL31" s="383"/>
      <c r="AM31" s="372"/>
      <c r="AN31" s="384"/>
      <c r="AO31" s="372"/>
      <c r="AP31" s="385"/>
      <c r="AQ31" s="372"/>
      <c r="AR31" s="384"/>
      <c r="AS31" s="372"/>
      <c r="AT31" s="385"/>
      <c r="AU31" s="54"/>
      <c r="AV31" s="18" t="e">
        <f>SUMIFS(#REF!,#REF!, $C31,#REF!, $E31,#REF!, $F31)</f>
        <v>#REF!</v>
      </c>
      <c r="AW31" s="55" t="e">
        <f>COUNTIFS(#REF!, $C31,#REF!, $E31,#REF!, $F31,#REF!, "&gt;=0")</f>
        <v>#REF!</v>
      </c>
      <c r="AX31" s="18" t="e">
        <f>COUNTIFS(#REF!, $C31,#REF!, $E31,#REF!, $F31,#REF!, "лично")</f>
        <v>#REF!</v>
      </c>
      <c r="AY31" s="386" t="s">
        <v>158</v>
      </c>
    </row>
    <row r="32" spans="1:51" ht="12" customHeight="1" x14ac:dyDescent="0.25">
      <c r="A32" s="363">
        <v>12</v>
      </c>
      <c r="B32" s="364" t="s">
        <v>79</v>
      </c>
      <c r="C32" s="365" t="s">
        <v>264</v>
      </c>
      <c r="D32" s="366" t="s">
        <v>454</v>
      </c>
      <c r="E32" s="367"/>
      <c r="F32" s="368" t="str">
        <f t="shared" si="0"/>
        <v>Сокращенное название</v>
      </c>
      <c r="G32" s="364" t="s">
        <v>624</v>
      </c>
      <c r="H32" s="369" t="str">
        <f t="shared" si="3"/>
        <v>Фамилия_1 Имя Отчество</v>
      </c>
      <c r="I32" s="370">
        <f t="shared" si="1"/>
        <v>0</v>
      </c>
      <c r="J32" s="371">
        <f t="shared" si="2"/>
        <v>0</v>
      </c>
      <c r="K32" s="372"/>
      <c r="L32" s="373"/>
      <c r="M32" s="373"/>
      <c r="N32" s="374"/>
      <c r="O32" s="375"/>
      <c r="P32" s="373"/>
      <c r="Q32" s="373"/>
      <c r="R32" s="373"/>
      <c r="S32" s="373"/>
      <c r="T32" s="373"/>
      <c r="U32" s="373"/>
      <c r="V32" s="373"/>
      <c r="W32" s="373"/>
      <c r="X32" s="373"/>
      <c r="Y32" s="376"/>
      <c r="Z32" s="377"/>
      <c r="AA32" s="378"/>
      <c r="AB32" s="378"/>
      <c r="AC32" s="379"/>
      <c r="AD32" s="380"/>
      <c r="AE32" s="372"/>
      <c r="AF32" s="375"/>
      <c r="AG32" s="373"/>
      <c r="AH32" s="381"/>
      <c r="AI32" s="380"/>
      <c r="AJ32" s="379"/>
      <c r="AK32" s="382"/>
      <c r="AL32" s="383"/>
      <c r="AM32" s="372"/>
      <c r="AN32" s="384"/>
      <c r="AO32" s="372"/>
      <c r="AP32" s="385"/>
      <c r="AQ32" s="372"/>
      <c r="AR32" s="384"/>
      <c r="AS32" s="372"/>
      <c r="AT32" s="385"/>
      <c r="AU32" s="54"/>
      <c r="AV32" s="18" t="e">
        <f>SUMIFS(#REF!,#REF!, $C32,#REF!, $E32,#REF!, $F32)</f>
        <v>#REF!</v>
      </c>
      <c r="AW32" s="55" t="e">
        <f>COUNTIFS(#REF!, $C32,#REF!, $E32,#REF!, $F32,#REF!, "&gt;=0")</f>
        <v>#REF!</v>
      </c>
      <c r="AX32" s="18" t="e">
        <f>COUNTIFS(#REF!, $C32,#REF!, $E32,#REF!, $F32,#REF!, "лично")</f>
        <v>#REF!</v>
      </c>
      <c r="AY32" s="387" t="s">
        <v>82</v>
      </c>
    </row>
    <row r="33" spans="1:50" ht="12" customHeight="1" x14ac:dyDescent="0.25">
      <c r="A33" s="363">
        <v>13</v>
      </c>
      <c r="B33" s="364" t="s">
        <v>76</v>
      </c>
      <c r="C33" s="365" t="s">
        <v>264</v>
      </c>
      <c r="D33" s="366" t="s">
        <v>454</v>
      </c>
      <c r="E33" s="367"/>
      <c r="F33" s="368" t="str">
        <f t="shared" si="0"/>
        <v>Сокращенное название</v>
      </c>
      <c r="G33" s="364" t="s">
        <v>624</v>
      </c>
      <c r="H33" s="369" t="str">
        <f t="shared" si="3"/>
        <v>Фамилия_1 Имя Отчество</v>
      </c>
      <c r="I33" s="370">
        <f t="shared" si="1"/>
        <v>0</v>
      </c>
      <c r="J33" s="371">
        <f t="shared" si="2"/>
        <v>0</v>
      </c>
      <c r="K33" s="372"/>
      <c r="L33" s="373"/>
      <c r="M33" s="373"/>
      <c r="N33" s="374"/>
      <c r="O33" s="375"/>
      <c r="P33" s="373"/>
      <c r="Q33" s="373"/>
      <c r="R33" s="373"/>
      <c r="S33" s="373"/>
      <c r="T33" s="373"/>
      <c r="U33" s="373"/>
      <c r="V33" s="373"/>
      <c r="W33" s="373"/>
      <c r="X33" s="373"/>
      <c r="Y33" s="376"/>
      <c r="Z33" s="377"/>
      <c r="AA33" s="378"/>
      <c r="AB33" s="378"/>
      <c r="AC33" s="379"/>
      <c r="AD33" s="380"/>
      <c r="AE33" s="372"/>
      <c r="AF33" s="375"/>
      <c r="AG33" s="373"/>
      <c r="AH33" s="381"/>
      <c r="AI33" s="380"/>
      <c r="AJ33" s="379"/>
      <c r="AK33" s="382"/>
      <c r="AL33" s="383"/>
      <c r="AM33" s="372"/>
      <c r="AN33" s="384"/>
      <c r="AO33" s="372"/>
      <c r="AP33" s="385"/>
      <c r="AQ33" s="372"/>
      <c r="AR33" s="384"/>
      <c r="AS33" s="372"/>
      <c r="AT33" s="385"/>
      <c r="AU33" s="54"/>
      <c r="AV33" s="18" t="e">
        <f>SUMIFS(#REF!,#REF!, $C33,#REF!, $E33,#REF!, $F33)</f>
        <v>#REF!</v>
      </c>
      <c r="AW33" s="55" t="e">
        <f>COUNTIFS(#REF!, $C33,#REF!, $E33,#REF!, $F33,#REF!, "&gt;=0")</f>
        <v>#REF!</v>
      </c>
      <c r="AX33" s="18" t="e">
        <f>COUNTIFS(#REF!, $C33,#REF!, $E33,#REF!, $F33,#REF!, "лично")</f>
        <v>#REF!</v>
      </c>
    </row>
    <row r="34" spans="1:50" ht="12" customHeight="1" x14ac:dyDescent="0.25">
      <c r="A34" s="363">
        <v>14</v>
      </c>
      <c r="B34" s="364" t="s">
        <v>76</v>
      </c>
      <c r="C34" s="365" t="s">
        <v>264</v>
      </c>
      <c r="D34" s="366" t="s">
        <v>454</v>
      </c>
      <c r="E34" s="367"/>
      <c r="F34" s="368" t="str">
        <f t="shared" si="0"/>
        <v>Сокращенное название</v>
      </c>
      <c r="G34" s="364" t="s">
        <v>624</v>
      </c>
      <c r="H34" s="369" t="str">
        <f t="shared" si="3"/>
        <v>Фамилия_1 Имя Отчество</v>
      </c>
      <c r="I34" s="370">
        <f t="shared" si="1"/>
        <v>0</v>
      </c>
      <c r="J34" s="371">
        <f t="shared" si="2"/>
        <v>0</v>
      </c>
      <c r="K34" s="372"/>
      <c r="L34" s="373"/>
      <c r="M34" s="373"/>
      <c r="N34" s="374"/>
      <c r="O34" s="375"/>
      <c r="P34" s="373"/>
      <c r="Q34" s="373"/>
      <c r="R34" s="373"/>
      <c r="S34" s="373"/>
      <c r="T34" s="373"/>
      <c r="U34" s="373"/>
      <c r="V34" s="373"/>
      <c r="W34" s="373"/>
      <c r="X34" s="373"/>
      <c r="Y34" s="376"/>
      <c r="Z34" s="377"/>
      <c r="AA34" s="378"/>
      <c r="AB34" s="378"/>
      <c r="AC34" s="379"/>
      <c r="AD34" s="380"/>
      <c r="AE34" s="372"/>
      <c r="AF34" s="375"/>
      <c r="AG34" s="373"/>
      <c r="AH34" s="381"/>
      <c r="AI34" s="380"/>
      <c r="AJ34" s="379"/>
      <c r="AK34" s="382"/>
      <c r="AL34" s="383"/>
      <c r="AM34" s="372"/>
      <c r="AN34" s="384"/>
      <c r="AO34" s="372"/>
      <c r="AP34" s="385"/>
      <c r="AQ34" s="372"/>
      <c r="AR34" s="384"/>
      <c r="AS34" s="372"/>
      <c r="AT34" s="385"/>
      <c r="AU34" s="54"/>
      <c r="AV34" s="18" t="e">
        <f>SUMIFS(#REF!,#REF!, $C34,#REF!, $E34,#REF!, $F34)</f>
        <v>#REF!</v>
      </c>
      <c r="AW34" s="55" t="e">
        <f>COUNTIFS(#REF!, $C34,#REF!, $E34,#REF!, $F34,#REF!, "&gt;=0")</f>
        <v>#REF!</v>
      </c>
      <c r="AX34" s="18" t="e">
        <f>COUNTIFS(#REF!, $C34,#REF!, $E34,#REF!, $F34,#REF!, "лично")</f>
        <v>#REF!</v>
      </c>
    </row>
    <row r="35" spans="1:50" ht="12" customHeight="1" x14ac:dyDescent="0.25">
      <c r="A35" s="363">
        <v>15</v>
      </c>
      <c r="B35" s="364" t="s">
        <v>76</v>
      </c>
      <c r="C35" s="365" t="s">
        <v>264</v>
      </c>
      <c r="D35" s="366" t="s">
        <v>454</v>
      </c>
      <c r="E35" s="367"/>
      <c r="F35" s="368" t="str">
        <f t="shared" si="0"/>
        <v>Сокращенное название</v>
      </c>
      <c r="G35" s="364" t="s">
        <v>624</v>
      </c>
      <c r="H35" s="369" t="str">
        <f t="shared" si="3"/>
        <v>Фамилия_1 Имя Отчество</v>
      </c>
      <c r="I35" s="370">
        <f t="shared" si="1"/>
        <v>0</v>
      </c>
      <c r="J35" s="371">
        <f t="shared" si="2"/>
        <v>0</v>
      </c>
      <c r="K35" s="372"/>
      <c r="L35" s="373"/>
      <c r="M35" s="373"/>
      <c r="N35" s="374"/>
      <c r="O35" s="375"/>
      <c r="P35" s="373"/>
      <c r="Q35" s="373"/>
      <c r="R35" s="373"/>
      <c r="S35" s="373"/>
      <c r="T35" s="373"/>
      <c r="U35" s="373"/>
      <c r="V35" s="373"/>
      <c r="W35" s="373"/>
      <c r="X35" s="373"/>
      <c r="Y35" s="376"/>
      <c r="Z35" s="377"/>
      <c r="AA35" s="378"/>
      <c r="AB35" s="378"/>
      <c r="AC35" s="379"/>
      <c r="AD35" s="380"/>
      <c r="AE35" s="372"/>
      <c r="AF35" s="375"/>
      <c r="AG35" s="373"/>
      <c r="AH35" s="381"/>
      <c r="AI35" s="380"/>
      <c r="AJ35" s="379"/>
      <c r="AK35" s="382"/>
      <c r="AL35" s="383"/>
      <c r="AM35" s="372"/>
      <c r="AN35" s="384"/>
      <c r="AO35" s="372"/>
      <c r="AP35" s="385"/>
      <c r="AQ35" s="372"/>
      <c r="AR35" s="384"/>
      <c r="AS35" s="372"/>
      <c r="AT35" s="385"/>
      <c r="AU35" s="54"/>
      <c r="AV35" s="18" t="e">
        <f>SUMIFS(#REF!,#REF!, $C35,#REF!, $E35,#REF!, $F35)</f>
        <v>#REF!</v>
      </c>
      <c r="AW35" s="55" t="e">
        <f>COUNTIFS(#REF!, $C35,#REF!, $E35,#REF!, $F35,#REF!, "&gt;=0")</f>
        <v>#REF!</v>
      </c>
      <c r="AX35" s="18" t="e">
        <f>COUNTIFS(#REF!, $C35,#REF!, $E35,#REF!, $F35,#REF!, "лично")</f>
        <v>#REF!</v>
      </c>
    </row>
    <row r="36" spans="1:50" ht="12" customHeight="1" x14ac:dyDescent="0.25">
      <c r="A36" s="363">
        <v>16</v>
      </c>
      <c r="B36" s="364" t="s">
        <v>76</v>
      </c>
      <c r="C36" s="365" t="s">
        <v>264</v>
      </c>
      <c r="D36" s="366" t="s">
        <v>454</v>
      </c>
      <c r="E36" s="367"/>
      <c r="F36" s="368" t="str">
        <f t="shared" si="0"/>
        <v>Сокращенное название</v>
      </c>
      <c r="G36" s="364" t="s">
        <v>624</v>
      </c>
      <c r="H36" s="369" t="str">
        <f t="shared" si="3"/>
        <v>Фамилия_1 Имя Отчество</v>
      </c>
      <c r="I36" s="370">
        <f t="shared" si="1"/>
        <v>0</v>
      </c>
      <c r="J36" s="371">
        <f t="shared" si="2"/>
        <v>0</v>
      </c>
      <c r="K36" s="372"/>
      <c r="L36" s="373"/>
      <c r="M36" s="373"/>
      <c r="N36" s="374"/>
      <c r="O36" s="375"/>
      <c r="P36" s="373"/>
      <c r="Q36" s="373"/>
      <c r="R36" s="373"/>
      <c r="S36" s="373"/>
      <c r="T36" s="373"/>
      <c r="U36" s="373"/>
      <c r="V36" s="373"/>
      <c r="W36" s="373"/>
      <c r="X36" s="373"/>
      <c r="Y36" s="376"/>
      <c r="Z36" s="377"/>
      <c r="AA36" s="378"/>
      <c r="AB36" s="378"/>
      <c r="AC36" s="379"/>
      <c r="AD36" s="380"/>
      <c r="AE36" s="372"/>
      <c r="AF36" s="375"/>
      <c r="AG36" s="373"/>
      <c r="AH36" s="381"/>
      <c r="AI36" s="380"/>
      <c r="AJ36" s="379"/>
      <c r="AK36" s="382"/>
      <c r="AL36" s="383"/>
      <c r="AM36" s="372"/>
      <c r="AN36" s="384"/>
      <c r="AO36" s="372"/>
      <c r="AP36" s="385"/>
      <c r="AQ36" s="372"/>
      <c r="AR36" s="384"/>
      <c r="AS36" s="372"/>
      <c r="AT36" s="385"/>
      <c r="AU36" s="54"/>
      <c r="AV36" s="18" t="e">
        <f>SUMIFS(#REF!,#REF!, $C36,#REF!, $E36,#REF!, $F36)</f>
        <v>#REF!</v>
      </c>
      <c r="AW36" s="55" t="e">
        <f>COUNTIFS(#REF!, $C36,#REF!, $E36,#REF!, $F36,#REF!, "&gt;=0")</f>
        <v>#REF!</v>
      </c>
      <c r="AX36" s="18" t="e">
        <f>COUNTIFS(#REF!, $C36,#REF!, $E36,#REF!, $F36,#REF!, "лично")</f>
        <v>#REF!</v>
      </c>
    </row>
    <row r="37" spans="1:50" ht="12" customHeight="1" x14ac:dyDescent="0.25">
      <c r="A37" s="363">
        <v>17</v>
      </c>
      <c r="B37" s="386" t="s">
        <v>100</v>
      </c>
      <c r="C37" s="365" t="s">
        <v>264</v>
      </c>
      <c r="D37" s="366" t="s">
        <v>454</v>
      </c>
      <c r="E37" s="367"/>
      <c r="F37" s="368" t="str">
        <f t="shared" si="0"/>
        <v>Сокращенное название</v>
      </c>
      <c r="G37" s="364" t="s">
        <v>624</v>
      </c>
      <c r="H37" s="369" t="str">
        <f t="shared" si="3"/>
        <v>Фамилия_1 Имя Отчество</v>
      </c>
      <c r="I37" s="370">
        <f t="shared" si="1"/>
        <v>0</v>
      </c>
      <c r="J37" s="371">
        <f t="shared" si="2"/>
        <v>0</v>
      </c>
      <c r="K37" s="372"/>
      <c r="L37" s="373"/>
      <c r="M37" s="373"/>
      <c r="N37" s="374"/>
      <c r="O37" s="375"/>
      <c r="P37" s="373"/>
      <c r="Q37" s="373"/>
      <c r="R37" s="373"/>
      <c r="S37" s="373"/>
      <c r="T37" s="373"/>
      <c r="U37" s="373"/>
      <c r="V37" s="373"/>
      <c r="W37" s="373"/>
      <c r="X37" s="373"/>
      <c r="Y37" s="376"/>
      <c r="Z37" s="377"/>
      <c r="AA37" s="378"/>
      <c r="AB37" s="378"/>
      <c r="AC37" s="379"/>
      <c r="AD37" s="380"/>
      <c r="AE37" s="372"/>
      <c r="AF37" s="375"/>
      <c r="AG37" s="373"/>
      <c r="AH37" s="381"/>
      <c r="AI37" s="380"/>
      <c r="AJ37" s="379"/>
      <c r="AK37" s="382"/>
      <c r="AL37" s="383"/>
      <c r="AM37" s="372"/>
      <c r="AN37" s="384"/>
      <c r="AO37" s="372"/>
      <c r="AP37" s="385"/>
      <c r="AQ37" s="372"/>
      <c r="AR37" s="384"/>
      <c r="AS37" s="372"/>
      <c r="AT37" s="385"/>
      <c r="AU37" s="54"/>
      <c r="AV37" s="18" t="e">
        <f>SUMIFS(#REF!,#REF!, $C37,#REF!, $E37,#REF!, $F37)</f>
        <v>#REF!</v>
      </c>
      <c r="AW37" s="55" t="e">
        <f>COUNTIFS(#REF!, $C37,#REF!, $E37,#REF!, $F37,#REF!, "&gt;=0")</f>
        <v>#REF!</v>
      </c>
      <c r="AX37" s="18" t="e">
        <f>COUNTIFS(#REF!, $C37,#REF!, $E37,#REF!, $F37,#REF!, "лично")</f>
        <v>#REF!</v>
      </c>
    </row>
    <row r="38" spans="1:50" ht="12" customHeight="1" x14ac:dyDescent="0.25">
      <c r="A38" s="363">
        <v>18</v>
      </c>
      <c r="B38" s="386" t="s">
        <v>117</v>
      </c>
      <c r="C38" s="365" t="s">
        <v>264</v>
      </c>
      <c r="D38" s="366" t="s">
        <v>454</v>
      </c>
      <c r="E38" s="367"/>
      <c r="F38" s="368" t="str">
        <f t="shared" si="0"/>
        <v>Сокращенное название</v>
      </c>
      <c r="G38" s="364" t="s">
        <v>624</v>
      </c>
      <c r="H38" s="369" t="str">
        <f t="shared" si="3"/>
        <v>Фамилия_1 Имя Отчество</v>
      </c>
      <c r="I38" s="370">
        <f t="shared" si="1"/>
        <v>0</v>
      </c>
      <c r="J38" s="371">
        <f t="shared" si="2"/>
        <v>0</v>
      </c>
      <c r="K38" s="372"/>
      <c r="L38" s="373"/>
      <c r="M38" s="373"/>
      <c r="N38" s="374"/>
      <c r="O38" s="375"/>
      <c r="P38" s="373"/>
      <c r="Q38" s="373"/>
      <c r="R38" s="373"/>
      <c r="S38" s="373"/>
      <c r="T38" s="373"/>
      <c r="U38" s="373"/>
      <c r="V38" s="373"/>
      <c r="W38" s="373"/>
      <c r="X38" s="373"/>
      <c r="Y38" s="376"/>
      <c r="Z38" s="377"/>
      <c r="AA38" s="378"/>
      <c r="AB38" s="378"/>
      <c r="AC38" s="379"/>
      <c r="AD38" s="380"/>
      <c r="AE38" s="372"/>
      <c r="AF38" s="375"/>
      <c r="AG38" s="373"/>
      <c r="AH38" s="381"/>
      <c r="AI38" s="380"/>
      <c r="AJ38" s="379"/>
      <c r="AK38" s="382"/>
      <c r="AL38" s="383"/>
      <c r="AM38" s="372"/>
      <c r="AN38" s="384"/>
      <c r="AO38" s="372"/>
      <c r="AP38" s="385"/>
      <c r="AQ38" s="372"/>
      <c r="AR38" s="384"/>
      <c r="AS38" s="372"/>
      <c r="AT38" s="385"/>
      <c r="AU38" s="54"/>
      <c r="AV38" s="18" t="e">
        <f>SUMIFS(#REF!,#REF!, $C38,#REF!, $E38,#REF!, $F38)</f>
        <v>#REF!</v>
      </c>
      <c r="AW38" s="55" t="e">
        <f>COUNTIFS(#REF!, $C38,#REF!, $E38,#REF!, $F38,#REF!, "&gt;=0")</f>
        <v>#REF!</v>
      </c>
      <c r="AX38" s="18" t="e">
        <f>COUNTIFS(#REF!, $C38,#REF!, $E38,#REF!, $F38,#REF!, "лично")</f>
        <v>#REF!</v>
      </c>
    </row>
    <row r="39" spans="1:50" ht="12" customHeight="1" x14ac:dyDescent="0.25">
      <c r="A39" s="363">
        <v>19</v>
      </c>
      <c r="B39" s="386" t="s">
        <v>158</v>
      </c>
      <c r="C39" s="365" t="s">
        <v>264</v>
      </c>
      <c r="D39" s="366" t="s">
        <v>454</v>
      </c>
      <c r="E39" s="367"/>
      <c r="F39" s="368" t="str">
        <f t="shared" si="0"/>
        <v>Сокращенное название</v>
      </c>
      <c r="G39" s="364" t="s">
        <v>624</v>
      </c>
      <c r="H39" s="369" t="str">
        <f t="shared" si="3"/>
        <v>Фамилия_1 Имя Отчество</v>
      </c>
      <c r="I39" s="370">
        <f t="shared" si="1"/>
        <v>0</v>
      </c>
      <c r="J39" s="371">
        <f t="shared" si="2"/>
        <v>0</v>
      </c>
      <c r="K39" s="372"/>
      <c r="L39" s="373"/>
      <c r="M39" s="373"/>
      <c r="N39" s="374"/>
      <c r="O39" s="375"/>
      <c r="P39" s="373"/>
      <c r="Q39" s="373"/>
      <c r="R39" s="373"/>
      <c r="S39" s="373"/>
      <c r="T39" s="373"/>
      <c r="U39" s="373"/>
      <c r="V39" s="373"/>
      <c r="W39" s="373"/>
      <c r="X39" s="373"/>
      <c r="Y39" s="376"/>
      <c r="Z39" s="377"/>
      <c r="AA39" s="378"/>
      <c r="AB39" s="378"/>
      <c r="AC39" s="379"/>
      <c r="AD39" s="380"/>
      <c r="AE39" s="372"/>
      <c r="AF39" s="375"/>
      <c r="AG39" s="373"/>
      <c r="AH39" s="381"/>
      <c r="AI39" s="380"/>
      <c r="AJ39" s="379"/>
      <c r="AK39" s="382"/>
      <c r="AL39" s="383"/>
      <c r="AM39" s="372"/>
      <c r="AN39" s="384"/>
      <c r="AO39" s="372"/>
      <c r="AP39" s="385"/>
      <c r="AQ39" s="372"/>
      <c r="AR39" s="384"/>
      <c r="AS39" s="372"/>
      <c r="AT39" s="385"/>
      <c r="AU39" s="54"/>
      <c r="AV39" s="18" t="e">
        <f>SUMIFS(#REF!,#REF!, $C39,#REF!, $E39,#REF!, $F39)</f>
        <v>#REF!</v>
      </c>
      <c r="AW39" s="55" t="e">
        <f>COUNTIFS(#REF!, $C39,#REF!, $E39,#REF!, $F39,#REF!, "&gt;=0")</f>
        <v>#REF!</v>
      </c>
      <c r="AX39" s="18" t="e">
        <f>COUNTIFS(#REF!, $C39,#REF!, $E39,#REF!, $F39,#REF!, "лично")</f>
        <v>#REF!</v>
      </c>
    </row>
    <row r="40" spans="1:50" ht="12" customHeight="1" x14ac:dyDescent="0.25">
      <c r="A40" s="363">
        <v>20</v>
      </c>
      <c r="B40" s="364" t="s">
        <v>261</v>
      </c>
      <c r="C40" s="365" t="s">
        <v>264</v>
      </c>
      <c r="D40" s="366" t="s">
        <v>454</v>
      </c>
      <c r="E40" s="367"/>
      <c r="F40" s="368" t="str">
        <f t="shared" si="0"/>
        <v>Сокращенное название</v>
      </c>
      <c r="G40" s="364" t="s">
        <v>624</v>
      </c>
      <c r="H40" s="369" t="str">
        <f t="shared" si="3"/>
        <v>Фамилия_1 Имя Отчество</v>
      </c>
      <c r="I40" s="370">
        <f t="shared" si="1"/>
        <v>0</v>
      </c>
      <c r="J40" s="371">
        <f t="shared" si="2"/>
        <v>0</v>
      </c>
      <c r="K40" s="372"/>
      <c r="L40" s="373"/>
      <c r="M40" s="373"/>
      <c r="N40" s="374"/>
      <c r="O40" s="375"/>
      <c r="P40" s="373"/>
      <c r="Q40" s="373"/>
      <c r="R40" s="373"/>
      <c r="S40" s="373"/>
      <c r="T40" s="373"/>
      <c r="U40" s="373"/>
      <c r="V40" s="373"/>
      <c r="W40" s="373"/>
      <c r="X40" s="373"/>
      <c r="Y40" s="376"/>
      <c r="Z40" s="377"/>
      <c r="AA40" s="378"/>
      <c r="AB40" s="378"/>
      <c r="AC40" s="379"/>
      <c r="AD40" s="380"/>
      <c r="AE40" s="372"/>
      <c r="AF40" s="375"/>
      <c r="AG40" s="373"/>
      <c r="AH40" s="381"/>
      <c r="AI40" s="380"/>
      <c r="AJ40" s="379"/>
      <c r="AK40" s="382"/>
      <c r="AL40" s="383"/>
      <c r="AM40" s="372"/>
      <c r="AN40" s="384"/>
      <c r="AO40" s="372"/>
      <c r="AP40" s="385"/>
      <c r="AQ40" s="372"/>
      <c r="AR40" s="384"/>
      <c r="AS40" s="372"/>
      <c r="AT40" s="385"/>
      <c r="AU40" s="54"/>
      <c r="AV40" s="18" t="e">
        <f>SUMIFS(#REF!,#REF!, $C40,#REF!, $E40,#REF!, $F40)</f>
        <v>#REF!</v>
      </c>
      <c r="AW40" s="55" t="e">
        <f>COUNTIFS(#REF!, $C40,#REF!, $E40,#REF!, $F40,#REF!, "&gt;=0")</f>
        <v>#REF!</v>
      </c>
      <c r="AX40" s="18" t="e">
        <f>COUNTIFS(#REF!, $C40,#REF!, $E40,#REF!, $F40,#REF!, "лично")</f>
        <v>#REF!</v>
      </c>
    </row>
    <row r="41" spans="1:50" ht="12" customHeight="1" x14ac:dyDescent="0.25">
      <c r="A41" s="363">
        <v>21</v>
      </c>
      <c r="B41" s="364" t="s">
        <v>262</v>
      </c>
      <c r="C41" s="365" t="s">
        <v>264</v>
      </c>
      <c r="D41" s="366" t="s">
        <v>454</v>
      </c>
      <c r="E41" s="367"/>
      <c r="F41" s="368" t="str">
        <f t="shared" si="0"/>
        <v>Сокращенное название</v>
      </c>
      <c r="G41" s="364" t="s">
        <v>624</v>
      </c>
      <c r="H41" s="369" t="str">
        <f t="shared" si="3"/>
        <v>Фамилия_1 Имя Отчество</v>
      </c>
      <c r="I41" s="370">
        <f t="shared" si="1"/>
        <v>0</v>
      </c>
      <c r="J41" s="371">
        <f t="shared" si="2"/>
        <v>0</v>
      </c>
      <c r="K41" s="372"/>
      <c r="L41" s="373"/>
      <c r="M41" s="373"/>
      <c r="N41" s="374"/>
      <c r="O41" s="375"/>
      <c r="P41" s="373"/>
      <c r="Q41" s="373"/>
      <c r="R41" s="373"/>
      <c r="S41" s="373"/>
      <c r="T41" s="373"/>
      <c r="U41" s="373"/>
      <c r="V41" s="373"/>
      <c r="W41" s="373"/>
      <c r="X41" s="373"/>
      <c r="Y41" s="376"/>
      <c r="Z41" s="377"/>
      <c r="AA41" s="378"/>
      <c r="AB41" s="378"/>
      <c r="AC41" s="379"/>
      <c r="AD41" s="380"/>
      <c r="AE41" s="372"/>
      <c r="AF41" s="375"/>
      <c r="AG41" s="373"/>
      <c r="AH41" s="381"/>
      <c r="AI41" s="380"/>
      <c r="AJ41" s="379"/>
      <c r="AK41" s="382"/>
      <c r="AL41" s="383"/>
      <c r="AM41" s="372"/>
      <c r="AN41" s="384"/>
      <c r="AO41" s="372"/>
      <c r="AP41" s="385"/>
      <c r="AQ41" s="372"/>
      <c r="AR41" s="384"/>
      <c r="AS41" s="372"/>
      <c r="AT41" s="385"/>
      <c r="AU41" s="54"/>
      <c r="AV41" s="18" t="e">
        <f>SUMIFS(#REF!,#REF!, $C41,#REF!, $E41,#REF!, $F41)</f>
        <v>#REF!</v>
      </c>
      <c r="AW41" s="55" t="e">
        <f>COUNTIFS(#REF!, $C41,#REF!, $E41,#REF!, $F41,#REF!, "&gt;=0")</f>
        <v>#REF!</v>
      </c>
      <c r="AX41" s="18" t="e">
        <f>COUNTIFS(#REF!, $C41,#REF!, $E41,#REF!, $F41,#REF!, "лично")</f>
        <v>#REF!</v>
      </c>
    </row>
    <row r="42" spans="1:50" ht="12" customHeight="1" x14ac:dyDescent="0.25">
      <c r="A42" s="363">
        <v>22</v>
      </c>
      <c r="B42" s="364" t="s">
        <v>76</v>
      </c>
      <c r="C42" s="365" t="s">
        <v>264</v>
      </c>
      <c r="D42" s="366" t="s">
        <v>454</v>
      </c>
      <c r="E42" s="367"/>
      <c r="F42" s="368" t="str">
        <f t="shared" si="0"/>
        <v>Сокращенное название</v>
      </c>
      <c r="G42" s="364" t="s">
        <v>624</v>
      </c>
      <c r="H42" s="369" t="str">
        <f t="shared" si="3"/>
        <v>Фамилия_1 Имя Отчество</v>
      </c>
      <c r="I42" s="370">
        <f t="shared" si="1"/>
        <v>0</v>
      </c>
      <c r="J42" s="371">
        <f t="shared" si="2"/>
        <v>0</v>
      </c>
      <c r="K42" s="372"/>
      <c r="L42" s="373"/>
      <c r="M42" s="373"/>
      <c r="N42" s="374"/>
      <c r="O42" s="375"/>
      <c r="P42" s="373"/>
      <c r="Q42" s="373"/>
      <c r="R42" s="373"/>
      <c r="S42" s="373"/>
      <c r="T42" s="373"/>
      <c r="U42" s="373"/>
      <c r="V42" s="373"/>
      <c r="W42" s="373"/>
      <c r="X42" s="373"/>
      <c r="Y42" s="376"/>
      <c r="Z42" s="377"/>
      <c r="AA42" s="378"/>
      <c r="AB42" s="378"/>
      <c r="AC42" s="379"/>
      <c r="AD42" s="380"/>
      <c r="AE42" s="372"/>
      <c r="AF42" s="375"/>
      <c r="AG42" s="373"/>
      <c r="AH42" s="381"/>
      <c r="AI42" s="380"/>
      <c r="AJ42" s="379"/>
      <c r="AK42" s="382"/>
      <c r="AL42" s="383"/>
      <c r="AM42" s="372"/>
      <c r="AN42" s="384"/>
      <c r="AO42" s="372"/>
      <c r="AP42" s="385"/>
      <c r="AQ42" s="372"/>
      <c r="AR42" s="384"/>
      <c r="AS42" s="372"/>
      <c r="AT42" s="385"/>
      <c r="AU42" s="54"/>
      <c r="AV42" s="18" t="e">
        <f>SUMIFS(#REF!,#REF!, $C42,#REF!, $E42,#REF!, $F42)</f>
        <v>#REF!</v>
      </c>
      <c r="AW42" s="55" t="e">
        <f>COUNTIFS(#REF!, $C42,#REF!, $E42,#REF!, $F42,#REF!, "&gt;=0")</f>
        <v>#REF!</v>
      </c>
      <c r="AX42" s="18" t="e">
        <f>COUNTIFS(#REF!, $C42,#REF!, $E42,#REF!, $F42,#REF!, "лично")</f>
        <v>#REF!</v>
      </c>
    </row>
    <row r="43" spans="1:50" ht="12" customHeight="1" x14ac:dyDescent="0.25">
      <c r="A43" s="363">
        <v>23</v>
      </c>
      <c r="B43" s="364" t="s">
        <v>262</v>
      </c>
      <c r="C43" s="365" t="s">
        <v>264</v>
      </c>
      <c r="D43" s="366" t="s">
        <v>454</v>
      </c>
      <c r="E43" s="367"/>
      <c r="F43" s="368" t="str">
        <f t="shared" si="0"/>
        <v>Сокращенное название</v>
      </c>
      <c r="G43" s="364" t="s">
        <v>624</v>
      </c>
      <c r="H43" s="369" t="str">
        <f t="shared" si="3"/>
        <v>Фамилия_1 Имя Отчество</v>
      </c>
      <c r="I43" s="370">
        <f t="shared" si="1"/>
        <v>0</v>
      </c>
      <c r="J43" s="371">
        <f t="shared" si="2"/>
        <v>0</v>
      </c>
      <c r="K43" s="372"/>
      <c r="L43" s="373"/>
      <c r="M43" s="373"/>
      <c r="N43" s="374"/>
      <c r="O43" s="375"/>
      <c r="P43" s="373"/>
      <c r="Q43" s="373"/>
      <c r="R43" s="373"/>
      <c r="S43" s="373"/>
      <c r="T43" s="373"/>
      <c r="U43" s="373"/>
      <c r="V43" s="373"/>
      <c r="W43" s="373"/>
      <c r="X43" s="373"/>
      <c r="Y43" s="376"/>
      <c r="Z43" s="377"/>
      <c r="AA43" s="378"/>
      <c r="AB43" s="378"/>
      <c r="AC43" s="379"/>
      <c r="AD43" s="380"/>
      <c r="AE43" s="372"/>
      <c r="AF43" s="375"/>
      <c r="AG43" s="373"/>
      <c r="AH43" s="381"/>
      <c r="AI43" s="380"/>
      <c r="AJ43" s="379"/>
      <c r="AK43" s="382"/>
      <c r="AL43" s="383"/>
      <c r="AM43" s="372"/>
      <c r="AN43" s="384"/>
      <c r="AO43" s="372"/>
      <c r="AP43" s="385"/>
      <c r="AQ43" s="372"/>
      <c r="AR43" s="384"/>
      <c r="AS43" s="372"/>
      <c r="AT43" s="385"/>
      <c r="AU43" s="54"/>
      <c r="AV43" s="18" t="e">
        <f>SUMIFS(#REF!,#REF!, $C43,#REF!, $E43,#REF!, $F43)</f>
        <v>#REF!</v>
      </c>
      <c r="AW43" s="55" t="e">
        <f>COUNTIFS(#REF!, $C43,#REF!, $E43,#REF!, $F43,#REF!, "&gt;=0")</f>
        <v>#REF!</v>
      </c>
      <c r="AX43" s="18" t="e">
        <f>COUNTIFS(#REF!, $C43,#REF!, $E43,#REF!, $F43,#REF!, "лично")</f>
        <v>#REF!</v>
      </c>
    </row>
    <row r="44" spans="1:50" ht="12" customHeight="1" x14ac:dyDescent="0.25">
      <c r="A44" s="363">
        <v>24</v>
      </c>
      <c r="B44" s="364" t="s">
        <v>76</v>
      </c>
      <c r="C44" s="365" t="s">
        <v>264</v>
      </c>
      <c r="D44" s="366" t="s">
        <v>454</v>
      </c>
      <c r="E44" s="367"/>
      <c r="F44" s="368" t="str">
        <f t="shared" si="0"/>
        <v>Сокращенное название</v>
      </c>
      <c r="G44" s="364" t="s">
        <v>624</v>
      </c>
      <c r="H44" s="369" t="str">
        <f t="shared" si="3"/>
        <v>Фамилия_1 Имя Отчество</v>
      </c>
      <c r="I44" s="370">
        <f t="shared" si="1"/>
        <v>0</v>
      </c>
      <c r="J44" s="371">
        <f t="shared" si="2"/>
        <v>0</v>
      </c>
      <c r="K44" s="372"/>
      <c r="L44" s="373"/>
      <c r="M44" s="373"/>
      <c r="N44" s="374"/>
      <c r="O44" s="375"/>
      <c r="P44" s="373"/>
      <c r="Q44" s="373"/>
      <c r="R44" s="373"/>
      <c r="S44" s="373"/>
      <c r="T44" s="373"/>
      <c r="U44" s="373"/>
      <c r="V44" s="373"/>
      <c r="W44" s="373"/>
      <c r="X44" s="373"/>
      <c r="Y44" s="376"/>
      <c r="Z44" s="377"/>
      <c r="AA44" s="378"/>
      <c r="AB44" s="378"/>
      <c r="AC44" s="379"/>
      <c r="AD44" s="380"/>
      <c r="AE44" s="372"/>
      <c r="AF44" s="375"/>
      <c r="AG44" s="373"/>
      <c r="AH44" s="381"/>
      <c r="AI44" s="380"/>
      <c r="AJ44" s="379"/>
      <c r="AK44" s="382"/>
      <c r="AL44" s="383"/>
      <c r="AM44" s="372"/>
      <c r="AN44" s="384"/>
      <c r="AO44" s="372"/>
      <c r="AP44" s="385"/>
      <c r="AQ44" s="372"/>
      <c r="AR44" s="384"/>
      <c r="AS44" s="372"/>
      <c r="AT44" s="385"/>
      <c r="AU44" s="54"/>
      <c r="AV44" s="18" t="e">
        <f>SUMIFS(#REF!,#REF!, $C44,#REF!, $E44,#REF!, $F44)</f>
        <v>#REF!</v>
      </c>
      <c r="AW44" s="55" t="e">
        <f>COUNTIFS(#REF!, $C44,#REF!, $E44,#REF!, $F44,#REF!, "&gt;=0")</f>
        <v>#REF!</v>
      </c>
      <c r="AX44" s="18" t="e">
        <f>COUNTIFS(#REF!, $C44,#REF!, $E44,#REF!, $F44,#REF!, "лично")</f>
        <v>#REF!</v>
      </c>
    </row>
    <row r="45" spans="1:50" ht="12.75" customHeight="1" x14ac:dyDescent="0.25">
      <c r="A45" s="363">
        <v>25</v>
      </c>
      <c r="B45" s="388" t="s">
        <v>84</v>
      </c>
      <c r="C45" s="389" t="s">
        <v>264</v>
      </c>
      <c r="D45" s="390" t="s">
        <v>454</v>
      </c>
      <c r="E45" s="391"/>
      <c r="F45" s="392" t="str">
        <f t="shared" si="0"/>
        <v>Сокращенное название</v>
      </c>
      <c r="G45" s="388" t="s">
        <v>624</v>
      </c>
      <c r="H45" s="393" t="str">
        <f t="shared" si="3"/>
        <v>Фамилия_1 Имя Отчество</v>
      </c>
      <c r="I45" s="394">
        <f t="shared" si="1"/>
        <v>0</v>
      </c>
      <c r="J45" s="395">
        <f t="shared" si="2"/>
        <v>0</v>
      </c>
      <c r="K45" s="396"/>
      <c r="L45" s="397"/>
      <c r="M45" s="397"/>
      <c r="N45" s="398"/>
      <c r="O45" s="399"/>
      <c r="P45" s="397"/>
      <c r="Q45" s="397"/>
      <c r="R45" s="397"/>
      <c r="S45" s="397"/>
      <c r="T45" s="397"/>
      <c r="U45" s="397"/>
      <c r="V45" s="397"/>
      <c r="W45" s="397"/>
      <c r="X45" s="397"/>
      <c r="Y45" s="400"/>
      <c r="Z45" s="401"/>
      <c r="AA45" s="402"/>
      <c r="AB45" s="402"/>
      <c r="AC45" s="403"/>
      <c r="AD45" s="404"/>
      <c r="AE45" s="396"/>
      <c r="AF45" s="399"/>
      <c r="AG45" s="397"/>
      <c r="AH45" s="405"/>
      <c r="AI45" s="404"/>
      <c r="AJ45" s="403"/>
      <c r="AK45" s="406"/>
      <c r="AL45" s="407"/>
      <c r="AM45" s="396"/>
      <c r="AN45" s="408"/>
      <c r="AO45" s="396"/>
      <c r="AP45" s="409"/>
      <c r="AQ45" s="396"/>
      <c r="AR45" s="408"/>
      <c r="AS45" s="396"/>
      <c r="AT45" s="409"/>
      <c r="AU45" s="54"/>
      <c r="AV45" s="18" t="e">
        <f>SUMIFS(#REF!,#REF!, $C45,#REF!, $E45,#REF!, $F45)</f>
        <v>#REF!</v>
      </c>
      <c r="AW45" s="55" t="e">
        <f>COUNTIFS(#REF!, $C45,#REF!, $E45,#REF!, $F45,#REF!, "&gt;=0")</f>
        <v>#REF!</v>
      </c>
      <c r="AX45" s="18" t="e">
        <f>COUNTIFS(#REF!, $C45,#REF!, $E45,#REF!, $F45,#REF!, "лично")</f>
        <v>#REF!</v>
      </c>
    </row>
    <row r="46" spans="1:50" ht="12" customHeight="1" x14ac:dyDescent="0.25">
      <c r="A46" s="410">
        <f t="shared" ref="A46:A70" si="4">A45+1</f>
        <v>26</v>
      </c>
      <c r="B46" s="411" t="s">
        <v>158</v>
      </c>
      <c r="C46" s="412" t="s">
        <v>265</v>
      </c>
      <c r="D46" s="413" t="s">
        <v>454</v>
      </c>
      <c r="E46" s="414"/>
      <c r="F46" s="415" t="str">
        <f t="shared" si="0"/>
        <v>Сокращенное название</v>
      </c>
      <c r="G46" s="416" t="s">
        <v>625</v>
      </c>
      <c r="H46" s="417" t="str">
        <f t="shared" si="3"/>
        <v>Фамилия_1 Имя Отчество</v>
      </c>
      <c r="I46" s="418">
        <f t="shared" si="1"/>
        <v>0</v>
      </c>
      <c r="J46" s="419">
        <f t="shared" si="2"/>
        <v>0</v>
      </c>
      <c r="K46" s="420"/>
      <c r="L46" s="421"/>
      <c r="M46" s="421"/>
      <c r="N46" s="422"/>
      <c r="O46" s="423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2"/>
      <c r="AA46" s="424"/>
      <c r="AB46" s="424"/>
      <c r="AC46" s="425"/>
      <c r="AD46" s="426"/>
      <c r="AE46" s="427"/>
      <c r="AF46" s="428"/>
      <c r="AG46" s="429"/>
      <c r="AH46" s="430"/>
      <c r="AI46" s="426"/>
      <c r="AJ46" s="431"/>
      <c r="AK46" s="432"/>
      <c r="AL46" s="433"/>
      <c r="AM46" s="420"/>
      <c r="AN46" s="434"/>
      <c r="AO46" s="420"/>
      <c r="AP46" s="434"/>
      <c r="AQ46" s="420"/>
      <c r="AR46" s="434"/>
      <c r="AS46" s="420"/>
      <c r="AT46" s="434"/>
      <c r="AU46" s="54"/>
      <c r="AV46" s="18" t="e">
        <f>SUMIFS(#REF!,#REF!, $C46,#REF!, $E46,#REF!, $F46)</f>
        <v>#REF!</v>
      </c>
      <c r="AW46" s="55" t="e">
        <f>COUNTIFS(#REF!, $C46,#REF!, $E46,#REF!, $F46,#REF!, "&gt;=0")</f>
        <v>#REF!</v>
      </c>
      <c r="AX46" s="18" t="e">
        <f>COUNTIFS(#REF!, $C46,#REF!, $E46,#REF!, $F46,#REF!, "лично")</f>
        <v>#REF!</v>
      </c>
    </row>
    <row r="47" spans="1:50" ht="12" customHeight="1" x14ac:dyDescent="0.25">
      <c r="A47" s="363">
        <f t="shared" si="4"/>
        <v>27</v>
      </c>
      <c r="B47" s="364" t="s">
        <v>84</v>
      </c>
      <c r="C47" s="365" t="s">
        <v>265</v>
      </c>
      <c r="D47" s="366" t="s">
        <v>454</v>
      </c>
      <c r="E47" s="367"/>
      <c r="F47" s="369" t="str">
        <f t="shared" si="0"/>
        <v>Сокращенное название</v>
      </c>
      <c r="G47" s="364" t="s">
        <v>625</v>
      </c>
      <c r="H47" s="369" t="str">
        <f t="shared" si="3"/>
        <v>Фамилия_1 Имя Отчество</v>
      </c>
      <c r="I47" s="370">
        <f t="shared" si="1"/>
        <v>0</v>
      </c>
      <c r="J47" s="371">
        <f t="shared" si="2"/>
        <v>0</v>
      </c>
      <c r="K47" s="372"/>
      <c r="L47" s="373"/>
      <c r="M47" s="373"/>
      <c r="N47" s="374"/>
      <c r="O47" s="375"/>
      <c r="P47" s="373"/>
      <c r="Q47" s="373"/>
      <c r="R47" s="373"/>
      <c r="S47" s="373"/>
      <c r="T47" s="373"/>
      <c r="U47" s="373"/>
      <c r="V47" s="373"/>
      <c r="W47" s="373"/>
      <c r="X47" s="373"/>
      <c r="Y47" s="373"/>
      <c r="Z47" s="374"/>
      <c r="AA47" s="378"/>
      <c r="AB47" s="378"/>
      <c r="AC47" s="379"/>
      <c r="AD47" s="380"/>
      <c r="AE47" s="372"/>
      <c r="AF47" s="375"/>
      <c r="AG47" s="373"/>
      <c r="AH47" s="381"/>
      <c r="AI47" s="380"/>
      <c r="AJ47" s="379"/>
      <c r="AK47" s="382"/>
      <c r="AL47" s="383"/>
      <c r="AM47" s="372"/>
      <c r="AN47" s="385"/>
      <c r="AO47" s="372"/>
      <c r="AP47" s="385"/>
      <c r="AQ47" s="372"/>
      <c r="AR47" s="385"/>
      <c r="AS47" s="372"/>
      <c r="AT47" s="385"/>
      <c r="AU47" s="54"/>
      <c r="AV47" s="18" t="e">
        <f>SUMIFS(#REF!,#REF!, $C47,#REF!, $E47,#REF!, $F47)</f>
        <v>#REF!</v>
      </c>
      <c r="AW47" s="55" t="e">
        <f>COUNTIFS(#REF!, $C47,#REF!, $E47,#REF!, $F47,#REF!, "&gt;=0")</f>
        <v>#REF!</v>
      </c>
      <c r="AX47" s="18" t="e">
        <f>COUNTIFS(#REF!, $C47,#REF!, $E47,#REF!, $F47,#REF!, "лично")</f>
        <v>#REF!</v>
      </c>
    </row>
    <row r="48" spans="1:50" ht="12" customHeight="1" x14ac:dyDescent="0.25">
      <c r="A48" s="363">
        <f t="shared" si="4"/>
        <v>28</v>
      </c>
      <c r="B48" s="364" t="s">
        <v>260</v>
      </c>
      <c r="C48" s="365" t="s">
        <v>265</v>
      </c>
      <c r="D48" s="366" t="s">
        <v>454</v>
      </c>
      <c r="E48" s="367"/>
      <c r="F48" s="369" t="str">
        <f t="shared" si="0"/>
        <v>Сокращенное название</v>
      </c>
      <c r="G48" s="364" t="s">
        <v>625</v>
      </c>
      <c r="H48" s="369" t="str">
        <f t="shared" si="3"/>
        <v>Фамилия_1 Имя Отчество</v>
      </c>
      <c r="I48" s="370">
        <f t="shared" si="1"/>
        <v>0</v>
      </c>
      <c r="J48" s="371">
        <f t="shared" si="2"/>
        <v>0</v>
      </c>
      <c r="K48" s="372"/>
      <c r="L48" s="373"/>
      <c r="M48" s="373"/>
      <c r="N48" s="374"/>
      <c r="O48" s="375"/>
      <c r="P48" s="373"/>
      <c r="Q48" s="373"/>
      <c r="R48" s="373"/>
      <c r="S48" s="373"/>
      <c r="T48" s="373"/>
      <c r="U48" s="373"/>
      <c r="V48" s="373"/>
      <c r="W48" s="373"/>
      <c r="X48" s="373"/>
      <c r="Y48" s="373"/>
      <c r="Z48" s="374"/>
      <c r="AA48" s="378"/>
      <c r="AB48" s="378"/>
      <c r="AC48" s="379"/>
      <c r="AD48" s="380"/>
      <c r="AE48" s="372"/>
      <c r="AF48" s="375"/>
      <c r="AG48" s="373"/>
      <c r="AH48" s="381"/>
      <c r="AI48" s="380"/>
      <c r="AJ48" s="379"/>
      <c r="AK48" s="382"/>
      <c r="AL48" s="383"/>
      <c r="AM48" s="372"/>
      <c r="AN48" s="385"/>
      <c r="AO48" s="372"/>
      <c r="AP48" s="385"/>
      <c r="AQ48" s="372"/>
      <c r="AR48" s="385"/>
      <c r="AS48" s="372"/>
      <c r="AT48" s="385"/>
      <c r="AU48" s="54"/>
      <c r="AV48" s="18" t="e">
        <f>SUMIFS(#REF!,#REF!, $C48,#REF!, $E48,#REF!, $F48)</f>
        <v>#REF!</v>
      </c>
      <c r="AW48" s="55" t="e">
        <f>COUNTIFS(#REF!, $C48,#REF!, $E48,#REF!, $F48,#REF!, "&gt;=0")</f>
        <v>#REF!</v>
      </c>
      <c r="AX48" s="18" t="e">
        <f>COUNTIFS(#REF!, $C48,#REF!, $E48,#REF!, $F48,#REF!, "лично")</f>
        <v>#REF!</v>
      </c>
    </row>
    <row r="49" spans="1:50" ht="12" customHeight="1" x14ac:dyDescent="0.25">
      <c r="A49" s="363">
        <f t="shared" si="4"/>
        <v>29</v>
      </c>
      <c r="B49" s="364" t="s">
        <v>261</v>
      </c>
      <c r="C49" s="365" t="s">
        <v>265</v>
      </c>
      <c r="D49" s="366" t="s">
        <v>454</v>
      </c>
      <c r="E49" s="367"/>
      <c r="F49" s="369" t="str">
        <f t="shared" si="0"/>
        <v>Сокращенное название</v>
      </c>
      <c r="G49" s="364" t="s">
        <v>625</v>
      </c>
      <c r="H49" s="369" t="str">
        <f t="shared" si="3"/>
        <v>Фамилия_1 Имя Отчество</v>
      </c>
      <c r="I49" s="370">
        <f t="shared" si="1"/>
        <v>0</v>
      </c>
      <c r="J49" s="371">
        <f t="shared" si="2"/>
        <v>0</v>
      </c>
      <c r="K49" s="372"/>
      <c r="L49" s="373"/>
      <c r="M49" s="373"/>
      <c r="N49" s="374"/>
      <c r="O49" s="375"/>
      <c r="P49" s="373"/>
      <c r="Q49" s="373"/>
      <c r="R49" s="373"/>
      <c r="S49" s="373"/>
      <c r="T49" s="373"/>
      <c r="U49" s="373"/>
      <c r="V49" s="373"/>
      <c r="W49" s="373"/>
      <c r="X49" s="373"/>
      <c r="Y49" s="373"/>
      <c r="Z49" s="374"/>
      <c r="AA49" s="378"/>
      <c r="AB49" s="378"/>
      <c r="AC49" s="379"/>
      <c r="AD49" s="380"/>
      <c r="AE49" s="372"/>
      <c r="AF49" s="375"/>
      <c r="AG49" s="373"/>
      <c r="AH49" s="381"/>
      <c r="AI49" s="380"/>
      <c r="AJ49" s="379"/>
      <c r="AK49" s="382"/>
      <c r="AL49" s="383"/>
      <c r="AM49" s="372"/>
      <c r="AN49" s="385"/>
      <c r="AO49" s="372"/>
      <c r="AP49" s="385"/>
      <c r="AQ49" s="372"/>
      <c r="AR49" s="385"/>
      <c r="AS49" s="372"/>
      <c r="AT49" s="385"/>
      <c r="AU49" s="54"/>
      <c r="AV49" s="18" t="e">
        <f>SUMIFS(#REF!,#REF!, $C49,#REF!, $E49,#REF!, $F49)</f>
        <v>#REF!</v>
      </c>
      <c r="AW49" s="55" t="e">
        <f>COUNTIFS(#REF!, $C49,#REF!, $E49,#REF!, $F49,#REF!, "&gt;=0")</f>
        <v>#REF!</v>
      </c>
      <c r="AX49" s="18" t="e">
        <f>COUNTIFS(#REF!, $C49,#REF!, $E49,#REF!, $F49,#REF!, "лично")</f>
        <v>#REF!</v>
      </c>
    </row>
    <row r="50" spans="1:50" ht="12" customHeight="1" x14ac:dyDescent="0.25">
      <c r="A50" s="363">
        <f t="shared" si="4"/>
        <v>30</v>
      </c>
      <c r="B50" s="364" t="s">
        <v>262</v>
      </c>
      <c r="C50" s="365" t="s">
        <v>265</v>
      </c>
      <c r="D50" s="366" t="s">
        <v>454</v>
      </c>
      <c r="E50" s="367"/>
      <c r="F50" s="369" t="str">
        <f t="shared" si="0"/>
        <v>Сокращенное название</v>
      </c>
      <c r="G50" s="364" t="s">
        <v>625</v>
      </c>
      <c r="H50" s="369" t="str">
        <f t="shared" si="3"/>
        <v>Фамилия_1 Имя Отчество</v>
      </c>
      <c r="I50" s="370">
        <f t="shared" si="1"/>
        <v>0</v>
      </c>
      <c r="J50" s="371">
        <f t="shared" si="2"/>
        <v>0</v>
      </c>
      <c r="K50" s="372"/>
      <c r="L50" s="373"/>
      <c r="M50" s="373"/>
      <c r="N50" s="374"/>
      <c r="O50" s="375"/>
      <c r="P50" s="373"/>
      <c r="Q50" s="373"/>
      <c r="R50" s="373"/>
      <c r="S50" s="373"/>
      <c r="T50" s="373"/>
      <c r="U50" s="373"/>
      <c r="V50" s="373"/>
      <c r="W50" s="373"/>
      <c r="X50" s="373"/>
      <c r="Y50" s="373"/>
      <c r="Z50" s="374"/>
      <c r="AA50" s="378"/>
      <c r="AB50" s="378"/>
      <c r="AC50" s="379"/>
      <c r="AD50" s="380"/>
      <c r="AE50" s="372"/>
      <c r="AF50" s="375"/>
      <c r="AG50" s="373"/>
      <c r="AH50" s="381"/>
      <c r="AI50" s="380"/>
      <c r="AJ50" s="379"/>
      <c r="AK50" s="382"/>
      <c r="AL50" s="383"/>
      <c r="AM50" s="372"/>
      <c r="AN50" s="385"/>
      <c r="AO50" s="372"/>
      <c r="AP50" s="385"/>
      <c r="AQ50" s="372"/>
      <c r="AR50" s="385"/>
      <c r="AS50" s="372"/>
      <c r="AT50" s="385"/>
      <c r="AU50" s="54"/>
      <c r="AV50" s="18" t="e">
        <f>SUMIFS(#REF!,#REF!, $C50,#REF!, $E50,#REF!, $F50)</f>
        <v>#REF!</v>
      </c>
      <c r="AW50" s="55" t="e">
        <f>COUNTIFS(#REF!, $C50,#REF!, $E50,#REF!, $F50,#REF!, "&gt;=0")</f>
        <v>#REF!</v>
      </c>
      <c r="AX50" s="18" t="e">
        <f>COUNTIFS(#REF!, $C50,#REF!, $E50,#REF!, $F50,#REF!, "лично")</f>
        <v>#REF!</v>
      </c>
    </row>
    <row r="51" spans="1:50" ht="12" customHeight="1" x14ac:dyDescent="0.25">
      <c r="A51" s="363">
        <f t="shared" si="4"/>
        <v>31</v>
      </c>
      <c r="B51" s="364" t="s">
        <v>79</v>
      </c>
      <c r="C51" s="365" t="s">
        <v>265</v>
      </c>
      <c r="D51" s="366" t="s">
        <v>454</v>
      </c>
      <c r="E51" s="367"/>
      <c r="F51" s="369" t="str">
        <f t="shared" si="0"/>
        <v>Сокращенное название</v>
      </c>
      <c r="G51" s="364" t="s">
        <v>625</v>
      </c>
      <c r="H51" s="369" t="str">
        <f t="shared" si="3"/>
        <v>Фамилия_1 Имя Отчество</v>
      </c>
      <c r="I51" s="370">
        <f t="shared" si="1"/>
        <v>0</v>
      </c>
      <c r="J51" s="371">
        <f t="shared" si="2"/>
        <v>0</v>
      </c>
      <c r="K51" s="372"/>
      <c r="L51" s="373"/>
      <c r="M51" s="373"/>
      <c r="N51" s="374"/>
      <c r="O51" s="375"/>
      <c r="P51" s="373"/>
      <c r="Q51" s="373"/>
      <c r="R51" s="373"/>
      <c r="S51" s="373"/>
      <c r="T51" s="373"/>
      <c r="U51" s="373"/>
      <c r="V51" s="373"/>
      <c r="W51" s="373"/>
      <c r="X51" s="373"/>
      <c r="Y51" s="373"/>
      <c r="Z51" s="374"/>
      <c r="AA51" s="378"/>
      <c r="AB51" s="378"/>
      <c r="AC51" s="379"/>
      <c r="AD51" s="380"/>
      <c r="AE51" s="372"/>
      <c r="AF51" s="375"/>
      <c r="AG51" s="373"/>
      <c r="AH51" s="381"/>
      <c r="AI51" s="380"/>
      <c r="AJ51" s="379"/>
      <c r="AK51" s="382"/>
      <c r="AL51" s="383"/>
      <c r="AM51" s="372"/>
      <c r="AN51" s="385"/>
      <c r="AO51" s="372"/>
      <c r="AP51" s="385"/>
      <c r="AQ51" s="372"/>
      <c r="AR51" s="385"/>
      <c r="AS51" s="372"/>
      <c r="AT51" s="385"/>
      <c r="AU51" s="54"/>
      <c r="AV51" s="18" t="e">
        <f>SUMIFS(#REF!,#REF!, $C51,#REF!, $E51,#REF!, $F51)</f>
        <v>#REF!</v>
      </c>
      <c r="AW51" s="55" t="e">
        <f>COUNTIFS(#REF!, $C51,#REF!, $E51,#REF!, $F51,#REF!, "&gt;=0")</f>
        <v>#REF!</v>
      </c>
      <c r="AX51" s="18" t="e">
        <f>COUNTIFS(#REF!, $C51,#REF!, $E51,#REF!, $F51,#REF!, "лично")</f>
        <v>#REF!</v>
      </c>
    </row>
    <row r="52" spans="1:50" ht="12" customHeight="1" x14ac:dyDescent="0.25">
      <c r="A52" s="363">
        <f t="shared" si="4"/>
        <v>32</v>
      </c>
      <c r="B52" s="364" t="s">
        <v>79</v>
      </c>
      <c r="C52" s="365" t="s">
        <v>265</v>
      </c>
      <c r="D52" s="366" t="s">
        <v>454</v>
      </c>
      <c r="E52" s="367"/>
      <c r="F52" s="369" t="str">
        <f t="shared" si="0"/>
        <v>Сокращенное название</v>
      </c>
      <c r="G52" s="364" t="s">
        <v>625</v>
      </c>
      <c r="H52" s="369" t="str">
        <f t="shared" si="3"/>
        <v>Фамилия_1 Имя Отчество</v>
      </c>
      <c r="I52" s="370">
        <f t="shared" si="1"/>
        <v>0</v>
      </c>
      <c r="J52" s="371">
        <f t="shared" si="2"/>
        <v>0</v>
      </c>
      <c r="K52" s="372"/>
      <c r="L52" s="373"/>
      <c r="M52" s="373"/>
      <c r="N52" s="374"/>
      <c r="O52" s="375"/>
      <c r="P52" s="373"/>
      <c r="Q52" s="373"/>
      <c r="R52" s="373"/>
      <c r="S52" s="373"/>
      <c r="T52" s="373"/>
      <c r="U52" s="373"/>
      <c r="V52" s="373"/>
      <c r="W52" s="373"/>
      <c r="X52" s="373"/>
      <c r="Y52" s="373"/>
      <c r="Z52" s="374"/>
      <c r="AA52" s="378"/>
      <c r="AB52" s="378"/>
      <c r="AC52" s="379"/>
      <c r="AD52" s="380"/>
      <c r="AE52" s="372"/>
      <c r="AF52" s="375"/>
      <c r="AG52" s="373"/>
      <c r="AH52" s="381"/>
      <c r="AI52" s="380"/>
      <c r="AJ52" s="379"/>
      <c r="AK52" s="382"/>
      <c r="AL52" s="383"/>
      <c r="AM52" s="372"/>
      <c r="AN52" s="385"/>
      <c r="AO52" s="372"/>
      <c r="AP52" s="385"/>
      <c r="AQ52" s="372"/>
      <c r="AR52" s="385"/>
      <c r="AS52" s="372"/>
      <c r="AT52" s="385"/>
      <c r="AU52" s="54"/>
      <c r="AV52" s="18" t="e">
        <f>SUMIFS(#REF!,#REF!, $C52,#REF!, $E52,#REF!, $F52)</f>
        <v>#REF!</v>
      </c>
      <c r="AW52" s="55" t="e">
        <f>COUNTIFS(#REF!, $C52,#REF!, $E52,#REF!, $F52,#REF!, "&gt;=0")</f>
        <v>#REF!</v>
      </c>
      <c r="AX52" s="18" t="e">
        <f>COUNTIFS(#REF!, $C52,#REF!, $E52,#REF!, $F52,#REF!, "лично")</f>
        <v>#REF!</v>
      </c>
    </row>
    <row r="53" spans="1:50" ht="12" customHeight="1" x14ac:dyDescent="0.25">
      <c r="A53" s="363">
        <f t="shared" si="4"/>
        <v>33</v>
      </c>
      <c r="B53" s="364" t="s">
        <v>79</v>
      </c>
      <c r="C53" s="365" t="s">
        <v>265</v>
      </c>
      <c r="D53" s="366" t="s">
        <v>454</v>
      </c>
      <c r="E53" s="367"/>
      <c r="F53" s="369" t="str">
        <f t="shared" ref="F53:F70" si="5">$E$16</f>
        <v>Сокращенное название</v>
      </c>
      <c r="G53" s="364" t="s">
        <v>625</v>
      </c>
      <c r="H53" s="369" t="str">
        <f t="shared" si="3"/>
        <v>Фамилия_1 Имя Отчество</v>
      </c>
      <c r="I53" s="370">
        <f t="shared" ref="I53:I70" si="6">COUNTIF(K53:AL53, "&gt;=0")-COUNTIF(K53:AL53, "в")-COUNTIF(K53:AL53, "л")</f>
        <v>0</v>
      </c>
      <c r="J53" s="371">
        <f t="shared" ref="J53:J84" si="7">COUNTIF(K53:AL53, "л")</f>
        <v>0</v>
      </c>
      <c r="K53" s="372"/>
      <c r="L53" s="373"/>
      <c r="M53" s="373"/>
      <c r="N53" s="374"/>
      <c r="O53" s="375"/>
      <c r="P53" s="373"/>
      <c r="Q53" s="373"/>
      <c r="R53" s="373"/>
      <c r="S53" s="373"/>
      <c r="T53" s="373"/>
      <c r="U53" s="373"/>
      <c r="V53" s="373"/>
      <c r="W53" s="373"/>
      <c r="X53" s="373"/>
      <c r="Y53" s="373"/>
      <c r="Z53" s="374"/>
      <c r="AA53" s="378"/>
      <c r="AB53" s="378"/>
      <c r="AC53" s="379"/>
      <c r="AD53" s="380"/>
      <c r="AE53" s="372"/>
      <c r="AF53" s="375"/>
      <c r="AG53" s="373"/>
      <c r="AH53" s="381"/>
      <c r="AI53" s="380"/>
      <c r="AJ53" s="379"/>
      <c r="AK53" s="382"/>
      <c r="AL53" s="383"/>
      <c r="AM53" s="372"/>
      <c r="AN53" s="385"/>
      <c r="AO53" s="372"/>
      <c r="AP53" s="385"/>
      <c r="AQ53" s="372"/>
      <c r="AR53" s="385"/>
      <c r="AS53" s="372"/>
      <c r="AT53" s="385"/>
      <c r="AU53" s="54"/>
      <c r="AV53" s="18" t="e">
        <f>SUMIFS(#REF!,#REF!, $C53,#REF!, $E53,#REF!, $F53)</f>
        <v>#REF!</v>
      </c>
      <c r="AW53" s="55" t="e">
        <f>COUNTIFS(#REF!, $C53,#REF!, $E53,#REF!, $F53,#REF!, "&gt;=0")</f>
        <v>#REF!</v>
      </c>
      <c r="AX53" s="18" t="e">
        <f>COUNTIFS(#REF!, $C53,#REF!, $E53,#REF!, $F53,#REF!, "лично")</f>
        <v>#REF!</v>
      </c>
    </row>
    <row r="54" spans="1:50" ht="12" customHeight="1" x14ac:dyDescent="0.25">
      <c r="A54" s="363">
        <f t="shared" si="4"/>
        <v>34</v>
      </c>
      <c r="B54" s="364" t="s">
        <v>260</v>
      </c>
      <c r="C54" s="365" t="s">
        <v>265</v>
      </c>
      <c r="D54" s="366" t="s">
        <v>454</v>
      </c>
      <c r="E54" s="367"/>
      <c r="F54" s="369" t="str">
        <f t="shared" si="5"/>
        <v>Сокращенное название</v>
      </c>
      <c r="G54" s="364" t="s">
        <v>625</v>
      </c>
      <c r="H54" s="369" t="str">
        <f t="shared" ref="H54:H70" si="8">H53</f>
        <v>Фамилия_1 Имя Отчество</v>
      </c>
      <c r="I54" s="370">
        <f t="shared" si="6"/>
        <v>0</v>
      </c>
      <c r="J54" s="371">
        <f t="shared" si="7"/>
        <v>0</v>
      </c>
      <c r="K54" s="372"/>
      <c r="L54" s="373"/>
      <c r="M54" s="373"/>
      <c r="N54" s="374"/>
      <c r="O54" s="375"/>
      <c r="P54" s="373"/>
      <c r="Q54" s="373"/>
      <c r="R54" s="373"/>
      <c r="S54" s="373"/>
      <c r="T54" s="373"/>
      <c r="U54" s="373"/>
      <c r="V54" s="373"/>
      <c r="W54" s="373"/>
      <c r="X54" s="373"/>
      <c r="Y54" s="373"/>
      <c r="Z54" s="374"/>
      <c r="AA54" s="378"/>
      <c r="AB54" s="378"/>
      <c r="AC54" s="379"/>
      <c r="AD54" s="380"/>
      <c r="AE54" s="372"/>
      <c r="AF54" s="375"/>
      <c r="AG54" s="373"/>
      <c r="AH54" s="381"/>
      <c r="AI54" s="380"/>
      <c r="AJ54" s="379"/>
      <c r="AK54" s="382"/>
      <c r="AL54" s="383"/>
      <c r="AM54" s="372"/>
      <c r="AN54" s="385"/>
      <c r="AO54" s="372"/>
      <c r="AP54" s="385"/>
      <c r="AQ54" s="372"/>
      <c r="AR54" s="385"/>
      <c r="AS54" s="372"/>
      <c r="AT54" s="385"/>
      <c r="AU54" s="54"/>
      <c r="AV54" s="18" t="e">
        <f>SUMIFS(#REF!,#REF!, $C54,#REF!, $E54,#REF!, $F54)</f>
        <v>#REF!</v>
      </c>
      <c r="AW54" s="55" t="e">
        <f>COUNTIFS(#REF!, $C54,#REF!, $E54,#REF!, $F54,#REF!, "&gt;=0")</f>
        <v>#REF!</v>
      </c>
      <c r="AX54" s="18" t="e">
        <f>COUNTIFS(#REF!, $C54,#REF!, $E54,#REF!, $F54,#REF!, "лично")</f>
        <v>#REF!</v>
      </c>
    </row>
    <row r="55" spans="1:50" ht="12" customHeight="1" x14ac:dyDescent="0.25">
      <c r="A55" s="363">
        <f t="shared" si="4"/>
        <v>35</v>
      </c>
      <c r="B55" s="364" t="s">
        <v>261</v>
      </c>
      <c r="C55" s="365" t="s">
        <v>265</v>
      </c>
      <c r="D55" s="366" t="s">
        <v>454</v>
      </c>
      <c r="E55" s="367"/>
      <c r="F55" s="369" t="str">
        <f t="shared" si="5"/>
        <v>Сокращенное название</v>
      </c>
      <c r="G55" s="364" t="s">
        <v>625</v>
      </c>
      <c r="H55" s="369" t="str">
        <f t="shared" si="8"/>
        <v>Фамилия_1 Имя Отчество</v>
      </c>
      <c r="I55" s="370">
        <f t="shared" si="6"/>
        <v>0</v>
      </c>
      <c r="J55" s="371">
        <f t="shared" si="7"/>
        <v>0</v>
      </c>
      <c r="K55" s="372"/>
      <c r="L55" s="373"/>
      <c r="M55" s="373"/>
      <c r="N55" s="374"/>
      <c r="O55" s="375"/>
      <c r="P55" s="373"/>
      <c r="Q55" s="373"/>
      <c r="R55" s="373"/>
      <c r="S55" s="373"/>
      <c r="T55" s="373"/>
      <c r="U55" s="373"/>
      <c r="V55" s="373"/>
      <c r="W55" s="373"/>
      <c r="X55" s="373"/>
      <c r="Y55" s="373"/>
      <c r="Z55" s="374"/>
      <c r="AA55" s="378"/>
      <c r="AB55" s="378"/>
      <c r="AC55" s="379"/>
      <c r="AD55" s="380"/>
      <c r="AE55" s="372"/>
      <c r="AF55" s="375"/>
      <c r="AG55" s="373"/>
      <c r="AH55" s="381"/>
      <c r="AI55" s="380"/>
      <c r="AJ55" s="379"/>
      <c r="AK55" s="382"/>
      <c r="AL55" s="383"/>
      <c r="AM55" s="372"/>
      <c r="AN55" s="385"/>
      <c r="AO55" s="372"/>
      <c r="AP55" s="385"/>
      <c r="AQ55" s="372"/>
      <c r="AR55" s="385"/>
      <c r="AS55" s="372"/>
      <c r="AT55" s="385"/>
      <c r="AU55" s="54"/>
      <c r="AV55" s="18" t="e">
        <f>SUMIFS(#REF!,#REF!, $C55,#REF!, $E55,#REF!, $F55)</f>
        <v>#REF!</v>
      </c>
      <c r="AW55" s="55" t="e">
        <f>COUNTIFS(#REF!, $C55,#REF!, $E55,#REF!, $F55,#REF!, "&gt;=0")</f>
        <v>#REF!</v>
      </c>
      <c r="AX55" s="18" t="e">
        <f>COUNTIFS(#REF!, $C55,#REF!, $E55,#REF!, $F55,#REF!, "лично")</f>
        <v>#REF!</v>
      </c>
    </row>
    <row r="56" spans="1:50" ht="12" customHeight="1" x14ac:dyDescent="0.25">
      <c r="A56" s="363">
        <f t="shared" si="4"/>
        <v>36</v>
      </c>
      <c r="B56" s="364" t="s">
        <v>262</v>
      </c>
      <c r="C56" s="365" t="s">
        <v>265</v>
      </c>
      <c r="D56" s="366" t="s">
        <v>454</v>
      </c>
      <c r="E56" s="367"/>
      <c r="F56" s="369" t="str">
        <f t="shared" si="5"/>
        <v>Сокращенное название</v>
      </c>
      <c r="G56" s="364" t="s">
        <v>625</v>
      </c>
      <c r="H56" s="369" t="str">
        <f t="shared" si="8"/>
        <v>Фамилия_1 Имя Отчество</v>
      </c>
      <c r="I56" s="370">
        <f t="shared" si="6"/>
        <v>0</v>
      </c>
      <c r="J56" s="371">
        <f t="shared" si="7"/>
        <v>0</v>
      </c>
      <c r="K56" s="372"/>
      <c r="L56" s="373"/>
      <c r="M56" s="373"/>
      <c r="N56" s="374"/>
      <c r="O56" s="375"/>
      <c r="P56" s="373"/>
      <c r="Q56" s="373"/>
      <c r="R56" s="373"/>
      <c r="S56" s="373"/>
      <c r="T56" s="373"/>
      <c r="U56" s="373"/>
      <c r="V56" s="373"/>
      <c r="W56" s="373"/>
      <c r="X56" s="373"/>
      <c r="Y56" s="373"/>
      <c r="Z56" s="374"/>
      <c r="AA56" s="378"/>
      <c r="AB56" s="378"/>
      <c r="AC56" s="379"/>
      <c r="AD56" s="380"/>
      <c r="AE56" s="372"/>
      <c r="AF56" s="375"/>
      <c r="AG56" s="373"/>
      <c r="AH56" s="381"/>
      <c r="AI56" s="380"/>
      <c r="AJ56" s="379"/>
      <c r="AK56" s="382"/>
      <c r="AL56" s="383"/>
      <c r="AM56" s="372"/>
      <c r="AN56" s="385"/>
      <c r="AO56" s="372"/>
      <c r="AP56" s="385"/>
      <c r="AQ56" s="372"/>
      <c r="AR56" s="385"/>
      <c r="AS56" s="372"/>
      <c r="AT56" s="385"/>
      <c r="AU56" s="54"/>
      <c r="AV56" s="18" t="e">
        <f>SUMIFS(#REF!,#REF!, $C56,#REF!, $E56,#REF!, $F56)</f>
        <v>#REF!</v>
      </c>
      <c r="AW56" s="55" t="e">
        <f>COUNTIFS(#REF!, $C56,#REF!, $E56,#REF!, $F56,#REF!, "&gt;=0")</f>
        <v>#REF!</v>
      </c>
      <c r="AX56" s="18" t="e">
        <f>COUNTIFS(#REF!, $C56,#REF!, $E56,#REF!, $F56,#REF!, "лично")</f>
        <v>#REF!</v>
      </c>
    </row>
    <row r="57" spans="1:50" ht="12" customHeight="1" x14ac:dyDescent="0.25">
      <c r="A57" s="363">
        <f t="shared" si="4"/>
        <v>37</v>
      </c>
      <c r="B57" s="364" t="s">
        <v>79</v>
      </c>
      <c r="C57" s="365" t="s">
        <v>265</v>
      </c>
      <c r="D57" s="366" t="s">
        <v>454</v>
      </c>
      <c r="E57" s="367"/>
      <c r="F57" s="369" t="str">
        <f t="shared" si="5"/>
        <v>Сокращенное название</v>
      </c>
      <c r="G57" s="364" t="s">
        <v>625</v>
      </c>
      <c r="H57" s="369" t="str">
        <f t="shared" si="8"/>
        <v>Фамилия_1 Имя Отчество</v>
      </c>
      <c r="I57" s="370">
        <f t="shared" si="6"/>
        <v>0</v>
      </c>
      <c r="J57" s="371">
        <f t="shared" si="7"/>
        <v>0</v>
      </c>
      <c r="K57" s="372"/>
      <c r="L57" s="373"/>
      <c r="M57" s="373"/>
      <c r="N57" s="374"/>
      <c r="O57" s="375"/>
      <c r="P57" s="373"/>
      <c r="Q57" s="373"/>
      <c r="R57" s="373"/>
      <c r="S57" s="373"/>
      <c r="T57" s="373"/>
      <c r="U57" s="373"/>
      <c r="V57" s="373"/>
      <c r="W57" s="373"/>
      <c r="X57" s="373"/>
      <c r="Y57" s="373"/>
      <c r="Z57" s="374"/>
      <c r="AA57" s="378"/>
      <c r="AB57" s="378"/>
      <c r="AC57" s="379"/>
      <c r="AD57" s="380"/>
      <c r="AE57" s="372"/>
      <c r="AF57" s="375"/>
      <c r="AG57" s="373"/>
      <c r="AH57" s="381"/>
      <c r="AI57" s="380"/>
      <c r="AJ57" s="379"/>
      <c r="AK57" s="382"/>
      <c r="AL57" s="383"/>
      <c r="AM57" s="372"/>
      <c r="AN57" s="385"/>
      <c r="AO57" s="372"/>
      <c r="AP57" s="385"/>
      <c r="AQ57" s="372"/>
      <c r="AR57" s="385"/>
      <c r="AS57" s="372"/>
      <c r="AT57" s="385"/>
      <c r="AU57" s="54"/>
      <c r="AV57" s="18" t="e">
        <f>SUMIFS(#REF!,#REF!, $C57,#REF!, $E57,#REF!, $F57)</f>
        <v>#REF!</v>
      </c>
      <c r="AW57" s="55" t="e">
        <f>COUNTIFS(#REF!, $C57,#REF!, $E57,#REF!, $F57,#REF!, "&gt;=0")</f>
        <v>#REF!</v>
      </c>
      <c r="AX57" s="18" t="e">
        <f>COUNTIFS(#REF!, $C57,#REF!, $E57,#REF!, $F57,#REF!, "лично")</f>
        <v>#REF!</v>
      </c>
    </row>
    <row r="58" spans="1:50" ht="12" customHeight="1" x14ac:dyDescent="0.25">
      <c r="A58" s="363">
        <f t="shared" si="4"/>
        <v>38</v>
      </c>
      <c r="B58" s="364" t="s">
        <v>79</v>
      </c>
      <c r="C58" s="365" t="s">
        <v>265</v>
      </c>
      <c r="D58" s="366" t="s">
        <v>454</v>
      </c>
      <c r="E58" s="367"/>
      <c r="F58" s="369" t="str">
        <f t="shared" si="5"/>
        <v>Сокращенное название</v>
      </c>
      <c r="G58" s="364" t="s">
        <v>625</v>
      </c>
      <c r="H58" s="369" t="str">
        <f t="shared" si="8"/>
        <v>Фамилия_1 Имя Отчество</v>
      </c>
      <c r="I58" s="370">
        <f t="shared" si="6"/>
        <v>0</v>
      </c>
      <c r="J58" s="371">
        <f t="shared" si="7"/>
        <v>0</v>
      </c>
      <c r="K58" s="372"/>
      <c r="L58" s="373"/>
      <c r="M58" s="373"/>
      <c r="N58" s="374"/>
      <c r="O58" s="375"/>
      <c r="P58" s="373"/>
      <c r="Q58" s="373"/>
      <c r="R58" s="373"/>
      <c r="S58" s="373"/>
      <c r="T58" s="373"/>
      <c r="U58" s="373"/>
      <c r="V58" s="373"/>
      <c r="W58" s="373"/>
      <c r="X58" s="373"/>
      <c r="Y58" s="373"/>
      <c r="Z58" s="374"/>
      <c r="AA58" s="378"/>
      <c r="AB58" s="378"/>
      <c r="AC58" s="379"/>
      <c r="AD58" s="380"/>
      <c r="AE58" s="372"/>
      <c r="AF58" s="375"/>
      <c r="AG58" s="373"/>
      <c r="AH58" s="381"/>
      <c r="AI58" s="380"/>
      <c r="AJ58" s="379"/>
      <c r="AK58" s="382"/>
      <c r="AL58" s="383"/>
      <c r="AM58" s="372"/>
      <c r="AN58" s="385"/>
      <c r="AO58" s="372"/>
      <c r="AP58" s="385"/>
      <c r="AQ58" s="372"/>
      <c r="AR58" s="385"/>
      <c r="AS58" s="372"/>
      <c r="AT58" s="385"/>
      <c r="AU58" s="54"/>
      <c r="AV58" s="18" t="e">
        <f>SUMIFS(#REF!,#REF!, $C58,#REF!, $E58,#REF!, $F58)</f>
        <v>#REF!</v>
      </c>
      <c r="AW58" s="55" t="e">
        <f>COUNTIFS(#REF!, $C58,#REF!, $E58,#REF!, $F58,#REF!, "&gt;=0")</f>
        <v>#REF!</v>
      </c>
      <c r="AX58" s="18" t="e">
        <f>COUNTIFS(#REF!, $C58,#REF!, $E58,#REF!, $F58,#REF!, "лично")</f>
        <v>#REF!</v>
      </c>
    </row>
    <row r="59" spans="1:50" ht="12" customHeight="1" x14ac:dyDescent="0.25">
      <c r="A59" s="363">
        <f t="shared" si="4"/>
        <v>39</v>
      </c>
      <c r="B59" s="364" t="s">
        <v>79</v>
      </c>
      <c r="C59" s="365" t="s">
        <v>265</v>
      </c>
      <c r="D59" s="366" t="s">
        <v>454</v>
      </c>
      <c r="E59" s="367"/>
      <c r="F59" s="369" t="str">
        <f t="shared" si="5"/>
        <v>Сокращенное название</v>
      </c>
      <c r="G59" s="364" t="s">
        <v>625</v>
      </c>
      <c r="H59" s="369" t="str">
        <f t="shared" si="8"/>
        <v>Фамилия_1 Имя Отчество</v>
      </c>
      <c r="I59" s="370">
        <f t="shared" si="6"/>
        <v>0</v>
      </c>
      <c r="J59" s="371">
        <f t="shared" si="7"/>
        <v>0</v>
      </c>
      <c r="K59" s="372"/>
      <c r="L59" s="373"/>
      <c r="M59" s="373"/>
      <c r="N59" s="374"/>
      <c r="O59" s="375"/>
      <c r="P59" s="373"/>
      <c r="Q59" s="373"/>
      <c r="R59" s="373"/>
      <c r="S59" s="373"/>
      <c r="T59" s="373"/>
      <c r="U59" s="373"/>
      <c r="V59" s="373"/>
      <c r="W59" s="373"/>
      <c r="X59" s="373"/>
      <c r="Y59" s="373"/>
      <c r="Z59" s="374"/>
      <c r="AA59" s="378"/>
      <c r="AB59" s="378"/>
      <c r="AC59" s="379"/>
      <c r="AD59" s="380"/>
      <c r="AE59" s="372"/>
      <c r="AF59" s="375"/>
      <c r="AG59" s="373"/>
      <c r="AH59" s="381"/>
      <c r="AI59" s="380"/>
      <c r="AJ59" s="379"/>
      <c r="AK59" s="382"/>
      <c r="AL59" s="383"/>
      <c r="AM59" s="372"/>
      <c r="AN59" s="385"/>
      <c r="AO59" s="372"/>
      <c r="AP59" s="385"/>
      <c r="AQ59" s="372"/>
      <c r="AR59" s="385"/>
      <c r="AS59" s="372"/>
      <c r="AT59" s="385"/>
      <c r="AU59" s="54"/>
      <c r="AV59" s="18" t="e">
        <f>SUMIFS(#REF!,#REF!, $C59,#REF!, $E59,#REF!, $F59)</f>
        <v>#REF!</v>
      </c>
      <c r="AW59" s="55" t="e">
        <f>COUNTIFS(#REF!, $C59,#REF!, $E59,#REF!, $F59,#REF!, "&gt;=0")</f>
        <v>#REF!</v>
      </c>
      <c r="AX59" s="18" t="e">
        <f>COUNTIFS(#REF!, $C59,#REF!, $E59,#REF!, $F59,#REF!, "лично")</f>
        <v>#REF!</v>
      </c>
    </row>
    <row r="60" spans="1:50" ht="12" customHeight="1" x14ac:dyDescent="0.25">
      <c r="A60" s="363">
        <f t="shared" si="4"/>
        <v>40</v>
      </c>
      <c r="B60" s="364" t="s">
        <v>79</v>
      </c>
      <c r="C60" s="365" t="s">
        <v>265</v>
      </c>
      <c r="D60" s="366" t="s">
        <v>454</v>
      </c>
      <c r="E60" s="367"/>
      <c r="F60" s="369" t="str">
        <f t="shared" si="5"/>
        <v>Сокращенное название</v>
      </c>
      <c r="G60" s="364" t="s">
        <v>625</v>
      </c>
      <c r="H60" s="369" t="str">
        <f t="shared" si="8"/>
        <v>Фамилия_1 Имя Отчество</v>
      </c>
      <c r="I60" s="370">
        <f t="shared" si="6"/>
        <v>0</v>
      </c>
      <c r="J60" s="371">
        <f t="shared" si="7"/>
        <v>0</v>
      </c>
      <c r="K60" s="372"/>
      <c r="L60" s="373"/>
      <c r="M60" s="373"/>
      <c r="N60" s="374"/>
      <c r="O60" s="375"/>
      <c r="P60" s="373"/>
      <c r="Q60" s="373"/>
      <c r="R60" s="373"/>
      <c r="S60" s="373"/>
      <c r="T60" s="373"/>
      <c r="U60" s="373"/>
      <c r="V60" s="373"/>
      <c r="W60" s="373"/>
      <c r="X60" s="373"/>
      <c r="Y60" s="373"/>
      <c r="Z60" s="374"/>
      <c r="AA60" s="378"/>
      <c r="AB60" s="378"/>
      <c r="AC60" s="379"/>
      <c r="AD60" s="380"/>
      <c r="AE60" s="372"/>
      <c r="AF60" s="375"/>
      <c r="AG60" s="373"/>
      <c r="AH60" s="381"/>
      <c r="AI60" s="380"/>
      <c r="AJ60" s="379"/>
      <c r="AK60" s="382"/>
      <c r="AL60" s="383"/>
      <c r="AM60" s="372"/>
      <c r="AN60" s="385"/>
      <c r="AO60" s="372"/>
      <c r="AP60" s="385"/>
      <c r="AQ60" s="372"/>
      <c r="AR60" s="385"/>
      <c r="AS60" s="372"/>
      <c r="AT60" s="385"/>
      <c r="AU60" s="54"/>
      <c r="AV60" s="18" t="e">
        <f>SUMIFS(#REF!,#REF!, $C60,#REF!, $E60,#REF!, $F60)</f>
        <v>#REF!</v>
      </c>
      <c r="AW60" s="55" t="e">
        <f>COUNTIFS(#REF!, $C60,#REF!, $E60,#REF!, $F60,#REF!, "&gt;=0")</f>
        <v>#REF!</v>
      </c>
      <c r="AX60" s="18" t="e">
        <f>COUNTIFS(#REF!, $C60,#REF!, $E60,#REF!, $F60,#REF!, "лично")</f>
        <v>#REF!</v>
      </c>
    </row>
    <row r="61" spans="1:50" ht="12" customHeight="1" x14ac:dyDescent="0.25">
      <c r="A61" s="363">
        <f t="shared" si="4"/>
        <v>41</v>
      </c>
      <c r="B61" s="364" t="s">
        <v>79</v>
      </c>
      <c r="C61" s="365" t="s">
        <v>265</v>
      </c>
      <c r="D61" s="366" t="s">
        <v>454</v>
      </c>
      <c r="E61" s="367"/>
      <c r="F61" s="369" t="str">
        <f t="shared" si="5"/>
        <v>Сокращенное название</v>
      </c>
      <c r="G61" s="364" t="s">
        <v>625</v>
      </c>
      <c r="H61" s="369" t="str">
        <f t="shared" si="8"/>
        <v>Фамилия_1 Имя Отчество</v>
      </c>
      <c r="I61" s="370">
        <f t="shared" si="6"/>
        <v>0</v>
      </c>
      <c r="J61" s="371">
        <f t="shared" si="7"/>
        <v>0</v>
      </c>
      <c r="K61" s="372"/>
      <c r="L61" s="373"/>
      <c r="M61" s="373"/>
      <c r="N61" s="374"/>
      <c r="O61" s="375"/>
      <c r="P61" s="373"/>
      <c r="Q61" s="373"/>
      <c r="R61" s="373"/>
      <c r="S61" s="373"/>
      <c r="T61" s="373"/>
      <c r="U61" s="373"/>
      <c r="V61" s="373"/>
      <c r="W61" s="373"/>
      <c r="X61" s="373"/>
      <c r="Y61" s="373"/>
      <c r="Z61" s="374"/>
      <c r="AA61" s="378"/>
      <c r="AB61" s="378"/>
      <c r="AC61" s="379"/>
      <c r="AD61" s="380"/>
      <c r="AE61" s="372"/>
      <c r="AF61" s="375"/>
      <c r="AG61" s="373"/>
      <c r="AH61" s="381"/>
      <c r="AI61" s="380"/>
      <c r="AJ61" s="379"/>
      <c r="AK61" s="382"/>
      <c r="AL61" s="383"/>
      <c r="AM61" s="372"/>
      <c r="AN61" s="385"/>
      <c r="AO61" s="372"/>
      <c r="AP61" s="385"/>
      <c r="AQ61" s="372"/>
      <c r="AR61" s="385"/>
      <c r="AS61" s="372"/>
      <c r="AT61" s="385"/>
      <c r="AU61" s="54"/>
      <c r="AV61" s="18" t="e">
        <f>SUMIFS(#REF!,#REF!, $C61,#REF!, $E61,#REF!, $F61)</f>
        <v>#REF!</v>
      </c>
      <c r="AW61" s="55" t="e">
        <f>COUNTIFS(#REF!, $C61,#REF!, $E61,#REF!, $F61,#REF!, "&gt;=0")</f>
        <v>#REF!</v>
      </c>
      <c r="AX61" s="18" t="e">
        <f>COUNTIFS(#REF!, $C61,#REF!, $E61,#REF!, $F61,#REF!, "лично")</f>
        <v>#REF!</v>
      </c>
    </row>
    <row r="62" spans="1:50" ht="12" customHeight="1" x14ac:dyDescent="0.25">
      <c r="A62" s="363">
        <f t="shared" si="4"/>
        <v>42</v>
      </c>
      <c r="B62" s="364" t="s">
        <v>79</v>
      </c>
      <c r="C62" s="365" t="s">
        <v>265</v>
      </c>
      <c r="D62" s="366" t="s">
        <v>454</v>
      </c>
      <c r="E62" s="367"/>
      <c r="F62" s="369" t="str">
        <f t="shared" si="5"/>
        <v>Сокращенное название</v>
      </c>
      <c r="G62" s="364" t="s">
        <v>625</v>
      </c>
      <c r="H62" s="369" t="str">
        <f t="shared" si="8"/>
        <v>Фамилия_1 Имя Отчество</v>
      </c>
      <c r="I62" s="370">
        <f t="shared" si="6"/>
        <v>0</v>
      </c>
      <c r="J62" s="371">
        <f t="shared" si="7"/>
        <v>0</v>
      </c>
      <c r="K62" s="372"/>
      <c r="L62" s="373"/>
      <c r="M62" s="373"/>
      <c r="N62" s="374"/>
      <c r="O62" s="375"/>
      <c r="P62" s="373"/>
      <c r="Q62" s="373"/>
      <c r="R62" s="373"/>
      <c r="S62" s="373"/>
      <c r="T62" s="373"/>
      <c r="U62" s="373"/>
      <c r="V62" s="373"/>
      <c r="W62" s="373"/>
      <c r="X62" s="373"/>
      <c r="Y62" s="373"/>
      <c r="Z62" s="374"/>
      <c r="AA62" s="378"/>
      <c r="AB62" s="378"/>
      <c r="AC62" s="379"/>
      <c r="AD62" s="380"/>
      <c r="AE62" s="372"/>
      <c r="AF62" s="375"/>
      <c r="AG62" s="373"/>
      <c r="AH62" s="381"/>
      <c r="AI62" s="380"/>
      <c r="AJ62" s="379"/>
      <c r="AK62" s="382"/>
      <c r="AL62" s="383"/>
      <c r="AM62" s="372"/>
      <c r="AN62" s="385"/>
      <c r="AO62" s="372"/>
      <c r="AP62" s="385"/>
      <c r="AQ62" s="372"/>
      <c r="AR62" s="385"/>
      <c r="AS62" s="372"/>
      <c r="AT62" s="385"/>
      <c r="AU62" s="54"/>
      <c r="AV62" s="18" t="e">
        <f>SUMIFS(#REF!,#REF!, $C62,#REF!, $E62,#REF!, $F62)</f>
        <v>#REF!</v>
      </c>
      <c r="AW62" s="55" t="e">
        <f>COUNTIFS(#REF!, $C62,#REF!, $E62,#REF!, $F62,#REF!, "&gt;=0")</f>
        <v>#REF!</v>
      </c>
      <c r="AX62" s="18" t="e">
        <f>COUNTIFS(#REF!, $C62,#REF!, $E62,#REF!, $F62,#REF!, "лично")</f>
        <v>#REF!</v>
      </c>
    </row>
    <row r="63" spans="1:50" ht="12" customHeight="1" x14ac:dyDescent="0.25">
      <c r="A63" s="363">
        <f t="shared" si="4"/>
        <v>43</v>
      </c>
      <c r="B63" s="364" t="s">
        <v>79</v>
      </c>
      <c r="C63" s="365" t="s">
        <v>265</v>
      </c>
      <c r="D63" s="366" t="s">
        <v>454</v>
      </c>
      <c r="E63" s="367"/>
      <c r="F63" s="369" t="str">
        <f t="shared" si="5"/>
        <v>Сокращенное название</v>
      </c>
      <c r="G63" s="364" t="s">
        <v>625</v>
      </c>
      <c r="H63" s="369" t="str">
        <f t="shared" si="8"/>
        <v>Фамилия_1 Имя Отчество</v>
      </c>
      <c r="I63" s="370">
        <f t="shared" si="6"/>
        <v>0</v>
      </c>
      <c r="J63" s="371">
        <f t="shared" si="7"/>
        <v>0</v>
      </c>
      <c r="K63" s="372"/>
      <c r="L63" s="373"/>
      <c r="M63" s="373"/>
      <c r="N63" s="374"/>
      <c r="O63" s="375"/>
      <c r="P63" s="373"/>
      <c r="Q63" s="373"/>
      <c r="R63" s="373"/>
      <c r="S63" s="373"/>
      <c r="T63" s="373"/>
      <c r="U63" s="373"/>
      <c r="V63" s="373"/>
      <c r="W63" s="373"/>
      <c r="X63" s="373"/>
      <c r="Y63" s="373"/>
      <c r="Z63" s="374"/>
      <c r="AA63" s="378"/>
      <c r="AB63" s="378"/>
      <c r="AC63" s="379"/>
      <c r="AD63" s="380"/>
      <c r="AE63" s="372"/>
      <c r="AF63" s="375"/>
      <c r="AG63" s="373"/>
      <c r="AH63" s="381"/>
      <c r="AI63" s="380"/>
      <c r="AJ63" s="379"/>
      <c r="AK63" s="382"/>
      <c r="AL63" s="383"/>
      <c r="AM63" s="372"/>
      <c r="AN63" s="385"/>
      <c r="AO63" s="372"/>
      <c r="AP63" s="385"/>
      <c r="AQ63" s="372"/>
      <c r="AR63" s="385"/>
      <c r="AS63" s="372"/>
      <c r="AT63" s="385"/>
      <c r="AU63" s="54"/>
      <c r="AV63" s="18" t="e">
        <f>SUMIFS(#REF!,#REF!, $C63,#REF!, $E63,#REF!, $F63)</f>
        <v>#REF!</v>
      </c>
      <c r="AW63" s="55" t="e">
        <f>COUNTIFS(#REF!, $C63,#REF!, $E63,#REF!, $F63,#REF!, "&gt;=0")</f>
        <v>#REF!</v>
      </c>
      <c r="AX63" s="18" t="e">
        <f>COUNTIFS(#REF!, $C63,#REF!, $E63,#REF!, $F63,#REF!, "лично")</f>
        <v>#REF!</v>
      </c>
    </row>
    <row r="64" spans="1:50" ht="12" customHeight="1" x14ac:dyDescent="0.25">
      <c r="A64" s="363">
        <f t="shared" si="4"/>
        <v>44</v>
      </c>
      <c r="B64" s="364" t="s">
        <v>79</v>
      </c>
      <c r="C64" s="365" t="s">
        <v>265</v>
      </c>
      <c r="D64" s="366" t="s">
        <v>454</v>
      </c>
      <c r="E64" s="367"/>
      <c r="F64" s="369" t="str">
        <f t="shared" si="5"/>
        <v>Сокращенное название</v>
      </c>
      <c r="G64" s="364" t="s">
        <v>625</v>
      </c>
      <c r="H64" s="369" t="str">
        <f t="shared" si="8"/>
        <v>Фамилия_1 Имя Отчество</v>
      </c>
      <c r="I64" s="370">
        <f t="shared" si="6"/>
        <v>0</v>
      </c>
      <c r="J64" s="371">
        <f t="shared" si="7"/>
        <v>0</v>
      </c>
      <c r="K64" s="372"/>
      <c r="L64" s="373"/>
      <c r="M64" s="373"/>
      <c r="N64" s="374"/>
      <c r="O64" s="375"/>
      <c r="P64" s="373"/>
      <c r="Q64" s="373"/>
      <c r="R64" s="373"/>
      <c r="S64" s="373"/>
      <c r="T64" s="373"/>
      <c r="U64" s="373"/>
      <c r="V64" s="373"/>
      <c r="W64" s="373"/>
      <c r="X64" s="373"/>
      <c r="Y64" s="373"/>
      <c r="Z64" s="374"/>
      <c r="AA64" s="378"/>
      <c r="AB64" s="378"/>
      <c r="AC64" s="379"/>
      <c r="AD64" s="380"/>
      <c r="AE64" s="372"/>
      <c r="AF64" s="375"/>
      <c r="AG64" s="373"/>
      <c r="AH64" s="381"/>
      <c r="AI64" s="380"/>
      <c r="AJ64" s="379"/>
      <c r="AK64" s="382"/>
      <c r="AL64" s="383"/>
      <c r="AM64" s="372"/>
      <c r="AN64" s="385"/>
      <c r="AO64" s="372"/>
      <c r="AP64" s="385"/>
      <c r="AQ64" s="372"/>
      <c r="AR64" s="385"/>
      <c r="AS64" s="372"/>
      <c r="AT64" s="385"/>
      <c r="AU64" s="54"/>
      <c r="AV64" s="18" t="e">
        <f>SUMIFS(#REF!,#REF!, $C64,#REF!, $E64,#REF!, $F64)</f>
        <v>#REF!</v>
      </c>
      <c r="AW64" s="55" t="e">
        <f>COUNTIFS(#REF!, $C64,#REF!, $E64,#REF!, $F64,#REF!, "&gt;=0")</f>
        <v>#REF!</v>
      </c>
      <c r="AX64" s="18" t="e">
        <f>COUNTIFS(#REF!, $C64,#REF!, $E64,#REF!, $F64,#REF!, "лично")</f>
        <v>#REF!</v>
      </c>
    </row>
    <row r="65" spans="1:50" ht="12" customHeight="1" x14ac:dyDescent="0.25">
      <c r="A65" s="363">
        <f t="shared" si="4"/>
        <v>45</v>
      </c>
      <c r="B65" s="386" t="s">
        <v>117</v>
      </c>
      <c r="C65" s="365" t="s">
        <v>265</v>
      </c>
      <c r="D65" s="366" t="s">
        <v>454</v>
      </c>
      <c r="E65" s="367"/>
      <c r="F65" s="369" t="str">
        <f t="shared" si="5"/>
        <v>Сокращенное название</v>
      </c>
      <c r="G65" s="364" t="s">
        <v>625</v>
      </c>
      <c r="H65" s="369" t="str">
        <f t="shared" si="8"/>
        <v>Фамилия_1 Имя Отчество</v>
      </c>
      <c r="I65" s="370">
        <f t="shared" si="6"/>
        <v>0</v>
      </c>
      <c r="J65" s="371">
        <f t="shared" si="7"/>
        <v>0</v>
      </c>
      <c r="K65" s="372"/>
      <c r="L65" s="373"/>
      <c r="M65" s="373"/>
      <c r="N65" s="374"/>
      <c r="O65" s="375"/>
      <c r="P65" s="373"/>
      <c r="Q65" s="373"/>
      <c r="R65" s="373"/>
      <c r="S65" s="373"/>
      <c r="T65" s="373"/>
      <c r="U65" s="373"/>
      <c r="V65" s="373"/>
      <c r="W65" s="373"/>
      <c r="X65" s="373"/>
      <c r="Y65" s="373"/>
      <c r="Z65" s="374"/>
      <c r="AA65" s="378"/>
      <c r="AB65" s="378"/>
      <c r="AC65" s="379"/>
      <c r="AD65" s="380"/>
      <c r="AE65" s="372"/>
      <c r="AF65" s="375"/>
      <c r="AG65" s="373"/>
      <c r="AH65" s="381"/>
      <c r="AI65" s="380"/>
      <c r="AJ65" s="379"/>
      <c r="AK65" s="382"/>
      <c r="AL65" s="383"/>
      <c r="AM65" s="372"/>
      <c r="AN65" s="385"/>
      <c r="AO65" s="372"/>
      <c r="AP65" s="385"/>
      <c r="AQ65" s="372"/>
      <c r="AR65" s="385"/>
      <c r="AS65" s="372"/>
      <c r="AT65" s="385"/>
      <c r="AU65" s="54"/>
      <c r="AV65" s="18" t="e">
        <f>SUMIFS(#REF!,#REF!, $C65,#REF!, $E65,#REF!, $F65)</f>
        <v>#REF!</v>
      </c>
      <c r="AW65" s="55" t="e">
        <f>COUNTIFS(#REF!, $C65,#REF!, $E65,#REF!, $F65,#REF!, "&gt;=0")</f>
        <v>#REF!</v>
      </c>
      <c r="AX65" s="18" t="e">
        <f>COUNTIFS(#REF!, $C65,#REF!, $E65,#REF!, $F65,#REF!, "лично")</f>
        <v>#REF!</v>
      </c>
    </row>
    <row r="66" spans="1:50" ht="12" customHeight="1" x14ac:dyDescent="0.25">
      <c r="A66" s="363">
        <f t="shared" si="4"/>
        <v>46</v>
      </c>
      <c r="B66" s="386" t="s">
        <v>158</v>
      </c>
      <c r="C66" s="365" t="s">
        <v>265</v>
      </c>
      <c r="D66" s="366" t="s">
        <v>454</v>
      </c>
      <c r="E66" s="367"/>
      <c r="F66" s="369" t="str">
        <f t="shared" si="5"/>
        <v>Сокращенное название</v>
      </c>
      <c r="G66" s="364" t="s">
        <v>625</v>
      </c>
      <c r="H66" s="369" t="str">
        <f t="shared" si="8"/>
        <v>Фамилия_1 Имя Отчество</v>
      </c>
      <c r="I66" s="370">
        <f t="shared" si="6"/>
        <v>0</v>
      </c>
      <c r="J66" s="371">
        <f t="shared" si="7"/>
        <v>0</v>
      </c>
      <c r="K66" s="372"/>
      <c r="L66" s="373"/>
      <c r="M66" s="373"/>
      <c r="N66" s="374"/>
      <c r="O66" s="375"/>
      <c r="P66" s="373"/>
      <c r="Q66" s="373"/>
      <c r="R66" s="373"/>
      <c r="S66" s="373"/>
      <c r="T66" s="373"/>
      <c r="U66" s="373"/>
      <c r="V66" s="373"/>
      <c r="W66" s="373"/>
      <c r="X66" s="373"/>
      <c r="Y66" s="373"/>
      <c r="Z66" s="374"/>
      <c r="AA66" s="378"/>
      <c r="AB66" s="378"/>
      <c r="AC66" s="379"/>
      <c r="AD66" s="380"/>
      <c r="AE66" s="372"/>
      <c r="AF66" s="375"/>
      <c r="AG66" s="373"/>
      <c r="AH66" s="381"/>
      <c r="AI66" s="380"/>
      <c r="AJ66" s="379"/>
      <c r="AK66" s="382"/>
      <c r="AL66" s="383"/>
      <c r="AM66" s="372"/>
      <c r="AN66" s="385"/>
      <c r="AO66" s="372"/>
      <c r="AP66" s="385"/>
      <c r="AQ66" s="372"/>
      <c r="AR66" s="385"/>
      <c r="AS66" s="372"/>
      <c r="AT66" s="385"/>
      <c r="AU66" s="54"/>
      <c r="AV66" s="18" t="e">
        <f>SUMIFS(#REF!,#REF!, $C66,#REF!, $E66,#REF!, $F66)</f>
        <v>#REF!</v>
      </c>
      <c r="AW66" s="55" t="e">
        <f>COUNTIFS(#REF!, $C66,#REF!, $E66,#REF!, $F66,#REF!, "&gt;=0")</f>
        <v>#REF!</v>
      </c>
      <c r="AX66" s="18" t="e">
        <f>COUNTIFS(#REF!, $C66,#REF!, $E66,#REF!, $F66,#REF!, "лично")</f>
        <v>#REF!</v>
      </c>
    </row>
    <row r="67" spans="1:50" ht="12" customHeight="1" x14ac:dyDescent="0.25">
      <c r="A67" s="363">
        <f t="shared" si="4"/>
        <v>47</v>
      </c>
      <c r="B67" s="386" t="s">
        <v>100</v>
      </c>
      <c r="C67" s="365" t="s">
        <v>265</v>
      </c>
      <c r="D67" s="366" t="s">
        <v>454</v>
      </c>
      <c r="E67" s="367"/>
      <c r="F67" s="369" t="str">
        <f t="shared" si="5"/>
        <v>Сокращенное название</v>
      </c>
      <c r="G67" s="364" t="s">
        <v>625</v>
      </c>
      <c r="H67" s="369" t="str">
        <f t="shared" si="8"/>
        <v>Фамилия_1 Имя Отчество</v>
      </c>
      <c r="I67" s="370">
        <f t="shared" si="6"/>
        <v>0</v>
      </c>
      <c r="J67" s="371">
        <f t="shared" si="7"/>
        <v>0</v>
      </c>
      <c r="K67" s="372"/>
      <c r="L67" s="373"/>
      <c r="M67" s="373"/>
      <c r="N67" s="374"/>
      <c r="O67" s="375"/>
      <c r="P67" s="373"/>
      <c r="Q67" s="373"/>
      <c r="R67" s="373"/>
      <c r="S67" s="373"/>
      <c r="T67" s="373"/>
      <c r="U67" s="373"/>
      <c r="V67" s="373"/>
      <c r="W67" s="373"/>
      <c r="X67" s="373"/>
      <c r="Y67" s="373"/>
      <c r="Z67" s="374"/>
      <c r="AA67" s="378"/>
      <c r="AB67" s="378"/>
      <c r="AC67" s="379"/>
      <c r="AD67" s="380"/>
      <c r="AE67" s="372"/>
      <c r="AF67" s="375"/>
      <c r="AG67" s="373"/>
      <c r="AH67" s="381"/>
      <c r="AI67" s="380"/>
      <c r="AJ67" s="379"/>
      <c r="AK67" s="382"/>
      <c r="AL67" s="383"/>
      <c r="AM67" s="372"/>
      <c r="AN67" s="385"/>
      <c r="AO67" s="372"/>
      <c r="AP67" s="385"/>
      <c r="AQ67" s="372"/>
      <c r="AR67" s="385"/>
      <c r="AS67" s="372"/>
      <c r="AT67" s="385"/>
      <c r="AU67" s="54"/>
      <c r="AV67" s="18" t="e">
        <f>SUMIFS(#REF!,#REF!, $C67,#REF!, $E67,#REF!, $F67)</f>
        <v>#REF!</v>
      </c>
      <c r="AW67" s="55" t="e">
        <f>COUNTIFS(#REF!, $C67,#REF!, $E67,#REF!, $F67,#REF!, "&gt;=0")</f>
        <v>#REF!</v>
      </c>
      <c r="AX67" s="18" t="e">
        <f>COUNTIFS(#REF!, $C67,#REF!, $E67,#REF!, $F67,#REF!, "лично")</f>
        <v>#REF!</v>
      </c>
    </row>
    <row r="68" spans="1:50" ht="12" customHeight="1" x14ac:dyDescent="0.25">
      <c r="A68" s="363">
        <f t="shared" si="4"/>
        <v>48</v>
      </c>
      <c r="B68" s="364" t="s">
        <v>94</v>
      </c>
      <c r="C68" s="365" t="s">
        <v>265</v>
      </c>
      <c r="D68" s="366" t="s">
        <v>454</v>
      </c>
      <c r="E68" s="367"/>
      <c r="F68" s="369" t="str">
        <f t="shared" si="5"/>
        <v>Сокращенное название</v>
      </c>
      <c r="G68" s="364" t="s">
        <v>625</v>
      </c>
      <c r="H68" s="369" t="str">
        <f t="shared" si="8"/>
        <v>Фамилия_1 Имя Отчество</v>
      </c>
      <c r="I68" s="370">
        <f t="shared" si="6"/>
        <v>0</v>
      </c>
      <c r="J68" s="371">
        <f t="shared" si="7"/>
        <v>0</v>
      </c>
      <c r="K68" s="372"/>
      <c r="L68" s="373"/>
      <c r="M68" s="373"/>
      <c r="N68" s="374"/>
      <c r="O68" s="375"/>
      <c r="P68" s="373"/>
      <c r="Q68" s="373"/>
      <c r="R68" s="373"/>
      <c r="S68" s="373"/>
      <c r="T68" s="373"/>
      <c r="U68" s="373"/>
      <c r="V68" s="373"/>
      <c r="W68" s="373"/>
      <c r="X68" s="373"/>
      <c r="Y68" s="373"/>
      <c r="Z68" s="374"/>
      <c r="AA68" s="378"/>
      <c r="AB68" s="378"/>
      <c r="AC68" s="379"/>
      <c r="AD68" s="380"/>
      <c r="AE68" s="372"/>
      <c r="AF68" s="375"/>
      <c r="AG68" s="373"/>
      <c r="AH68" s="381"/>
      <c r="AI68" s="380"/>
      <c r="AJ68" s="379"/>
      <c r="AK68" s="382"/>
      <c r="AL68" s="383"/>
      <c r="AM68" s="372"/>
      <c r="AN68" s="385"/>
      <c r="AO68" s="372"/>
      <c r="AP68" s="385"/>
      <c r="AQ68" s="372"/>
      <c r="AR68" s="385"/>
      <c r="AS68" s="372"/>
      <c r="AT68" s="385"/>
      <c r="AU68" s="54"/>
      <c r="AV68" s="18" t="e">
        <f>SUMIFS(#REF!,#REF!, $C68,#REF!, $E68,#REF!, $F68)</f>
        <v>#REF!</v>
      </c>
      <c r="AW68" s="55" t="e">
        <f>COUNTIFS(#REF!, $C68,#REF!, $E68,#REF!, $F68,#REF!, "&gt;=0")</f>
        <v>#REF!</v>
      </c>
      <c r="AX68" s="18" t="e">
        <f>COUNTIFS(#REF!, $C68,#REF!, $E68,#REF!, $F68,#REF!, "лично")</f>
        <v>#REF!</v>
      </c>
    </row>
    <row r="69" spans="1:50" ht="12" customHeight="1" x14ac:dyDescent="0.25">
      <c r="A69" s="363">
        <f t="shared" si="4"/>
        <v>49</v>
      </c>
      <c r="B69" s="386" t="s">
        <v>100</v>
      </c>
      <c r="C69" s="365" t="s">
        <v>265</v>
      </c>
      <c r="D69" s="366" t="s">
        <v>454</v>
      </c>
      <c r="E69" s="367"/>
      <c r="F69" s="369" t="str">
        <f t="shared" si="5"/>
        <v>Сокращенное название</v>
      </c>
      <c r="G69" s="364" t="s">
        <v>625</v>
      </c>
      <c r="H69" s="369" t="str">
        <f t="shared" si="8"/>
        <v>Фамилия_1 Имя Отчество</v>
      </c>
      <c r="I69" s="370">
        <f t="shared" si="6"/>
        <v>0</v>
      </c>
      <c r="J69" s="371">
        <f t="shared" si="7"/>
        <v>0</v>
      </c>
      <c r="K69" s="372"/>
      <c r="L69" s="373"/>
      <c r="M69" s="373"/>
      <c r="N69" s="374"/>
      <c r="O69" s="375"/>
      <c r="P69" s="373"/>
      <c r="Q69" s="373"/>
      <c r="R69" s="373"/>
      <c r="S69" s="373"/>
      <c r="T69" s="373"/>
      <c r="U69" s="373"/>
      <c r="V69" s="373"/>
      <c r="W69" s="373"/>
      <c r="X69" s="373"/>
      <c r="Y69" s="373"/>
      <c r="Z69" s="374"/>
      <c r="AA69" s="378"/>
      <c r="AB69" s="378"/>
      <c r="AC69" s="379"/>
      <c r="AD69" s="380"/>
      <c r="AE69" s="372"/>
      <c r="AF69" s="375"/>
      <c r="AG69" s="373"/>
      <c r="AH69" s="381"/>
      <c r="AI69" s="380"/>
      <c r="AJ69" s="379"/>
      <c r="AK69" s="382"/>
      <c r="AL69" s="383"/>
      <c r="AM69" s="372"/>
      <c r="AN69" s="385"/>
      <c r="AO69" s="372"/>
      <c r="AP69" s="385"/>
      <c r="AQ69" s="372"/>
      <c r="AR69" s="385"/>
      <c r="AS69" s="372"/>
      <c r="AT69" s="385"/>
      <c r="AU69" s="54"/>
      <c r="AV69" s="18" t="e">
        <f>SUMIFS(#REF!,#REF!, $C69,#REF!, $E69,#REF!, $F69)</f>
        <v>#REF!</v>
      </c>
      <c r="AW69" s="55" t="e">
        <f>COUNTIFS(#REF!, $C69,#REF!, $E69,#REF!, $F69,#REF!, "&gt;=0")</f>
        <v>#REF!</v>
      </c>
      <c r="AX69" s="18" t="e">
        <f>COUNTIFS(#REF!, $C69,#REF!, $E69,#REF!, $F69,#REF!, "лично")</f>
        <v>#REF!</v>
      </c>
    </row>
    <row r="70" spans="1:50" ht="12.75" customHeight="1" x14ac:dyDescent="0.25">
      <c r="A70" s="435">
        <f t="shared" si="4"/>
        <v>50</v>
      </c>
      <c r="B70" s="436" t="s">
        <v>117</v>
      </c>
      <c r="C70" s="389" t="s">
        <v>265</v>
      </c>
      <c r="D70" s="390" t="s">
        <v>454</v>
      </c>
      <c r="E70" s="391"/>
      <c r="F70" s="393" t="str">
        <f t="shared" si="5"/>
        <v>Сокращенное название</v>
      </c>
      <c r="G70" s="388" t="s">
        <v>625</v>
      </c>
      <c r="H70" s="393" t="str">
        <f t="shared" si="8"/>
        <v>Фамилия_1 Имя Отчество</v>
      </c>
      <c r="I70" s="394">
        <f t="shared" si="6"/>
        <v>0</v>
      </c>
      <c r="J70" s="371">
        <f t="shared" si="7"/>
        <v>0</v>
      </c>
      <c r="K70" s="396"/>
      <c r="L70" s="397"/>
      <c r="M70" s="397"/>
      <c r="N70" s="398"/>
      <c r="O70" s="399"/>
      <c r="P70" s="397"/>
      <c r="Q70" s="397"/>
      <c r="R70" s="397"/>
      <c r="S70" s="397"/>
      <c r="T70" s="397"/>
      <c r="U70" s="397"/>
      <c r="V70" s="397"/>
      <c r="W70" s="397"/>
      <c r="X70" s="397"/>
      <c r="Y70" s="397"/>
      <c r="Z70" s="398"/>
      <c r="AA70" s="402"/>
      <c r="AB70" s="402"/>
      <c r="AC70" s="403"/>
      <c r="AD70" s="404"/>
      <c r="AE70" s="396"/>
      <c r="AF70" s="399"/>
      <c r="AG70" s="397"/>
      <c r="AH70" s="405"/>
      <c r="AI70" s="404"/>
      <c r="AJ70" s="403"/>
      <c r="AK70" s="406"/>
      <c r="AL70" s="407"/>
      <c r="AM70" s="396"/>
      <c r="AN70" s="409"/>
      <c r="AO70" s="396"/>
      <c r="AP70" s="409"/>
      <c r="AQ70" s="396"/>
      <c r="AR70" s="409"/>
      <c r="AS70" s="396"/>
      <c r="AT70" s="409"/>
      <c r="AU70" s="54"/>
      <c r="AV70" s="18" t="e">
        <f>SUMIFS(#REF!,#REF!, $C70,#REF!, $E70,#REF!, $F70)</f>
        <v>#REF!</v>
      </c>
      <c r="AW70" s="55" t="e">
        <f>COUNTIFS(#REF!, $C70,#REF!, $E70,#REF!, $F70,#REF!, "&gt;=0")</f>
        <v>#REF!</v>
      </c>
      <c r="AX70" s="18" t="e">
        <f>COUNTIFS(#REF!, $C70,#REF!, $E70,#REF!, $F70,#REF!, "лично")</f>
        <v>#REF!</v>
      </c>
    </row>
    <row r="71" spans="1:50" ht="10.5" customHeight="1" x14ac:dyDescent="0.25">
      <c r="A71" s="193"/>
      <c r="B71" s="86"/>
      <c r="C71" s="87"/>
      <c r="D71" s="249"/>
      <c r="E71" s="249"/>
      <c r="F71" s="249"/>
      <c r="G71" s="437" t="s">
        <v>626</v>
      </c>
      <c r="H71" s="437" t="s">
        <v>627</v>
      </c>
      <c r="I71" s="438">
        <f>SUMIF(G21:G70, "Ж", I21:I70)</f>
        <v>0</v>
      </c>
      <c r="J71" s="438">
        <f>SUMIF(G21:G70, "Ж", J21:J70)</f>
        <v>0</v>
      </c>
      <c r="K71" s="112"/>
      <c r="L71" s="112"/>
      <c r="M71" s="112"/>
      <c r="N71" s="112"/>
      <c r="O71" s="194"/>
      <c r="P71" s="194"/>
      <c r="Q71" s="194"/>
      <c r="R71" s="194"/>
      <c r="S71" s="195"/>
      <c r="T71" s="195"/>
      <c r="U71" s="195"/>
      <c r="V71" s="195"/>
      <c r="W71" s="112"/>
      <c r="X71" s="112"/>
      <c r="Y71" s="112"/>
      <c r="Z71" s="112"/>
      <c r="AA71" s="112"/>
      <c r="AB71" s="112"/>
      <c r="AC71" s="439"/>
      <c r="AD71" s="439"/>
      <c r="AE71" s="112"/>
      <c r="AF71" s="112"/>
      <c r="AG71" s="112"/>
      <c r="AH71" s="112"/>
      <c r="AI71" s="112"/>
      <c r="AJ71" s="112"/>
      <c r="AK71" s="112"/>
      <c r="AL71" s="112"/>
      <c r="AM71" s="195"/>
      <c r="AN71" s="202"/>
      <c r="AO71" s="195"/>
      <c r="AP71" s="202"/>
      <c r="AQ71" s="195"/>
      <c r="AV71" s="96" t="e">
        <f>SUM(AV21:AV70)</f>
        <v>#REF!</v>
      </c>
      <c r="AW71" s="96" t="e">
        <f>SUM(AW21:AW70)</f>
        <v>#REF!</v>
      </c>
      <c r="AX71" s="96" t="e">
        <f>SUM(AX21:AX70)</f>
        <v>#REF!</v>
      </c>
    </row>
    <row r="72" spans="1:50" ht="10.5" customHeight="1" x14ac:dyDescent="0.25">
      <c r="A72" s="193"/>
      <c r="B72" s="86"/>
      <c r="C72" s="87"/>
      <c r="D72" s="249"/>
      <c r="E72" s="249"/>
      <c r="F72" s="249"/>
      <c r="G72" s="437"/>
      <c r="H72" s="437" t="s">
        <v>628</v>
      </c>
      <c r="I72" s="440">
        <f>SUMIF(G21:G70, "М", I21:I70)</f>
        <v>0</v>
      </c>
      <c r="J72" s="440">
        <f>SUMIF(G21:G70, "М", J21:J70)</f>
        <v>0</v>
      </c>
      <c r="K72" s="112"/>
      <c r="L72" s="112"/>
      <c r="M72" s="112"/>
      <c r="N72" s="112"/>
      <c r="O72" s="194"/>
      <c r="P72" s="194"/>
      <c r="Q72" s="194"/>
      <c r="R72" s="194"/>
      <c r="S72" s="195"/>
      <c r="T72" s="195"/>
      <c r="U72" s="195"/>
      <c r="V72" s="195"/>
      <c r="W72" s="112"/>
      <c r="X72" s="112"/>
      <c r="Y72" s="112"/>
      <c r="Z72" s="112"/>
      <c r="AA72" s="112"/>
      <c r="AB72" s="112"/>
      <c r="AC72" s="439"/>
      <c r="AD72" s="439"/>
      <c r="AE72" s="112"/>
      <c r="AF72" s="112"/>
      <c r="AG72" s="112"/>
      <c r="AH72" s="112"/>
      <c r="AI72" s="112"/>
      <c r="AJ72" s="112"/>
      <c r="AK72" s="112"/>
      <c r="AL72" s="112"/>
      <c r="AM72" s="195"/>
      <c r="AN72" s="202"/>
      <c r="AO72" s="195"/>
      <c r="AP72" s="202"/>
      <c r="AQ72" s="195"/>
      <c r="AV72" s="96"/>
      <c r="AW72" s="96"/>
      <c r="AX72" s="96"/>
    </row>
    <row r="73" spans="1:50" ht="12.75" customHeight="1" x14ac:dyDescent="0.25">
      <c r="A73" s="187"/>
      <c r="B73" s="92"/>
      <c r="C73" s="16"/>
      <c r="D73" s="204"/>
      <c r="E73" s="84"/>
      <c r="F73" s="74"/>
      <c r="G73" s="55"/>
      <c r="H73" s="437" t="s">
        <v>629</v>
      </c>
      <c r="I73" s="204">
        <f>COUNTIFS(I21:I70, "&gt;0", G21:G70, "Ж")</f>
        <v>0</v>
      </c>
      <c r="J73" s="18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2"/>
      <c r="AB73" s="52"/>
      <c r="AC73" s="52"/>
      <c r="AD73" s="52"/>
      <c r="AE73" s="51"/>
      <c r="AF73" s="51"/>
      <c r="AG73" s="51"/>
      <c r="AH73" s="51"/>
      <c r="AI73" s="51"/>
      <c r="AJ73" s="51"/>
      <c r="AK73" s="52"/>
      <c r="AL73" s="52"/>
      <c r="AM73" s="51"/>
      <c r="AN73" s="53"/>
      <c r="AO73" s="54"/>
      <c r="AP73" s="18"/>
      <c r="AQ73" s="55"/>
      <c r="AR73" s="18"/>
      <c r="AT73" s="16"/>
    </row>
    <row r="74" spans="1:50" ht="12.75" customHeight="1" x14ac:dyDescent="0.25">
      <c r="A74" s="187"/>
      <c r="B74" s="92"/>
      <c r="C74" s="16"/>
      <c r="D74" s="204"/>
      <c r="E74" s="84"/>
      <c r="F74" s="74"/>
      <c r="G74" s="55"/>
      <c r="H74" s="437" t="s">
        <v>630</v>
      </c>
      <c r="I74" s="204">
        <f>COUNTIFS(I21:I70, "&gt;0", G21:G70, "М")</f>
        <v>0</v>
      </c>
      <c r="J74" s="18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2"/>
      <c r="AB74" s="52"/>
      <c r="AC74" s="52"/>
      <c r="AD74" s="52"/>
      <c r="AE74" s="51"/>
      <c r="AF74" s="51"/>
      <c r="AG74" s="51"/>
      <c r="AH74" s="51"/>
      <c r="AI74" s="51"/>
      <c r="AJ74" s="51"/>
      <c r="AK74" s="52"/>
      <c r="AL74" s="52"/>
      <c r="AM74" s="51"/>
      <c r="AN74" s="53"/>
      <c r="AO74" s="54"/>
      <c r="AP74" s="18"/>
      <c r="AQ74" s="55"/>
      <c r="AR74" s="18"/>
      <c r="AT74" s="16"/>
    </row>
    <row r="75" spans="1:50" ht="10.5" customHeight="1" x14ac:dyDescent="0.25">
      <c r="A75" s="193"/>
      <c r="B75" s="86"/>
      <c r="C75" s="87"/>
      <c r="D75" s="249"/>
      <c r="E75" s="249"/>
      <c r="F75" s="249"/>
      <c r="G75" s="437"/>
      <c r="H75" s="437"/>
      <c r="I75" s="437"/>
      <c r="J75" s="339"/>
      <c r="K75" s="339"/>
      <c r="L75" s="112"/>
      <c r="M75" s="112"/>
      <c r="N75" s="112"/>
      <c r="O75" s="112"/>
      <c r="P75" s="194"/>
      <c r="Q75" s="194"/>
      <c r="R75" s="194"/>
      <c r="S75" s="194"/>
      <c r="T75" s="195"/>
      <c r="U75" s="195"/>
      <c r="V75" s="195"/>
      <c r="W75" s="195"/>
      <c r="X75" s="112"/>
      <c r="Y75" s="112"/>
      <c r="Z75" s="112"/>
      <c r="AA75" s="112"/>
      <c r="AB75" s="112"/>
      <c r="AC75" s="112"/>
      <c r="AD75" s="439"/>
      <c r="AE75" s="439"/>
      <c r="AF75" s="112"/>
      <c r="AG75" s="112"/>
      <c r="AH75" s="112"/>
      <c r="AI75" s="112"/>
      <c r="AJ75" s="112"/>
      <c r="AK75" s="112"/>
      <c r="AL75" s="112"/>
      <c r="AM75" s="202"/>
      <c r="AN75" s="195"/>
      <c r="AO75" s="202"/>
      <c r="AP75" s="195"/>
      <c r="AQ75" s="202"/>
      <c r="AR75" s="195"/>
      <c r="AS75" s="96"/>
      <c r="AT75" s="96"/>
      <c r="AU75" s="96"/>
    </row>
    <row r="76" spans="1:50" ht="12.75" customHeight="1" x14ac:dyDescent="0.25">
      <c r="A76" s="441" t="s">
        <v>631</v>
      </c>
      <c r="B76" s="87"/>
      <c r="C76" s="87"/>
      <c r="E76" s="441" t="s">
        <v>632</v>
      </c>
      <c r="G76" s="87"/>
      <c r="H76" s="87"/>
      <c r="I76" s="87"/>
      <c r="J76" s="87"/>
      <c r="K76" s="87"/>
      <c r="L76" s="339"/>
      <c r="M76" s="112"/>
      <c r="N76" s="112"/>
      <c r="O76" s="112"/>
      <c r="P76" s="194"/>
      <c r="Q76" s="194"/>
      <c r="R76" s="194"/>
      <c r="S76" s="194"/>
      <c r="T76" s="195"/>
      <c r="U76" s="195"/>
      <c r="V76" s="195"/>
      <c r="W76" s="195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202"/>
      <c r="AN76" s="195"/>
      <c r="AO76" s="202"/>
      <c r="AP76" s="195"/>
      <c r="AQ76" s="202"/>
      <c r="AR76" s="195"/>
      <c r="AS76" s="96"/>
      <c r="AT76" s="96"/>
      <c r="AU76" s="96"/>
    </row>
    <row r="77" spans="1:50" ht="12.75" customHeight="1" x14ac:dyDescent="0.25">
      <c r="A77" s="441" t="s">
        <v>631</v>
      </c>
      <c r="B77" s="87"/>
      <c r="C77" s="87"/>
      <c r="E77" s="441" t="s">
        <v>633</v>
      </c>
      <c r="G77" s="87"/>
      <c r="H77" s="87"/>
      <c r="I77" s="87"/>
      <c r="J77" s="87"/>
      <c r="K77" s="87"/>
      <c r="L77" s="112"/>
      <c r="M77" s="112"/>
      <c r="N77" s="112"/>
      <c r="O77" s="112"/>
      <c r="P77" s="194"/>
      <c r="Q77" s="194"/>
      <c r="R77" s="194"/>
      <c r="S77" s="194"/>
      <c r="T77" s="195"/>
      <c r="U77" s="195"/>
      <c r="V77" s="195"/>
      <c r="W77" s="195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202"/>
      <c r="AN77" s="195"/>
      <c r="AO77" s="202"/>
      <c r="AP77" s="195"/>
      <c r="AQ77" s="202"/>
      <c r="AR77" s="195"/>
      <c r="AS77" s="96"/>
      <c r="AT77" s="96"/>
      <c r="AU77" s="96"/>
    </row>
    <row r="78" spans="1:50" ht="12.75" customHeight="1" x14ac:dyDescent="0.25">
      <c r="A78" s="441" t="s">
        <v>631</v>
      </c>
      <c r="B78" s="87"/>
      <c r="C78" s="87"/>
      <c r="E78" s="441" t="s">
        <v>634</v>
      </c>
      <c r="G78" s="87"/>
      <c r="H78" s="87"/>
      <c r="I78" s="87"/>
      <c r="J78" s="87"/>
      <c r="K78" s="87"/>
      <c r="L78" s="112"/>
      <c r="M78" s="112"/>
      <c r="N78" s="112"/>
      <c r="O78" s="112"/>
      <c r="P78" s="194"/>
      <c r="Q78" s="194"/>
      <c r="R78" s="194"/>
      <c r="S78" s="194"/>
      <c r="T78" s="195"/>
      <c r="U78" s="195"/>
      <c r="V78" s="195"/>
      <c r="W78" s="195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202"/>
      <c r="AN78" s="195"/>
      <c r="AO78" s="202"/>
      <c r="AP78" s="195"/>
      <c r="AQ78" s="202"/>
      <c r="AR78" s="195"/>
      <c r="AS78" s="96"/>
      <c r="AT78" s="96"/>
      <c r="AU78" s="96"/>
    </row>
    <row r="79" spans="1:50" ht="12.75" customHeight="1" x14ac:dyDescent="0.25">
      <c r="A79" s="39"/>
      <c r="B79" s="87"/>
      <c r="C79" s="87"/>
      <c r="D79" s="39"/>
      <c r="E79" s="96"/>
      <c r="F79" s="96"/>
      <c r="G79" s="87"/>
      <c r="H79" s="87"/>
      <c r="I79" s="87"/>
      <c r="J79" s="87"/>
      <c r="K79" s="87"/>
      <c r="L79" s="112"/>
      <c r="M79" s="112"/>
      <c r="N79" s="112"/>
      <c r="O79" s="112"/>
      <c r="P79" s="194"/>
      <c r="Q79" s="194"/>
      <c r="R79" s="194"/>
      <c r="S79" s="194"/>
      <c r="T79" s="195"/>
      <c r="U79" s="195"/>
      <c r="V79" s="195"/>
      <c r="W79" s="195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202"/>
      <c r="AN79" s="195"/>
      <c r="AO79" s="202"/>
      <c r="AP79" s="195"/>
      <c r="AQ79" s="202"/>
      <c r="AR79" s="195"/>
      <c r="AS79" s="96"/>
      <c r="AT79" s="96"/>
      <c r="AU79" s="96"/>
    </row>
    <row r="80" spans="1:50" ht="12.75" customHeight="1" x14ac:dyDescent="0.25">
      <c r="A80" s="39"/>
      <c r="B80" s="87"/>
      <c r="C80" s="87"/>
      <c r="D80" s="39"/>
      <c r="E80" s="96"/>
      <c r="F80" s="96"/>
      <c r="G80" s="87"/>
      <c r="H80" s="87"/>
      <c r="I80" s="87"/>
      <c r="J80" s="87"/>
      <c r="K80" s="87"/>
      <c r="L80" s="112"/>
      <c r="M80" s="112"/>
      <c r="N80" s="112"/>
      <c r="O80" s="112"/>
      <c r="P80" s="194"/>
      <c r="Q80" s="194"/>
      <c r="R80" s="194"/>
      <c r="S80" s="194"/>
      <c r="T80" s="195"/>
      <c r="U80" s="195"/>
      <c r="V80" s="195"/>
      <c r="W80" s="195"/>
      <c r="X80" s="112"/>
      <c r="Y80" s="112"/>
      <c r="Z80" s="112"/>
      <c r="AA80" s="112"/>
      <c r="AB80" s="112"/>
      <c r="AC80" s="112"/>
      <c r="AD80" s="112"/>
      <c r="AE80" s="112"/>
      <c r="AF80" s="112"/>
      <c r="AG80" s="112"/>
      <c r="AH80" s="112"/>
      <c r="AI80" s="112"/>
      <c r="AJ80" s="112"/>
      <c r="AK80" s="112"/>
      <c r="AL80" s="112"/>
      <c r="AM80" s="202"/>
      <c r="AN80" s="195"/>
      <c r="AO80" s="202"/>
      <c r="AP80" s="195"/>
      <c r="AQ80" s="202"/>
      <c r="AR80" s="195"/>
      <c r="AS80" s="96"/>
      <c r="AT80" s="96"/>
      <c r="AU80" s="96"/>
    </row>
    <row r="81" spans="1:67" ht="15.75" customHeight="1" x14ac:dyDescent="0.25">
      <c r="A81" s="442"/>
      <c r="B81" s="443" t="s">
        <v>635</v>
      </c>
      <c r="C81" s="444"/>
      <c r="D81" s="442"/>
      <c r="E81" s="445"/>
      <c r="F81" s="445"/>
      <c r="G81" s="444"/>
      <c r="H81" s="444"/>
      <c r="I81" s="444"/>
      <c r="J81" s="444"/>
      <c r="K81" s="444"/>
      <c r="L81" s="446"/>
      <c r="M81" s="446"/>
      <c r="N81" s="446"/>
      <c r="O81" s="446"/>
      <c r="P81" s="447"/>
      <c r="Q81" s="447"/>
      <c r="R81" s="447"/>
      <c r="S81" s="447"/>
      <c r="T81" s="448"/>
      <c r="U81" s="448"/>
      <c r="V81" s="448"/>
      <c r="W81" s="448"/>
      <c r="X81" s="446"/>
      <c r="Y81" s="446"/>
      <c r="Z81" s="446"/>
      <c r="AA81" s="446"/>
      <c r="AB81" s="446"/>
      <c r="AC81" s="446"/>
      <c r="AD81" s="446"/>
      <c r="AE81" s="446"/>
      <c r="AF81" s="446"/>
      <c r="AG81" s="446"/>
      <c r="AH81" s="446"/>
      <c r="AI81" s="446"/>
      <c r="AJ81" s="446"/>
      <c r="AK81" s="446"/>
      <c r="AL81" s="446"/>
      <c r="AM81" s="202"/>
      <c r="AN81" s="448"/>
      <c r="AO81" s="202"/>
      <c r="AP81" s="448"/>
      <c r="AQ81" s="202"/>
      <c r="AR81" s="445"/>
    </row>
    <row r="82" spans="1:67" ht="18.75" x14ac:dyDescent="0.25">
      <c r="A82" s="442"/>
      <c r="B82" s="449" t="s">
        <v>636</v>
      </c>
      <c r="C82" s="444"/>
      <c r="D82" s="442"/>
      <c r="E82" s="445"/>
      <c r="F82" s="445"/>
      <c r="G82" s="444"/>
      <c r="H82" s="444"/>
      <c r="I82" s="444"/>
      <c r="J82" s="444"/>
      <c r="K82" s="444"/>
      <c r="L82" s="446"/>
      <c r="M82" s="447"/>
      <c r="N82" s="447"/>
      <c r="O82" s="448"/>
      <c r="P82" s="448"/>
      <c r="Q82" s="446"/>
      <c r="R82" s="446"/>
      <c r="S82" s="446"/>
      <c r="T82" s="448"/>
      <c r="U82" s="202"/>
      <c r="V82" s="448"/>
      <c r="W82" s="445"/>
      <c r="X82" s="445"/>
      <c r="Y82" s="445"/>
    </row>
    <row r="83" spans="1:67" s="450" customFormat="1" ht="18.75" x14ac:dyDescent="0.25">
      <c r="A83" s="451"/>
      <c r="B83" s="278" t="s">
        <v>637</v>
      </c>
      <c r="C83" s="278"/>
      <c r="D83" s="451"/>
      <c r="E83" s="452"/>
      <c r="F83" s="452"/>
      <c r="G83" s="278"/>
      <c r="H83" s="278"/>
      <c r="I83" s="278"/>
      <c r="J83" s="278"/>
      <c r="K83" s="278"/>
      <c r="L83" s="453"/>
      <c r="M83" s="453"/>
      <c r="N83" s="453"/>
      <c r="O83" s="453"/>
      <c r="P83" s="454"/>
      <c r="Q83" s="454"/>
      <c r="R83" s="454"/>
      <c r="S83" s="454"/>
      <c r="T83" s="455"/>
      <c r="U83" s="455"/>
      <c r="V83" s="455"/>
      <c r="W83" s="455"/>
      <c r="X83" s="453"/>
      <c r="Y83" s="453"/>
      <c r="Z83" s="453"/>
      <c r="AA83" s="453"/>
      <c r="AB83" s="453"/>
      <c r="AC83" s="453"/>
      <c r="AD83" s="453"/>
      <c r="AE83" s="453"/>
      <c r="AF83" s="453"/>
      <c r="AG83" s="453"/>
      <c r="AH83" s="453"/>
      <c r="AI83" s="453"/>
      <c r="AJ83" s="453"/>
      <c r="AK83" s="453"/>
      <c r="AL83" s="453"/>
      <c r="AM83" s="455"/>
      <c r="AN83" s="456"/>
      <c r="AO83" s="455"/>
      <c r="AP83" s="456"/>
      <c r="AQ83" s="455"/>
      <c r="AR83" s="452"/>
      <c r="AS83" s="452"/>
      <c r="AT83" s="452"/>
    </row>
    <row r="84" spans="1:67" ht="19.5" x14ac:dyDescent="0.25">
      <c r="A84" s="39"/>
      <c r="B84" s="457" t="s">
        <v>638</v>
      </c>
      <c r="C84" s="87"/>
      <c r="D84" s="39"/>
      <c r="E84" s="96"/>
      <c r="F84" s="96"/>
      <c r="G84" s="87"/>
      <c r="H84" s="87"/>
      <c r="I84" s="87"/>
      <c r="J84" s="87"/>
      <c r="K84" s="87"/>
      <c r="L84" s="112"/>
      <c r="M84" s="194"/>
      <c r="N84" s="194"/>
      <c r="O84" s="195"/>
      <c r="P84" s="195"/>
      <c r="Q84" s="112"/>
      <c r="R84" s="112"/>
      <c r="S84" s="112"/>
      <c r="T84" s="195"/>
      <c r="U84" s="339"/>
      <c r="V84" s="195"/>
      <c r="W84" s="96"/>
      <c r="X84" s="96"/>
      <c r="Y84" s="96"/>
    </row>
    <row r="85" spans="1:67" ht="18.75" x14ac:dyDescent="0.25">
      <c r="A85" s="39"/>
      <c r="B85" s="458" t="s">
        <v>639</v>
      </c>
      <c r="C85" s="87"/>
      <c r="D85" s="39"/>
      <c r="E85" s="96"/>
      <c r="F85" s="96"/>
      <c r="G85" s="87"/>
      <c r="H85" s="87"/>
      <c r="I85" s="87"/>
      <c r="J85" s="87"/>
      <c r="K85" s="87"/>
      <c r="L85" s="112"/>
      <c r="M85" s="194"/>
      <c r="N85" s="194"/>
      <c r="O85" s="195"/>
      <c r="P85" s="195"/>
      <c r="Q85" s="112"/>
      <c r="R85" s="112"/>
      <c r="S85" s="112"/>
      <c r="T85" s="195"/>
      <c r="U85" s="339"/>
      <c r="V85" s="195"/>
      <c r="W85" s="96"/>
      <c r="X85" s="96"/>
      <c r="Y85" s="96"/>
    </row>
    <row r="86" spans="1:67" s="450" customFormat="1" ht="26.25" customHeight="1" x14ac:dyDescent="0.25">
      <c r="A86" s="259"/>
      <c r="B86" s="459" t="s">
        <v>640</v>
      </c>
      <c r="C86" s="259"/>
      <c r="D86" s="460"/>
      <c r="E86" s="460"/>
      <c r="F86" s="460"/>
      <c r="G86" s="259"/>
      <c r="H86" s="259"/>
      <c r="I86" s="259"/>
      <c r="J86" s="259"/>
      <c r="K86" s="259"/>
      <c r="L86" s="461"/>
      <c r="M86" s="462"/>
      <c r="N86" s="462"/>
      <c r="O86" s="463"/>
      <c r="P86" s="463"/>
      <c r="Q86" s="461"/>
      <c r="R86" s="461"/>
      <c r="S86" s="461"/>
      <c r="T86" s="463"/>
      <c r="U86" s="464"/>
      <c r="V86" s="463"/>
      <c r="W86" s="460"/>
      <c r="X86" s="460"/>
      <c r="Y86" s="460"/>
    </row>
    <row r="87" spans="1:67" s="450" customFormat="1" ht="64.5" customHeight="1" x14ac:dyDescent="0.25">
      <c r="A87" s="259"/>
      <c r="B87" s="2091" t="s">
        <v>641</v>
      </c>
      <c r="C87" s="2091"/>
      <c r="D87" s="2091"/>
      <c r="E87" s="2091"/>
      <c r="F87" s="2091"/>
      <c r="G87" s="2091"/>
      <c r="H87" s="2091"/>
      <c r="I87" s="2091"/>
      <c r="J87" s="2091"/>
      <c r="K87" s="2091"/>
      <c r="L87" s="2091"/>
      <c r="M87" s="2091"/>
      <c r="N87" s="2091"/>
      <c r="O87" s="2091"/>
      <c r="P87" s="2091"/>
      <c r="Q87" s="2091"/>
      <c r="R87" s="2091"/>
      <c r="S87" s="2091"/>
      <c r="T87" s="2091"/>
      <c r="U87" s="2091"/>
      <c r="V87" s="2091"/>
      <c r="W87" s="2091"/>
      <c r="X87" s="2091"/>
      <c r="Y87" s="2091"/>
      <c r="Z87" s="2091"/>
      <c r="AA87" s="2091"/>
      <c r="AB87" s="2091"/>
      <c r="AC87" s="2091"/>
      <c r="AD87" s="2091"/>
      <c r="AE87" s="2091"/>
      <c r="AF87" s="2091"/>
      <c r="AG87" s="2091"/>
      <c r="AH87" s="2091"/>
      <c r="AI87" s="2091"/>
      <c r="AJ87" s="2091"/>
      <c r="AK87" s="2091"/>
      <c r="AL87" s="2091"/>
      <c r="AM87" s="2091"/>
      <c r="AN87" s="2091"/>
    </row>
    <row r="88" spans="1:67" s="450" customFormat="1" ht="18.75" x14ac:dyDescent="0.25">
      <c r="A88" s="259"/>
      <c r="B88" s="2091" t="s">
        <v>642</v>
      </c>
      <c r="C88" s="2091"/>
      <c r="D88" s="2091"/>
      <c r="E88" s="2091"/>
      <c r="F88" s="2091"/>
      <c r="G88" s="2091"/>
      <c r="H88" s="2091"/>
      <c r="I88" s="2091"/>
      <c r="J88" s="2091"/>
      <c r="K88" s="2091"/>
      <c r="L88" s="2091"/>
      <c r="M88" s="2091"/>
      <c r="N88" s="2091"/>
      <c r="O88" s="2091"/>
      <c r="P88" s="2091"/>
      <c r="Q88" s="2091"/>
      <c r="R88" s="2091"/>
      <c r="S88" s="2091"/>
      <c r="T88" s="2091"/>
      <c r="U88" s="2091"/>
      <c r="V88" s="465"/>
      <c r="W88" s="460"/>
      <c r="X88" s="460"/>
      <c r="Y88" s="460"/>
    </row>
    <row r="89" spans="1:67" s="450" customFormat="1" ht="19.5" x14ac:dyDescent="0.25">
      <c r="A89" s="259"/>
      <c r="B89" s="459" t="s">
        <v>643</v>
      </c>
      <c r="C89" s="465"/>
      <c r="D89" s="465"/>
      <c r="E89" s="465"/>
      <c r="F89" s="465"/>
      <c r="G89" s="465"/>
      <c r="H89" s="465"/>
      <c r="I89" s="465"/>
      <c r="J89" s="465"/>
      <c r="K89" s="465"/>
      <c r="L89" s="466"/>
      <c r="M89" s="466"/>
      <c r="N89" s="466"/>
      <c r="O89" s="466"/>
      <c r="P89" s="466"/>
      <c r="Q89" s="466"/>
      <c r="R89" s="466"/>
      <c r="S89" s="466"/>
      <c r="T89" s="466"/>
      <c r="U89" s="299"/>
      <c r="V89" s="466"/>
      <c r="W89" s="467"/>
      <c r="X89" s="467"/>
      <c r="Y89" s="467"/>
    </row>
    <row r="90" spans="1:67" s="450" customFormat="1" ht="42" customHeight="1" x14ac:dyDescent="0.25">
      <c r="A90" s="299"/>
      <c r="B90" s="2091" t="s">
        <v>644</v>
      </c>
      <c r="C90" s="2091"/>
      <c r="D90" s="2091"/>
      <c r="E90" s="2091"/>
      <c r="F90" s="2091"/>
      <c r="G90" s="2091"/>
      <c r="H90" s="2091"/>
      <c r="I90" s="2091"/>
      <c r="J90" s="2091"/>
      <c r="K90" s="2091"/>
      <c r="L90" s="2091"/>
      <c r="M90" s="2091"/>
      <c r="N90" s="2091"/>
      <c r="O90" s="2091"/>
      <c r="P90" s="2091"/>
      <c r="Q90" s="2091"/>
      <c r="R90" s="2091"/>
      <c r="S90" s="2091"/>
      <c r="T90" s="2091"/>
      <c r="U90" s="2091"/>
      <c r="V90" s="2091"/>
      <c r="W90" s="2091"/>
      <c r="X90" s="2091"/>
      <c r="Y90" s="2091"/>
      <c r="Z90" s="2091"/>
      <c r="AA90" s="2091"/>
      <c r="AB90" s="2091"/>
      <c r="AC90" s="2091"/>
      <c r="AD90" s="2091"/>
      <c r="AE90" s="2091"/>
      <c r="AF90" s="2091"/>
      <c r="AG90" s="2091"/>
      <c r="AH90" s="2091"/>
      <c r="AI90" s="2091"/>
      <c r="AJ90" s="2091"/>
      <c r="AK90" s="2091"/>
      <c r="AL90" s="2091"/>
      <c r="AM90" s="2091"/>
      <c r="AN90" s="2091"/>
      <c r="AO90" s="2091"/>
      <c r="AT90" s="468"/>
      <c r="AU90" s="468"/>
      <c r="AV90" s="468"/>
      <c r="AW90" s="468"/>
      <c r="AX90" s="468"/>
      <c r="AY90" s="469"/>
      <c r="AZ90" s="67"/>
      <c r="BA90" s="67"/>
      <c r="BB90" s="470"/>
      <c r="BC90" s="119"/>
      <c r="BD90" s="471"/>
      <c r="BE90" s="471"/>
      <c r="BF90" s="471"/>
      <c r="BG90" s="119"/>
      <c r="BH90" s="46"/>
      <c r="BI90" s="46"/>
      <c r="BJ90" s="46"/>
      <c r="BK90" s="46"/>
      <c r="BL90" s="46"/>
      <c r="BM90" s="46"/>
      <c r="BN90" s="46"/>
      <c r="BO90" s="46"/>
    </row>
    <row r="91" spans="1:67" s="450" customFormat="1" ht="49.5" customHeight="1" x14ac:dyDescent="0.25">
      <c r="A91" s="299"/>
      <c r="B91" s="2091" t="s">
        <v>645</v>
      </c>
      <c r="C91" s="2091"/>
      <c r="D91" s="2091"/>
      <c r="E91" s="2091"/>
      <c r="F91" s="2091"/>
      <c r="G91" s="2091"/>
      <c r="H91" s="2091"/>
      <c r="I91" s="2091"/>
      <c r="J91" s="2091"/>
      <c r="K91" s="2091"/>
      <c r="L91" s="2091"/>
      <c r="M91" s="2091"/>
      <c r="N91" s="2091"/>
      <c r="O91" s="2091"/>
      <c r="P91" s="2091"/>
      <c r="Q91" s="2091"/>
      <c r="R91" s="2091"/>
      <c r="S91" s="2091"/>
      <c r="T91" s="2091"/>
      <c r="U91" s="2091"/>
      <c r="V91" s="2091"/>
      <c r="W91" s="2091"/>
      <c r="X91" s="2091"/>
      <c r="Y91" s="2091"/>
      <c r="Z91" s="2091"/>
      <c r="AA91" s="2091"/>
      <c r="AB91" s="2091"/>
      <c r="AC91" s="2091"/>
      <c r="AD91" s="2091"/>
      <c r="AE91" s="2091"/>
      <c r="AF91" s="2091"/>
      <c r="AG91" s="2091"/>
      <c r="AH91" s="2091"/>
      <c r="AI91" s="2091"/>
      <c r="AJ91" s="2091"/>
      <c r="AK91" s="2091"/>
      <c r="AL91" s="2091"/>
      <c r="AM91" s="2091"/>
      <c r="AN91" s="2091"/>
      <c r="AO91" s="472"/>
    </row>
    <row r="92" spans="1:67" s="450" customFormat="1" ht="42.75" customHeight="1" x14ac:dyDescent="0.25">
      <c r="A92" s="259"/>
      <c r="B92" s="2091" t="s">
        <v>646</v>
      </c>
      <c r="C92" s="2091"/>
      <c r="D92" s="2091"/>
      <c r="E92" s="2091"/>
      <c r="F92" s="2091"/>
      <c r="G92" s="2091"/>
      <c r="H92" s="2091"/>
      <c r="I92" s="2091"/>
      <c r="J92" s="2091"/>
      <c r="K92" s="2091"/>
      <c r="L92" s="2091"/>
      <c r="M92" s="2091"/>
      <c r="N92" s="2091"/>
      <c r="O92" s="2091"/>
      <c r="P92" s="2091"/>
      <c r="Q92" s="2091"/>
      <c r="R92" s="2091"/>
      <c r="S92" s="2091"/>
      <c r="T92" s="2091"/>
      <c r="U92" s="2091"/>
      <c r="V92" s="2091"/>
      <c r="W92" s="2091"/>
      <c r="X92" s="2091"/>
      <c r="Y92" s="2091"/>
      <c r="Z92" s="2091"/>
      <c r="AA92" s="2091"/>
      <c r="AB92" s="2091"/>
      <c r="AC92" s="2091"/>
      <c r="AD92" s="2091"/>
      <c r="AE92" s="2091"/>
      <c r="AF92" s="2091"/>
      <c r="AG92" s="2091"/>
      <c r="AH92" s="2091"/>
      <c r="AI92" s="2091"/>
      <c r="AJ92" s="2091"/>
      <c r="AK92" s="2091"/>
      <c r="AL92" s="2091"/>
      <c r="AM92" s="2091"/>
      <c r="AN92" s="2091"/>
    </row>
    <row r="93" spans="1:67" s="450" customFormat="1" ht="39" customHeight="1" x14ac:dyDescent="0.25">
      <c r="A93" s="259"/>
      <c r="B93" s="2091" t="s">
        <v>647</v>
      </c>
      <c r="C93" s="2091"/>
      <c r="D93" s="2091"/>
      <c r="E93" s="2091"/>
      <c r="F93" s="2091"/>
      <c r="G93" s="2091"/>
      <c r="H93" s="2091"/>
      <c r="I93" s="2091"/>
      <c r="J93" s="2091"/>
      <c r="K93" s="2091"/>
      <c r="L93" s="2091"/>
      <c r="M93" s="2091"/>
      <c r="N93" s="2091"/>
      <c r="O93" s="2091"/>
      <c r="P93" s="2091"/>
      <c r="Q93" s="2091"/>
      <c r="R93" s="2091"/>
      <c r="S93" s="2091"/>
      <c r="T93" s="2091"/>
      <c r="U93" s="2091"/>
      <c r="V93" s="2091"/>
      <c r="W93" s="2091"/>
      <c r="X93" s="2091"/>
      <c r="Y93" s="2091"/>
      <c r="Z93" s="2091"/>
      <c r="AA93" s="2091"/>
      <c r="AB93" s="2091"/>
      <c r="AC93" s="2091"/>
      <c r="AD93" s="2091"/>
      <c r="AE93" s="2091"/>
      <c r="AF93" s="2091"/>
      <c r="AG93" s="2091"/>
      <c r="AH93" s="2091"/>
      <c r="AI93" s="2091"/>
      <c r="AJ93" s="2091"/>
      <c r="AK93" s="2091"/>
      <c r="AL93" s="2091"/>
      <c r="AM93" s="2091"/>
      <c r="AN93" s="2091"/>
    </row>
    <row r="94" spans="1:67" ht="18.75" customHeight="1" x14ac:dyDescent="0.25">
      <c r="A94" s="85"/>
      <c r="B94" s="451" t="s">
        <v>648</v>
      </c>
      <c r="C94" s="103"/>
      <c r="D94" s="85"/>
      <c r="E94" s="471"/>
      <c r="F94" s="471"/>
      <c r="G94" s="103"/>
      <c r="H94" s="103"/>
      <c r="I94" s="103"/>
      <c r="J94" s="103"/>
      <c r="K94" s="103"/>
      <c r="L94" s="469"/>
      <c r="M94" s="473"/>
      <c r="N94" s="473"/>
      <c r="O94" s="474"/>
      <c r="P94" s="474"/>
      <c r="Q94" s="469"/>
      <c r="R94" s="469"/>
      <c r="S94" s="469"/>
      <c r="T94" s="474"/>
      <c r="U94" s="339"/>
      <c r="V94" s="474"/>
      <c r="W94" s="471"/>
      <c r="X94" s="471"/>
      <c r="Y94" s="471"/>
    </row>
    <row r="95" spans="1:67" ht="18.75" customHeight="1" x14ac:dyDescent="0.25">
      <c r="A95" s="85"/>
      <c r="B95" s="278" t="s">
        <v>649</v>
      </c>
      <c r="C95" s="103"/>
      <c r="D95" s="85"/>
      <c r="E95" s="471"/>
      <c r="F95" s="471"/>
      <c r="G95" s="103"/>
      <c r="H95" s="103"/>
      <c r="I95" s="103"/>
      <c r="J95" s="103"/>
      <c r="K95" s="103"/>
      <c r="L95" s="469"/>
      <c r="M95" s="473"/>
      <c r="N95" s="473"/>
      <c r="O95" s="474"/>
      <c r="P95" s="474"/>
      <c r="Q95" s="469"/>
      <c r="R95" s="469"/>
      <c r="S95" s="469"/>
      <c r="T95" s="474"/>
      <c r="U95" s="444"/>
      <c r="V95" s="474"/>
      <c r="W95" s="471"/>
      <c r="X95" s="471"/>
      <c r="Y95" s="471"/>
    </row>
    <row r="96" spans="1:67" ht="18.75" customHeight="1" x14ac:dyDescent="0.25">
      <c r="A96" s="85"/>
      <c r="B96" s="451" t="s">
        <v>650</v>
      </c>
      <c r="C96" s="103"/>
      <c r="D96" s="85"/>
      <c r="E96" s="471"/>
      <c r="F96" s="471"/>
      <c r="G96" s="103"/>
      <c r="H96" s="103"/>
      <c r="I96" s="103"/>
      <c r="J96" s="103"/>
      <c r="K96" s="103"/>
      <c r="L96" s="469"/>
      <c r="M96" s="473"/>
      <c r="N96" s="473"/>
      <c r="O96" s="474"/>
      <c r="P96" s="474"/>
      <c r="Q96" s="469"/>
      <c r="R96" s="469"/>
      <c r="S96" s="469"/>
      <c r="T96" s="474"/>
      <c r="U96" s="87"/>
      <c r="V96" s="474"/>
      <c r="W96" s="471"/>
      <c r="X96" s="471"/>
      <c r="Y96" s="471"/>
    </row>
    <row r="97" spans="1:43" ht="24.75" customHeight="1" x14ac:dyDescent="0.25">
      <c r="A97" s="475">
        <v>4</v>
      </c>
      <c r="B97" s="451" t="s">
        <v>651</v>
      </c>
      <c r="C97" s="476"/>
      <c r="D97" s="475"/>
      <c r="E97" s="475"/>
      <c r="F97" s="475"/>
      <c r="G97" s="476"/>
      <c r="H97" s="476"/>
      <c r="I97" s="476"/>
      <c r="J97" s="476"/>
      <c r="K97" s="476"/>
      <c r="L97" s="477"/>
      <c r="M97" s="478"/>
      <c r="N97" s="478"/>
      <c r="O97" s="479"/>
      <c r="P97" s="479"/>
      <c r="Q97" s="477"/>
      <c r="R97" s="477"/>
      <c r="S97" s="477"/>
      <c r="T97" s="479"/>
      <c r="U97" s="444"/>
      <c r="V97" s="479"/>
      <c r="W97" s="475"/>
      <c r="X97" s="475"/>
      <c r="Y97" s="475"/>
    </row>
    <row r="98" spans="1:43" ht="12.75" customHeight="1" x14ac:dyDescent="0.25">
      <c r="A98" s="39"/>
      <c r="B98" s="459" t="s">
        <v>652</v>
      </c>
      <c r="C98" s="103"/>
      <c r="D98" s="85"/>
      <c r="E98" s="471"/>
      <c r="F98" s="471"/>
      <c r="G98" s="103"/>
      <c r="H98" s="103"/>
      <c r="I98" s="103"/>
      <c r="J98" s="103"/>
      <c r="K98" s="103"/>
      <c r="L98" s="469"/>
      <c r="M98" s="468"/>
      <c r="N98" s="468"/>
      <c r="O98" s="468"/>
      <c r="P98" s="468"/>
      <c r="Q98" s="468"/>
      <c r="R98" s="469"/>
      <c r="S98" s="67"/>
      <c r="T98" s="67"/>
      <c r="U98" s="470"/>
      <c r="V98" s="119"/>
      <c r="W98" s="471"/>
      <c r="X98" s="471"/>
      <c r="Y98" s="471"/>
      <c r="Z98" s="119"/>
    </row>
    <row r="99" spans="1:43" ht="12.75" customHeight="1" x14ac:dyDescent="0.25">
      <c r="A99" s="87"/>
      <c r="B99" s="480"/>
      <c r="C99" s="480"/>
      <c r="D99" s="480"/>
      <c r="E99" s="480"/>
      <c r="F99" s="480"/>
      <c r="G99" s="480"/>
      <c r="H99" s="480"/>
      <c r="I99" s="480"/>
      <c r="J99" s="480"/>
      <c r="K99" s="480"/>
      <c r="L99" s="481"/>
      <c r="M99" s="481"/>
      <c r="N99" s="481"/>
      <c r="O99" s="481"/>
      <c r="P99" s="481"/>
      <c r="Q99" s="481"/>
      <c r="R99" s="481"/>
      <c r="S99" s="481"/>
      <c r="T99" s="481"/>
      <c r="U99" s="482"/>
      <c r="V99" s="481"/>
      <c r="W99" s="471"/>
      <c r="X99" s="471"/>
      <c r="Y99" s="471"/>
    </row>
    <row r="100" spans="1:43" ht="46.5" customHeight="1" x14ac:dyDescent="0.25">
      <c r="A100" s="87"/>
      <c r="B100" s="2091" t="s">
        <v>653</v>
      </c>
      <c r="C100" s="2091"/>
      <c r="D100" s="2091"/>
      <c r="E100" s="2091"/>
      <c r="F100" s="2091"/>
      <c r="G100" s="2091"/>
      <c r="H100" s="2091"/>
      <c r="I100" s="2091"/>
      <c r="J100" s="2091"/>
      <c r="K100" s="2091"/>
      <c r="L100" s="2091"/>
      <c r="M100" s="2091"/>
      <c r="N100" s="2091"/>
      <c r="O100" s="2091"/>
      <c r="P100" s="2091"/>
      <c r="Q100" s="2091"/>
      <c r="R100" s="2091"/>
      <c r="S100" s="2091"/>
      <c r="T100" s="2091"/>
      <c r="U100" s="2091"/>
      <c r="V100" s="2091"/>
      <c r="W100" s="2091"/>
      <c r="X100" s="2091"/>
      <c r="Y100" s="2091"/>
      <c r="Z100" s="2091"/>
      <c r="AA100" s="2091"/>
      <c r="AB100" s="2091"/>
      <c r="AC100" s="2091"/>
      <c r="AD100" s="2091"/>
      <c r="AE100" s="2091"/>
      <c r="AF100" s="2091"/>
      <c r="AG100" s="483"/>
      <c r="AH100" s="483"/>
      <c r="AI100" s="483"/>
      <c r="AJ100" s="483"/>
      <c r="AK100" s="483"/>
      <c r="AL100" s="483"/>
      <c r="AM100" s="476"/>
      <c r="AN100" s="483"/>
      <c r="AO100" s="476"/>
      <c r="AP100" s="483"/>
      <c r="AQ100" s="96"/>
    </row>
    <row r="101" spans="1:43" x14ac:dyDescent="0.25">
      <c r="AM101" s="87"/>
      <c r="AO101" s="87"/>
      <c r="AQ101" s="87"/>
    </row>
    <row r="102" spans="1:43" x14ac:dyDescent="0.25">
      <c r="AM102" s="87"/>
      <c r="AO102" s="87"/>
      <c r="AQ102" s="87"/>
    </row>
    <row r="103" spans="1:43" x14ac:dyDescent="0.25">
      <c r="AM103" s="87"/>
      <c r="AO103" s="87"/>
      <c r="AQ103" s="87"/>
    </row>
    <row r="104" spans="1:43" x14ac:dyDescent="0.25">
      <c r="AM104" s="87"/>
      <c r="AO104" s="87"/>
      <c r="AQ104" s="87"/>
    </row>
    <row r="105" spans="1:43" x14ac:dyDescent="0.25">
      <c r="AM105" s="87"/>
      <c r="AO105" s="87"/>
      <c r="AQ105" s="87"/>
    </row>
    <row r="106" spans="1:43" x14ac:dyDescent="0.25">
      <c r="AM106" s="339"/>
      <c r="AO106" s="339"/>
      <c r="AQ106" s="339"/>
    </row>
    <row r="107" spans="1:43" x14ac:dyDescent="0.25">
      <c r="AM107" s="339"/>
      <c r="AO107" s="339"/>
      <c r="AQ107" s="339"/>
    </row>
  </sheetData>
  <mergeCells count="39">
    <mergeCell ref="AM19:AT19"/>
    <mergeCell ref="B100:AF100"/>
    <mergeCell ref="B88:U88"/>
    <mergeCell ref="AE19:AL19"/>
    <mergeCell ref="AA19:AD19"/>
    <mergeCell ref="A19:A20"/>
    <mergeCell ref="E19:E20"/>
    <mergeCell ref="B19:B20"/>
    <mergeCell ref="F19:F20"/>
    <mergeCell ref="H19:H20"/>
    <mergeCell ref="J19:J20"/>
    <mergeCell ref="G19:G20"/>
    <mergeCell ref="C19:D20"/>
    <mergeCell ref="I19:I20"/>
    <mergeCell ref="K19:N19"/>
    <mergeCell ref="O19:Z19"/>
    <mergeCell ref="B93:AN93"/>
    <mergeCell ref="B92:AN92"/>
    <mergeCell ref="B90:AO90"/>
    <mergeCell ref="B91:AN91"/>
    <mergeCell ref="B87:AN87"/>
    <mergeCell ref="B4:AC5"/>
    <mergeCell ref="B7:AC8"/>
    <mergeCell ref="H10:O10"/>
    <mergeCell ref="P10:T11"/>
    <mergeCell ref="I11:K11"/>
    <mergeCell ref="A14:AP14"/>
    <mergeCell ref="I13:K13"/>
    <mergeCell ref="L13:M13"/>
    <mergeCell ref="N13:O13"/>
    <mergeCell ref="AD10:AP13"/>
    <mergeCell ref="P12:T13"/>
    <mergeCell ref="U12:AC13"/>
    <mergeCell ref="N12:O12"/>
    <mergeCell ref="L12:M12"/>
    <mergeCell ref="I12:K12"/>
    <mergeCell ref="U10:AC11"/>
    <mergeCell ref="N11:O11"/>
    <mergeCell ref="L11:M11"/>
  </mergeCells>
  <conditionalFormatting sqref="AY22:AY31">
    <cfRule type="expression" dxfId="170" priority="24">
      <formula>IF($B21&lt;&gt;$H$11, IF($B21&lt;&gt;$H$12, IF($B21&lt;&gt;$H$13, IF($B21&lt;&gt;$I$11, IF($B21&lt;&gt;$I$12, IF($B21&lt;&gt;$I$13, IF($B21&lt;&gt;$L$11, IF($B21&lt;&gt;$L$12, IF($B21&lt;&gt;$L$13, IF($B21&lt;&gt;$N$78, IF($B21&lt;&gt;$N$79, TRUE)))))))))))</formula>
    </cfRule>
  </conditionalFormatting>
  <conditionalFormatting sqref="AY21">
    <cfRule type="expression" dxfId="169" priority="23">
      <formula>IF(#REF!&lt;&gt;$H$11, IF(#REF!&lt;&gt;$H$12, IF(#REF!&lt;&gt;$H$13, IF(#REF!&lt;&gt;$I$11, IF(#REF!&lt;&gt;$I$12, IF(#REF!&lt;&gt;$I$13, IF(#REF!&lt;&gt;$L$11, IF(#REF!&lt;&gt;$L$12, IF(#REF!&lt;&gt;$L$13, IF(#REF!&lt;&gt;$N$78, IF(#REF!&lt;&gt;$N$79, TRUE)))))))))))</formula>
    </cfRule>
  </conditionalFormatting>
  <conditionalFormatting sqref="E21:E70">
    <cfRule type="expression" dxfId="168" priority="22">
      <formula>IF(ISBLANK(E21), FALSE, IF(IF(ISNUMBER($G$13), IF(YEAR(TODAY())-$G$13&lt;=E21, FALSE, TRUE), FALSE), TRUE, IF(ISNUMBER($E$13), IF(YEAR(TODAY())-$E$13&lt;E21, TRUE, FALSE), FALSE)))</formula>
    </cfRule>
  </conditionalFormatting>
  <conditionalFormatting sqref="B21:B70">
    <cfRule type="expression" dxfId="167" priority="21">
      <formula>IF($B21&lt;&gt;$H$11, IF($B21&lt;&gt;$H$12, IF($B21&lt;&gt;$H$13, IF($B21&lt;&gt;$I$11, IF(B21&lt;&gt;$I$12, IF($B21&lt;&gt;$I$13, IF($B21&lt;&gt;$L$11, IF($B21&lt;&gt;$L$12, IF($B21&lt;&gt;$L$13, IF($B21&lt;&gt;$N$11, IF($B21&lt;&gt;$N$12, TRUE)))))))))))</formula>
    </cfRule>
  </conditionalFormatting>
  <conditionalFormatting sqref="I73">
    <cfRule type="expression" dxfId="166" priority="20">
      <formula>IF($I$73&gt;$E$11, TRUE)</formula>
    </cfRule>
  </conditionalFormatting>
  <conditionalFormatting sqref="I74">
    <cfRule type="expression" dxfId="165" priority="19">
      <formula>IF($I$74&gt;$E$12, TRUE)</formula>
    </cfRule>
  </conditionalFormatting>
  <conditionalFormatting sqref="J21:J70">
    <cfRule type="expression" dxfId="164" priority="18">
      <formula>IF(J21&gt;$G$11+$G$12-I21, IF(J21+I21&gt;$G$11+$G$12, TRUE, ))</formula>
    </cfRule>
  </conditionalFormatting>
  <conditionalFormatting sqref="I21:I70">
    <cfRule type="expression" dxfId="163" priority="17">
      <formula>IF(I21&gt;$G$11, TRUE)</formula>
    </cfRule>
  </conditionalFormatting>
  <conditionalFormatting sqref="K21:K70 M21:M70 O21:O70 Q21:Q70 S21:S70 U21:U70 W21:W70 Y21:Y70 AA21:AA70 AC21:AC70 AE21:AE70 AG21:AG70 AK21:AK70 AM21:AM70 AO21:AO70 AQ21:AQ70 AS21:AS70">
    <cfRule type="expression" dxfId="162" priority="16">
      <formula>IF(NOT(ISBLANK(K21)), IF(ISNUMBER(K21), IF(INT(K21/10000)&gt;23, TRUE, IF(INT(MOD(K21, 10000)/100)&gt;59.99, TRUE, IF(MOD(K21, 100)&gt;59.99, TRUE, FALSE))), TRUE))</formula>
    </cfRule>
  </conditionalFormatting>
  <conditionalFormatting sqref="L21:L70 N21:N70 P21:P70 R21:R70 T21:T70 V21:V70 X21:X70 Z21:Z70 AB21:AB70 AD21:AD70 AF21:AF70 AH21:AH70 AL21:AL70 L73:L74 N73:N74 P73:P74 R73:R74 T73:T74 V73:V74 X73:X74 Z73:Z74 AB73:AB74 AD73:AD74 AF73:AF74 AH73:AJ74 AL73:AL74">
    <cfRule type="expression" dxfId="161" priority="15">
      <formula>IF(L21="л", TRUE, )</formula>
    </cfRule>
  </conditionalFormatting>
  <conditionalFormatting sqref="L21:L70 N21:N70 P21:P70 R21:R70 T21:T70 V21:V70 X21:X70 Z21:Z70 AB21:AB70 AD21:AD70 AF21:AF70 AH21:AH70 AL21:AL70 L73:L74 N73:N74 P73:P74 R73:R74 T73:T74 V73:V74 X73:X74 Z73:Z74 AB73:AB74 AD73:AD74 AF73:AF74 AH73:AJ74 AL73:AL74">
    <cfRule type="expression" dxfId="160" priority="14">
      <formula>IF(L21="в", TRUE, )</formula>
    </cfRule>
  </conditionalFormatting>
  <conditionalFormatting sqref="M21:M70">
    <cfRule type="expression" dxfId="159" priority="13">
      <formula>IF(ISNUMBER(M21), IF(YEAR(TODAY())-14&gt;=E21, FALSE, TRUE))</formula>
    </cfRule>
  </conditionalFormatting>
  <conditionalFormatting sqref="K21:K70">
    <cfRule type="expression" dxfId="158" priority="12">
      <formula>IF(ISNUMBER(K21), IF(YEAR(TODAY())-12&gt;=E21, FALSE, TRUE))</formula>
    </cfRule>
  </conditionalFormatting>
  <conditionalFormatting sqref="Y21:Y70">
    <cfRule type="expression" dxfId="157" priority="11">
      <formula>IF(ISNUMBER(Y21), IF(YEAR(TODAY())-12&gt;=E21, FALSE, TRUE))</formula>
    </cfRule>
  </conditionalFormatting>
  <conditionalFormatting sqref="AA21:AA70">
    <cfRule type="expression" dxfId="156" priority="10">
      <formula>IF(ISNUMBER(AA21), IF(YEAR(TODAY())-12&gt;=E21, FALSE, TRUE))</formula>
    </cfRule>
  </conditionalFormatting>
  <conditionalFormatting sqref="AC21:AC70">
    <cfRule type="expression" dxfId="155" priority="9">
      <formula>IF(ISNUMBER(AC21), IF(YEAR(TODAY())-12&gt;=E21, FALSE, TRUE))</formula>
    </cfRule>
  </conditionalFormatting>
  <conditionalFormatting sqref="L21:L70 N21:N70 P21:P70 R21:R70 T21:T70 V21:V70 X21:X70 Z21:Z70 AB21:AB70 AD21:AD70 AF21:AF70 AH21:AH70 AL21:AL70 L73:L74 N73:N74 P73:P74 R73:R74 T73:T74 V73:V74 X73:X74 Z73:Z74 AB73:AB74 AD73:AD74 AF73:AF74 AH73:AJ74 AL73:AL74">
    <cfRule type="expression" dxfId="154" priority="8">
      <formula>IF(L21="л", "ЛОЖЬ", IF(L21="в", "ЛОЖЬ", IF(ISBLANK(L21), "ЛОЖЬ", TRUE)))</formula>
    </cfRule>
  </conditionalFormatting>
  <conditionalFormatting sqref="AM21:AM70 AO21:AO70 AQ21:AQ70 AS21:AS70">
    <cfRule type="expression" dxfId="153" priority="7">
      <formula>IF(ISBLANK(AM21), FALSE, IF($I21=0, TRUE))</formula>
    </cfRule>
  </conditionalFormatting>
  <conditionalFormatting sqref="G21:G70">
    <cfRule type="expression" dxfId="152" priority="6">
      <formula>IF(G21="м", FALSE, IF(G21="ж", FALSE, TRUE))</formula>
    </cfRule>
  </conditionalFormatting>
  <conditionalFormatting sqref="AN21:AN70 AP21:AP70 AR21:AR70 AT21:AT70">
    <cfRule type="expression" dxfId="151" priority="5">
      <formula>IF(ISBLANK(AM21), IF(ISBLANK(AN21), FALSE, TRUE), IF(ISNUMBER(AN21), FALSE, TRUE))</formula>
    </cfRule>
  </conditionalFormatting>
  <conditionalFormatting sqref="AI21:AI70">
    <cfRule type="expression" dxfId="150" priority="4">
      <formula>IF(NOT(ISBLANK(AI21)), IF(ISNUMBER(AI21), IF(INT(AI21/10000)&gt;23, TRUE, IF(INT(MOD(AI21, 10000)/100)&gt;59.99, TRUE, IF(MOD(AI21, 100)&gt;59.99, TRUE, FALSE))), TRUE))</formula>
    </cfRule>
  </conditionalFormatting>
  <conditionalFormatting sqref="AJ21:AJ70">
    <cfRule type="expression" dxfId="149" priority="3">
      <formula>IF(AJ21="л", TRUE, )</formula>
    </cfRule>
  </conditionalFormatting>
  <conditionalFormatting sqref="AJ21:AJ70">
    <cfRule type="expression" dxfId="148" priority="2">
      <formula>IF(AJ21="в", TRUE, )</formula>
    </cfRule>
  </conditionalFormatting>
  <conditionalFormatting sqref="AJ21:AJ70">
    <cfRule type="expression" dxfId="147" priority="1">
      <formula>IF(AJ21="л", "ЛОЖЬ", IF(AJ21="в", "ЛОЖЬ", IF(ISBLANK(AJ21), "ЛОЖЬ", TRUE)))</formula>
    </cfRule>
  </conditionalFormatting>
  <pageMargins left="0.31496062874794006" right="0.31496062874794006" top="0.55118107795715332" bottom="0.31496062874794006" header="0" footer="0"/>
  <pageSetup paperSize="9" fitToWidth="0" fitToHeight="0" orientation="landscape"/>
  <headerFooter>
    <oddFooter>&amp;R&amp;8&amp;"Times New Roman,Regular"Стр. &amp;P из &amp;N&amp;12&amp;"-,Regular"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9</vt:i4>
      </vt:variant>
    </vt:vector>
  </HeadingPairs>
  <TitlesOfParts>
    <vt:vector size="35" baseType="lpstr">
      <vt:lpstr>Итоговый</vt:lpstr>
      <vt:lpstr>Отчет_ЦСП</vt:lpstr>
      <vt:lpstr>СП_без предварительных</vt:lpstr>
      <vt:lpstr>СП_с предварительными</vt:lpstr>
      <vt:lpstr>Нормативы</vt:lpstr>
      <vt:lpstr>Очки</vt:lpstr>
      <vt:lpstr>Ст. секундометрист</vt:lpstr>
      <vt:lpstr>Ведомость 6</vt:lpstr>
      <vt:lpstr>Техническая один зачет</vt:lpstr>
      <vt:lpstr>Именная заявка один зачет</vt:lpstr>
      <vt:lpstr>Техническая по возраст группам</vt:lpstr>
      <vt:lpstr>Именная по возраст группам</vt:lpstr>
      <vt:lpstr>Техническая по возраст груп пар</vt:lpstr>
      <vt:lpstr>Именная по возраст группам пар</vt:lpstr>
      <vt:lpstr>Техническая_марафон</vt:lpstr>
      <vt:lpstr>Именная заявка марафон</vt:lpstr>
      <vt:lpstr>Техническая параллельный зачет</vt:lpstr>
      <vt:lpstr>Отчет_ГСК_Первенство</vt:lpstr>
      <vt:lpstr>Карточка эстафеты</vt:lpstr>
      <vt:lpstr>Дистанции взрослые</vt:lpstr>
      <vt:lpstr>Рекорды</vt:lpstr>
      <vt:lpstr>Протокол прохождения марафон</vt:lpstr>
      <vt:lpstr>Протокол_прохождения</vt:lpstr>
      <vt:lpstr>Грамоты_МИНСПОРТА</vt:lpstr>
      <vt:lpstr>нормы_с_28.02.20</vt:lpstr>
      <vt:lpstr>Нормы 2018-1921</vt:lpstr>
      <vt:lpstr>'Именная заявка марафон'!Заголовки_для_печати</vt:lpstr>
      <vt:lpstr>'Именная заявка один зачет'!Заголовки_для_печати</vt:lpstr>
      <vt:lpstr>'Именная по возраст группам'!Заголовки_для_печати</vt:lpstr>
      <vt:lpstr>'Именная по возраст группам пар'!Заголовки_для_печати</vt:lpstr>
      <vt:lpstr>'Техническая один зачет'!Заголовки_для_печати</vt:lpstr>
      <vt:lpstr>'Техническая параллельный зачет'!Заголовки_для_печати</vt:lpstr>
      <vt:lpstr>'Техническая по возраст груп пар'!Заголовки_для_печати</vt:lpstr>
      <vt:lpstr>'Техническая по возраст группам'!Заголовки_для_печати</vt:lpstr>
      <vt:lpstr>нормы_с_28.02.20!Область_печати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2015-02-24T12:52:44Z</dcterms:created>
  <dcterms:modified xsi:type="dcterms:W3CDTF">2025-11-07T08:19:26Z</dcterms:modified>
</cp:coreProperties>
</file>