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ПЛАВАНИЕ В ЛАСТАХ\АЧИНСК\Ачинск апрель2026\"/>
    </mc:Choice>
  </mc:AlternateContent>
  <xr:revisionPtr revIDLastSave="0" documentId="13_ncr:1_{D9BFD12A-79AD-42E2-96C9-4BE5A3F51158}" xr6:coauthVersionLast="40" xr6:coauthVersionMax="40" xr10:uidLastSave="{00000000-0000-0000-0000-000000000000}"/>
  <bookViews>
    <workbookView xWindow="0" yWindow="0" windowWidth="25600" windowHeight="11990" tabRatio="871" xr2:uid="{00000000-000D-0000-FFFF-FFFF00000000}"/>
  </bookViews>
  <sheets>
    <sheet name="ИТОГОВЫЙ городские  (2)" sheetId="58" r:id="rId1"/>
    <sheet name="ИТОГОВЫЙ ксш" sheetId="57" r:id="rId2"/>
    <sheet name="Нормативы" sheetId="31" r:id="rId3"/>
  </sheets>
  <externalReferences>
    <externalReference r:id="rId4"/>
  </externalReferences>
  <definedNames>
    <definedName name="_xlnm.Print_Area" localSheetId="0">'ИТОГОВЫЙ городские  (2)'!$A$1:$K$730</definedName>
    <definedName name="_xlnm.Print_Area" localSheetId="1">'ИТОГОВЫЙ ксш'!$A$1:$K$778</definedName>
  </definedNames>
  <calcPr calcId="191029"/>
</workbook>
</file>

<file path=xl/calcChain.xml><?xml version="1.0" encoding="utf-8"?>
<calcChain xmlns="http://schemas.openxmlformats.org/spreadsheetml/2006/main">
  <c r="J700" i="58" l="1"/>
  <c r="J699" i="58"/>
  <c r="J698" i="58"/>
  <c r="J697" i="58"/>
  <c r="J696" i="58"/>
  <c r="J695" i="58"/>
  <c r="J694" i="58"/>
  <c r="J693" i="58"/>
  <c r="J692" i="58"/>
  <c r="J691" i="58"/>
  <c r="J689" i="58"/>
  <c r="J688" i="58"/>
  <c r="J687" i="58"/>
  <c r="J686" i="58"/>
  <c r="J685" i="58"/>
  <c r="J684" i="58"/>
  <c r="J683" i="58"/>
  <c r="J682" i="58"/>
  <c r="J681" i="58"/>
  <c r="J680" i="58"/>
  <c r="J679" i="58"/>
  <c r="J678" i="58"/>
  <c r="J677" i="58"/>
  <c r="J676" i="58"/>
  <c r="J673" i="58"/>
  <c r="J672" i="58"/>
  <c r="J671" i="58"/>
  <c r="J670" i="58"/>
  <c r="J669" i="58"/>
  <c r="J668" i="58"/>
  <c r="J667" i="58"/>
  <c r="J664" i="58"/>
  <c r="J663" i="58"/>
  <c r="J662" i="58"/>
  <c r="J659" i="58"/>
  <c r="J658" i="58"/>
  <c r="J657" i="58"/>
  <c r="J656" i="58"/>
  <c r="J655" i="58"/>
  <c r="J654" i="58"/>
  <c r="J653" i="58"/>
  <c r="J650" i="58"/>
  <c r="J649" i="58"/>
  <c r="J648" i="58"/>
  <c r="J645" i="58"/>
  <c r="J644" i="58"/>
  <c r="J643" i="58"/>
  <c r="J642" i="58"/>
  <c r="J641" i="58"/>
  <c r="J640" i="58"/>
  <c r="J639" i="58"/>
  <c r="J638" i="58"/>
  <c r="J637" i="58"/>
  <c r="J636" i="58"/>
  <c r="J633" i="58"/>
  <c r="J630" i="58"/>
  <c r="J629" i="58"/>
  <c r="J628" i="58"/>
  <c r="J627" i="58"/>
  <c r="J626" i="58"/>
  <c r="J625" i="58"/>
  <c r="J624" i="58"/>
  <c r="J623" i="58"/>
  <c r="J622" i="58"/>
  <c r="J621" i="58"/>
  <c r="J620" i="58"/>
  <c r="J619" i="58"/>
  <c r="J618" i="58"/>
  <c r="J617" i="58"/>
  <c r="J616" i="58"/>
  <c r="J615" i="58"/>
  <c r="J614" i="58"/>
  <c r="J613" i="58"/>
  <c r="J612" i="58"/>
  <c r="J611" i="58"/>
  <c r="J610" i="58"/>
  <c r="J609" i="58"/>
  <c r="J608" i="58"/>
  <c r="J606" i="58"/>
  <c r="J605" i="58"/>
  <c r="J604" i="58"/>
  <c r="J603" i="58"/>
  <c r="J602" i="58"/>
  <c r="J601" i="58"/>
  <c r="J600" i="58"/>
  <c r="J599" i="58"/>
  <c r="J598" i="58"/>
  <c r="J597" i="58"/>
  <c r="J596" i="58"/>
  <c r="J595" i="58"/>
  <c r="J594" i="58"/>
  <c r="J593" i="58"/>
  <c r="J592" i="58"/>
  <c r="J591" i="58"/>
  <c r="J590" i="58"/>
  <c r="J589" i="58"/>
  <c r="J588" i="58"/>
  <c r="J587" i="58"/>
  <c r="J586" i="58"/>
  <c r="J585" i="58"/>
  <c r="J584" i="58"/>
  <c r="J583" i="58"/>
  <c r="J582" i="58"/>
  <c r="J581" i="58"/>
  <c r="J580" i="58"/>
  <c r="J579" i="58"/>
  <c r="J578" i="58"/>
  <c r="J577" i="58"/>
  <c r="J576" i="58"/>
  <c r="J575" i="58"/>
  <c r="J574" i="58"/>
  <c r="J573" i="58"/>
  <c r="J570" i="58"/>
  <c r="J569" i="58"/>
  <c r="J568" i="58"/>
  <c r="J567" i="58"/>
  <c r="J566" i="58"/>
  <c r="J565" i="58"/>
  <c r="J564" i="58"/>
  <c r="J563" i="58"/>
  <c r="J562" i="58"/>
  <c r="J561" i="58"/>
  <c r="J560" i="58"/>
  <c r="J559" i="58"/>
  <c r="J558" i="58"/>
  <c r="J557" i="58"/>
  <c r="J556" i="58"/>
  <c r="J555" i="58"/>
  <c r="J554" i="58"/>
  <c r="J553" i="58"/>
  <c r="J552" i="58"/>
  <c r="J551" i="58"/>
  <c r="J550" i="58"/>
  <c r="J549" i="58"/>
  <c r="J548" i="58"/>
  <c r="J547" i="58"/>
  <c r="J546" i="58"/>
  <c r="J545" i="58"/>
  <c r="J544" i="58"/>
  <c r="J541" i="58"/>
  <c r="J540" i="58"/>
  <c r="J539" i="58"/>
  <c r="J538" i="58"/>
  <c r="J537" i="58"/>
  <c r="J536" i="58"/>
  <c r="J535" i="58"/>
  <c r="J534" i="58"/>
  <c r="J532" i="58"/>
  <c r="J531" i="58"/>
  <c r="J530" i="58"/>
  <c r="J529" i="58"/>
  <c r="J528" i="58"/>
  <c r="J527" i="58"/>
  <c r="J525" i="58"/>
  <c r="J524" i="58"/>
  <c r="J523" i="58"/>
  <c r="J522" i="58"/>
  <c r="J521" i="58"/>
  <c r="J520" i="58"/>
  <c r="J519" i="58"/>
  <c r="J518" i="58"/>
  <c r="J517" i="58"/>
  <c r="J516" i="58"/>
  <c r="J515" i="58"/>
  <c r="J514" i="58"/>
  <c r="J513" i="58"/>
  <c r="J512" i="58"/>
  <c r="J511" i="58"/>
  <c r="J510" i="58"/>
  <c r="J509" i="58"/>
  <c r="J506" i="58"/>
  <c r="J505" i="58"/>
  <c r="J504" i="58"/>
  <c r="J503" i="58"/>
  <c r="J502" i="58"/>
  <c r="J501" i="58"/>
  <c r="J500" i="58"/>
  <c r="J499" i="58"/>
  <c r="J498" i="58"/>
  <c r="J497" i="58"/>
  <c r="J494" i="58"/>
  <c r="J493" i="58"/>
  <c r="J492" i="58"/>
  <c r="J491" i="58"/>
  <c r="J490" i="58"/>
  <c r="J489" i="58"/>
  <c r="J488" i="58"/>
  <c r="J485" i="58"/>
  <c r="J484" i="58"/>
  <c r="J483" i="58"/>
  <c r="J482" i="58"/>
  <c r="J481" i="58"/>
  <c r="J480" i="58"/>
  <c r="J479" i="58"/>
  <c r="J478" i="58"/>
  <c r="J477" i="58"/>
  <c r="J476" i="58"/>
  <c r="J475" i="58"/>
  <c r="J474" i="58"/>
  <c r="J473" i="58"/>
  <c r="J472" i="58"/>
  <c r="J468" i="58"/>
  <c r="J467" i="58"/>
  <c r="J466" i="58"/>
  <c r="J465" i="58"/>
  <c r="J464" i="58"/>
  <c r="J463" i="58"/>
  <c r="J462" i="58"/>
  <c r="J461" i="58"/>
  <c r="J460" i="58"/>
  <c r="J459" i="58"/>
  <c r="J458" i="58"/>
  <c r="J457" i="58"/>
  <c r="J456" i="58"/>
  <c r="J455" i="58"/>
  <c r="J454" i="58"/>
  <c r="J453" i="58"/>
  <c r="J452" i="58"/>
  <c r="J451" i="58"/>
  <c r="J450" i="58"/>
  <c r="J449" i="58"/>
  <c r="J448" i="58"/>
  <c r="J447" i="58"/>
  <c r="J446" i="58"/>
  <c r="J445" i="58"/>
  <c r="J444" i="58"/>
  <c r="J442" i="58"/>
  <c r="J441" i="58"/>
  <c r="J440" i="58"/>
  <c r="J439" i="58"/>
  <c r="J438" i="58"/>
  <c r="J437" i="58"/>
  <c r="J436" i="58"/>
  <c r="J435" i="58"/>
  <c r="J434" i="58"/>
  <c r="J433" i="58"/>
  <c r="J432" i="58"/>
  <c r="J431" i="58"/>
  <c r="J428" i="58"/>
  <c r="J427" i="58"/>
  <c r="J426" i="58"/>
  <c r="J425" i="58"/>
  <c r="J424" i="58"/>
  <c r="J421" i="58"/>
  <c r="J420" i="58"/>
  <c r="J419" i="58"/>
  <c r="J418" i="58"/>
  <c r="J417" i="58"/>
  <c r="J416" i="58"/>
  <c r="J415" i="58"/>
  <c r="J414" i="58"/>
  <c r="J413" i="58"/>
  <c r="J412" i="58"/>
  <c r="J411" i="58"/>
  <c r="J410" i="58"/>
  <c r="J409" i="58"/>
  <c r="J408" i="58"/>
  <c r="J407" i="58"/>
  <c r="J406" i="58"/>
  <c r="J404" i="58"/>
  <c r="J403" i="58"/>
  <c r="J402" i="58"/>
  <c r="J401" i="58"/>
  <c r="J400" i="58"/>
  <c r="J399" i="58"/>
  <c r="J398" i="58"/>
  <c r="J397" i="58"/>
  <c r="J396" i="58"/>
  <c r="J395" i="58"/>
  <c r="J394" i="58"/>
  <c r="J393" i="58"/>
  <c r="J392" i="58"/>
  <c r="J391" i="58"/>
  <c r="J388" i="58"/>
  <c r="J387" i="58"/>
  <c r="J386" i="58"/>
  <c r="J385" i="58"/>
  <c r="J384" i="58"/>
  <c r="J383" i="58"/>
  <c r="J382" i="58"/>
  <c r="J381" i="58"/>
  <c r="J380" i="58"/>
  <c r="J379" i="58"/>
  <c r="J378" i="58"/>
  <c r="J377" i="58"/>
  <c r="J376" i="58"/>
  <c r="J375" i="58"/>
  <c r="J374" i="58"/>
  <c r="J373" i="58"/>
  <c r="J372" i="58"/>
  <c r="J371" i="58"/>
  <c r="J370" i="58"/>
  <c r="J369" i="58"/>
  <c r="J368" i="58"/>
  <c r="J367" i="58"/>
  <c r="J366" i="58"/>
  <c r="J365" i="58"/>
  <c r="J361" i="58"/>
  <c r="J360" i="58"/>
  <c r="J359" i="58"/>
  <c r="J358" i="58"/>
  <c r="J357" i="58"/>
  <c r="J356" i="58"/>
  <c r="J355" i="58"/>
  <c r="J354" i="58"/>
  <c r="J353" i="58"/>
  <c r="J352" i="58"/>
  <c r="J351" i="58"/>
  <c r="J350" i="58"/>
  <c r="J349" i="58"/>
  <c r="J348" i="58"/>
  <c r="J347" i="58"/>
  <c r="J346" i="58"/>
  <c r="J345" i="58"/>
  <c r="J344" i="58"/>
  <c r="J343" i="58"/>
  <c r="J342" i="58"/>
  <c r="J341" i="58"/>
  <c r="J340" i="58"/>
  <c r="J339" i="58"/>
  <c r="J338" i="58"/>
  <c r="J337" i="58"/>
  <c r="J336" i="58"/>
  <c r="J335" i="58"/>
  <c r="J334" i="58"/>
  <c r="J333" i="58"/>
  <c r="J332" i="58"/>
  <c r="J331" i="58"/>
  <c r="J330" i="58"/>
  <c r="J326" i="58"/>
  <c r="J325" i="58"/>
  <c r="J324" i="58"/>
  <c r="J323" i="58"/>
  <c r="J322" i="58"/>
  <c r="J321" i="58"/>
  <c r="J320" i="58"/>
  <c r="J319" i="58"/>
  <c r="J318" i="58"/>
  <c r="J317" i="58"/>
  <c r="J316" i="58"/>
  <c r="J315" i="58"/>
  <c r="J314" i="58"/>
  <c r="J313" i="58"/>
  <c r="J312" i="58"/>
  <c r="J311" i="58"/>
  <c r="J310" i="58"/>
  <c r="J309" i="58"/>
  <c r="J308" i="58"/>
  <c r="J307" i="58"/>
  <c r="J306" i="58"/>
  <c r="J303" i="58"/>
  <c r="J302" i="58"/>
  <c r="J301" i="58"/>
  <c r="J300" i="58"/>
  <c r="J299" i="58"/>
  <c r="J298" i="58"/>
  <c r="J297" i="58"/>
  <c r="J296" i="58"/>
  <c r="J295" i="58"/>
  <c r="G288" i="58"/>
  <c r="A288" i="58"/>
  <c r="A287" i="58"/>
  <c r="A286" i="58"/>
  <c r="A285" i="58"/>
  <c r="C282" i="58"/>
  <c r="C281" i="58"/>
  <c r="C280" i="58" s="1"/>
  <c r="C283" i="58" s="1"/>
  <c r="K277" i="58"/>
  <c r="J277" i="58"/>
  <c r="I277" i="58"/>
  <c r="H277" i="58"/>
  <c r="G277" i="58"/>
  <c r="F277" i="58"/>
  <c r="E277" i="58"/>
  <c r="D277" i="58"/>
  <c r="C277" i="58"/>
  <c r="H273" i="58"/>
  <c r="G273" i="58"/>
  <c r="F273" i="58"/>
  <c r="E273" i="58"/>
  <c r="K272" i="58"/>
  <c r="J272" i="58"/>
  <c r="I272" i="58"/>
  <c r="H272" i="58"/>
  <c r="G272" i="58"/>
  <c r="F272" i="58"/>
  <c r="E272" i="58"/>
  <c r="D272" i="58"/>
  <c r="C272" i="58"/>
  <c r="B272" i="58"/>
  <c r="K271" i="58"/>
  <c r="K273" i="58" s="1"/>
  <c r="J271" i="58"/>
  <c r="J273" i="58" s="1"/>
  <c r="I271" i="58"/>
  <c r="I273" i="58" s="1"/>
  <c r="H271" i="58"/>
  <c r="G271" i="58"/>
  <c r="F271" i="58"/>
  <c r="E271" i="58"/>
  <c r="D271" i="58"/>
  <c r="D273" i="58" s="1"/>
  <c r="C271" i="58"/>
  <c r="C273" i="58" s="1"/>
  <c r="B271" i="58"/>
  <c r="B273" i="58" s="1"/>
  <c r="K268" i="58"/>
  <c r="K267" i="58"/>
  <c r="K269" i="58" s="1"/>
  <c r="D264" i="58"/>
  <c r="G94" i="58"/>
  <c r="A94" i="58"/>
  <c r="A93" i="58"/>
  <c r="A92" i="58"/>
  <c r="A91" i="58"/>
  <c r="G53" i="58"/>
  <c r="A53" i="58"/>
  <c r="A52" i="58"/>
  <c r="A51" i="58"/>
  <c r="A50" i="58"/>
  <c r="J602" i="57" l="1"/>
  <c r="J601" i="57"/>
  <c r="J600" i="57"/>
  <c r="J599" i="57"/>
  <c r="J598" i="57"/>
  <c r="J597" i="57"/>
  <c r="J595" i="57"/>
  <c r="J591" i="57"/>
  <c r="J592" i="57"/>
  <c r="J593" i="57"/>
  <c r="J594" i="57"/>
  <c r="J590" i="57"/>
  <c r="J588" i="57"/>
  <c r="J587" i="57"/>
  <c r="J586" i="57"/>
  <c r="J585" i="57"/>
  <c r="J584" i="57"/>
  <c r="J583" i="57"/>
  <c r="J582" i="57"/>
  <c r="J581" i="57"/>
  <c r="J580" i="57"/>
  <c r="J579" i="57"/>
  <c r="I251" i="57"/>
  <c r="J577" i="57"/>
  <c r="J576" i="57"/>
  <c r="J575" i="57"/>
  <c r="J574" i="57"/>
  <c r="J573" i="57"/>
  <c r="J572" i="57"/>
  <c r="J571" i="57"/>
  <c r="J570" i="57"/>
  <c r="J569" i="57"/>
  <c r="J568" i="57"/>
  <c r="J567" i="57"/>
  <c r="J566" i="57"/>
  <c r="J565" i="57"/>
  <c r="J564" i="57"/>
  <c r="J563" i="57"/>
  <c r="J562" i="57"/>
  <c r="J561" i="57"/>
  <c r="J560" i="57"/>
  <c r="J559" i="57"/>
  <c r="J558" i="57"/>
  <c r="J557" i="57"/>
  <c r="J556" i="57"/>
  <c r="J555" i="57"/>
  <c r="J554" i="57"/>
  <c r="J553" i="57"/>
  <c r="J552" i="57"/>
  <c r="J551" i="57"/>
  <c r="J550" i="57"/>
  <c r="J549" i="57"/>
  <c r="J548" i="57"/>
  <c r="J547" i="57"/>
  <c r="J546" i="57"/>
  <c r="J545" i="57"/>
  <c r="J544" i="57"/>
  <c r="J543" i="57"/>
  <c r="J541" i="57"/>
  <c r="J540" i="57"/>
  <c r="J539" i="57"/>
  <c r="J538" i="57"/>
  <c r="J537" i="57"/>
  <c r="J536" i="57"/>
  <c r="J535" i="57"/>
  <c r="J534" i="57"/>
  <c r="J533" i="57"/>
  <c r="J532" i="57"/>
  <c r="J531" i="57"/>
  <c r="J530" i="57"/>
  <c r="J529" i="57"/>
  <c r="J528" i="57"/>
  <c r="J527" i="57"/>
  <c r="J526" i="57"/>
  <c r="J525" i="57"/>
  <c r="J524" i="57"/>
  <c r="J523" i="57"/>
  <c r="J522" i="57"/>
  <c r="J521" i="57"/>
  <c r="J520" i="57"/>
  <c r="J519" i="57"/>
  <c r="J518" i="57"/>
  <c r="J517" i="57"/>
  <c r="J516" i="57"/>
  <c r="J515" i="57"/>
  <c r="J514" i="57"/>
  <c r="J513" i="57"/>
  <c r="J512" i="57"/>
  <c r="J511" i="57"/>
  <c r="J510" i="57"/>
  <c r="J509" i="57"/>
  <c r="J508" i="57"/>
  <c r="J507" i="57"/>
  <c r="J506" i="57"/>
  <c r="J505" i="57"/>
  <c r="J504" i="57"/>
  <c r="J503" i="57"/>
  <c r="J393" i="57" l="1"/>
  <c r="J500" i="57"/>
  <c r="J499" i="57"/>
  <c r="J498" i="57"/>
  <c r="J497" i="57"/>
  <c r="J496" i="57"/>
  <c r="J495" i="57"/>
  <c r="J494" i="57"/>
  <c r="J493" i="57"/>
  <c r="J492" i="57"/>
  <c r="J491" i="57"/>
  <c r="J490" i="57"/>
  <c r="J489" i="57"/>
  <c r="J488" i="57"/>
  <c r="J487" i="57"/>
  <c r="J486" i="57"/>
  <c r="J485" i="57"/>
  <c r="J484" i="57"/>
  <c r="J483" i="57"/>
  <c r="J482" i="57"/>
  <c r="J481" i="57"/>
  <c r="J480" i="57"/>
  <c r="J479" i="57"/>
  <c r="J478" i="57"/>
  <c r="J477" i="57"/>
  <c r="J476" i="57"/>
  <c r="J475" i="57"/>
  <c r="J474" i="57"/>
  <c r="J473" i="57"/>
  <c r="J472" i="57"/>
  <c r="J471" i="57"/>
  <c r="J470" i="57"/>
  <c r="J469" i="57"/>
  <c r="J468" i="57"/>
  <c r="J467" i="57"/>
  <c r="J466" i="57"/>
  <c r="J465" i="57"/>
  <c r="J464" i="57"/>
  <c r="J463" i="57"/>
  <c r="J462" i="57"/>
  <c r="J461" i="57"/>
  <c r="J460" i="57"/>
  <c r="J459" i="57"/>
  <c r="J458" i="57"/>
  <c r="J457" i="57"/>
  <c r="J456" i="57"/>
  <c r="J455" i="57"/>
  <c r="J454" i="57"/>
  <c r="J453" i="57"/>
  <c r="J452" i="57"/>
  <c r="J451" i="57"/>
  <c r="J450" i="57"/>
  <c r="J449" i="57"/>
  <c r="J448" i="57"/>
  <c r="J447" i="57"/>
  <c r="J446" i="57"/>
  <c r="J445" i="57"/>
  <c r="J444" i="57"/>
  <c r="J443" i="57"/>
  <c r="J442" i="57"/>
  <c r="J440" i="57" l="1"/>
  <c r="J439" i="57"/>
  <c r="J438" i="57"/>
  <c r="J437" i="57"/>
  <c r="J436" i="57"/>
  <c r="J435" i="57"/>
  <c r="J434" i="57"/>
  <c r="J433" i="57"/>
  <c r="J432" i="57"/>
  <c r="J431" i="57"/>
  <c r="J430" i="57"/>
  <c r="J429" i="57"/>
  <c r="J428" i="57"/>
  <c r="J427" i="57"/>
  <c r="J426" i="57"/>
  <c r="J425" i="57"/>
  <c r="J424" i="57"/>
  <c r="J423" i="57"/>
  <c r="J422" i="57"/>
  <c r="J419" i="57"/>
  <c r="J418" i="57"/>
  <c r="J417" i="57"/>
  <c r="J416" i="57"/>
  <c r="J415" i="57"/>
  <c r="J414" i="57"/>
  <c r="J413" i="57"/>
  <c r="J412" i="57"/>
  <c r="J411" i="57"/>
  <c r="J410" i="57"/>
  <c r="J409" i="57"/>
  <c r="J408" i="57"/>
  <c r="J407" i="57"/>
  <c r="J406" i="57"/>
  <c r="J405" i="57"/>
  <c r="J404" i="57"/>
  <c r="J403" i="57"/>
  <c r="J398" i="57" l="1"/>
  <c r="J397" i="57"/>
  <c r="J396" i="57"/>
  <c r="J395" i="57"/>
  <c r="J394" i="57"/>
  <c r="J392" i="57"/>
  <c r="J391" i="57"/>
  <c r="J390" i="57"/>
  <c r="J389" i="57"/>
  <c r="J388" i="57"/>
  <c r="J387" i="57"/>
  <c r="J386" i="57"/>
  <c r="J385" i="57"/>
  <c r="J384" i="57"/>
  <c r="J383" i="57"/>
  <c r="J382" i="57"/>
  <c r="J380" i="57"/>
  <c r="J379" i="57"/>
  <c r="J378" i="57"/>
  <c r="J377" i="57"/>
  <c r="J376" i="57"/>
  <c r="J375" i="57"/>
  <c r="J374" i="57"/>
  <c r="J373" i="57"/>
  <c r="J372" i="57"/>
  <c r="J371" i="57"/>
  <c r="J370" i="57"/>
  <c r="J369" i="57"/>
  <c r="J368" i="57"/>
  <c r="J367" i="57"/>
  <c r="J365" i="57"/>
  <c r="J364" i="57"/>
  <c r="J363" i="57"/>
  <c r="J362" i="57"/>
  <c r="J361" i="57"/>
  <c r="J360" i="57"/>
  <c r="J359" i="57"/>
  <c r="J358" i="57"/>
  <c r="J357" i="57"/>
  <c r="J356" i="57"/>
  <c r="J352" i="57"/>
  <c r="J351" i="57"/>
  <c r="J350" i="57"/>
  <c r="J349" i="57"/>
  <c r="J348" i="57"/>
  <c r="J347" i="57"/>
  <c r="J346" i="57"/>
  <c r="J345" i="57"/>
  <c r="J344" i="57"/>
  <c r="J343" i="57"/>
  <c r="J342" i="57"/>
  <c r="J341" i="57"/>
  <c r="J340" i="57"/>
  <c r="J339" i="57"/>
  <c r="J338" i="57"/>
  <c r="J337" i="57"/>
  <c r="J336" i="57"/>
  <c r="J335" i="57"/>
  <c r="J334" i="57"/>
  <c r="J333" i="57"/>
  <c r="J332" i="57"/>
  <c r="J331" i="57"/>
  <c r="J330" i="57"/>
  <c r="J329" i="57"/>
  <c r="J328" i="57"/>
  <c r="J327" i="57"/>
  <c r="J326" i="57"/>
  <c r="J325" i="57"/>
  <c r="J324" i="57"/>
  <c r="J323" i="57"/>
  <c r="J322" i="57"/>
  <c r="J321" i="57"/>
  <c r="J320" i="57"/>
  <c r="J319" i="57"/>
  <c r="J318" i="57"/>
  <c r="J317" i="57"/>
  <c r="J314" i="57"/>
  <c r="J313" i="57"/>
  <c r="J312" i="57"/>
  <c r="J311" i="57"/>
  <c r="J310" i="57"/>
  <c r="J309" i="57"/>
  <c r="J308" i="57"/>
  <c r="J307" i="57"/>
  <c r="J306" i="57"/>
  <c r="J305" i="57"/>
  <c r="J304" i="57"/>
  <c r="J299" i="57"/>
  <c r="J298" i="57"/>
  <c r="J297" i="57"/>
  <c r="J296" i="57"/>
  <c r="J295" i="57"/>
  <c r="J294" i="57"/>
  <c r="J293" i="57"/>
  <c r="J292" i="57"/>
  <c r="J291" i="57"/>
  <c r="J290" i="57"/>
  <c r="J289" i="57"/>
  <c r="J288" i="57"/>
  <c r="J287" i="57"/>
  <c r="J286" i="57"/>
  <c r="J285" i="57"/>
  <c r="J284" i="57"/>
  <c r="J283" i="57"/>
  <c r="J282" i="57"/>
  <c r="J281" i="57"/>
  <c r="J280" i="57"/>
  <c r="J279" i="57"/>
  <c r="J278" i="57"/>
  <c r="J277" i="57"/>
  <c r="J276" i="57"/>
  <c r="J275" i="57"/>
  <c r="J274" i="57"/>
  <c r="J273" i="57"/>
  <c r="J272" i="57"/>
  <c r="J271" i="57"/>
  <c r="J270" i="57"/>
  <c r="J269" i="57"/>
  <c r="J268" i="57"/>
  <c r="J267" i="57"/>
  <c r="A258" i="57"/>
  <c r="C255" i="57"/>
  <c r="C254" i="57"/>
  <c r="K251" i="57"/>
  <c r="J251" i="57"/>
  <c r="H251" i="57"/>
  <c r="G251" i="57"/>
  <c r="F251" i="57"/>
  <c r="E251" i="57"/>
  <c r="D251" i="57"/>
  <c r="C251" i="57"/>
  <c r="K246" i="57"/>
  <c r="J246" i="57"/>
  <c r="I246" i="57"/>
  <c r="H246" i="57"/>
  <c r="G246" i="57"/>
  <c r="F246" i="57"/>
  <c r="E246" i="57"/>
  <c r="D246" i="57"/>
  <c r="C246" i="57"/>
  <c r="B246" i="57"/>
  <c r="K245" i="57"/>
  <c r="J245" i="57"/>
  <c r="I245" i="57"/>
  <c r="H245" i="57"/>
  <c r="G245" i="57"/>
  <c r="F245" i="57"/>
  <c r="E245" i="57"/>
  <c r="D245" i="57"/>
  <c r="C245" i="57"/>
  <c r="B245" i="57"/>
  <c r="K242" i="57"/>
  <c r="K241" i="57"/>
  <c r="D238" i="57"/>
  <c r="I247" i="57" l="1"/>
  <c r="J247" i="57"/>
  <c r="K247" i="57"/>
  <c r="K243" i="57"/>
  <c r="C253" i="57"/>
  <c r="C256" i="57" s="1"/>
  <c r="B247" i="57"/>
  <c r="C247" i="57"/>
  <c r="D247" i="57"/>
  <c r="G247" i="57"/>
  <c r="H247" i="57"/>
  <c r="E247" i="57"/>
  <c r="F247" i="57"/>
  <c r="A93" i="57" l="1"/>
  <c r="A259" i="57" s="1"/>
  <c r="G94" i="57"/>
  <c r="G260" i="57" s="1"/>
  <c r="A94" i="57"/>
  <c r="A260" i="57" s="1"/>
  <c r="A92" i="57"/>
  <c r="G51" i="57"/>
  <c r="A51" i="57"/>
  <c r="A50" i="57"/>
  <c r="A49" i="57"/>
  <c r="N395" i="31" l="1"/>
  <c r="M395" i="31"/>
  <c r="N394" i="31"/>
  <c r="M394" i="31"/>
  <c r="N387" i="31"/>
  <c r="M387" i="31"/>
  <c r="M386" i="31"/>
  <c r="M379" i="31"/>
  <c r="M378" i="31"/>
  <c r="M371" i="31"/>
  <c r="M370" i="31"/>
  <c r="M363" i="31"/>
  <c r="M362" i="31"/>
  <c r="M355" i="31"/>
  <c r="M354" i="31"/>
  <c r="N351" i="31"/>
  <c r="M351" i="31"/>
  <c r="N350" i="31"/>
  <c r="M350" i="31"/>
  <c r="N349" i="31"/>
  <c r="M349" i="31"/>
  <c r="N348" i="31"/>
  <c r="M348" i="31"/>
  <c r="N347" i="31"/>
  <c r="M347" i="31"/>
  <c r="N346" i="31"/>
  <c r="M346" i="31"/>
  <c r="N343" i="31"/>
  <c r="M343" i="31"/>
  <c r="N342" i="31"/>
  <c r="M342" i="31"/>
  <c r="N341" i="31"/>
  <c r="M341" i="31"/>
  <c r="N340" i="31"/>
  <c r="M340" i="31"/>
  <c r="N339" i="31"/>
  <c r="M339" i="31"/>
  <c r="N338" i="31"/>
  <c r="M338" i="31"/>
  <c r="N335" i="31"/>
  <c r="M335" i="31"/>
  <c r="N334" i="31"/>
  <c r="M334" i="31"/>
  <c r="N333" i="31"/>
  <c r="M333" i="31"/>
  <c r="N332" i="31"/>
  <c r="M332" i="31"/>
  <c r="N331" i="31"/>
  <c r="M331" i="31"/>
  <c r="N330" i="31"/>
  <c r="M330" i="31"/>
  <c r="N327" i="31"/>
  <c r="M327" i="31"/>
  <c r="N326" i="31"/>
  <c r="M326" i="31"/>
  <c r="N325" i="31"/>
  <c r="M325" i="31"/>
  <c r="N324" i="31"/>
  <c r="M324" i="31"/>
  <c r="N323" i="31"/>
  <c r="M323" i="31"/>
  <c r="N322" i="31"/>
  <c r="M322" i="31"/>
  <c r="N319" i="31"/>
  <c r="M319" i="31"/>
  <c r="N318" i="31"/>
  <c r="M318" i="31"/>
  <c r="N317" i="31"/>
  <c r="M317" i="31"/>
  <c r="N316" i="31"/>
  <c r="M316" i="31"/>
  <c r="N315" i="31"/>
  <c r="M315" i="31"/>
  <c r="N314" i="31"/>
  <c r="M314" i="31"/>
  <c r="N311" i="31"/>
  <c r="M311" i="31"/>
  <c r="N310" i="31"/>
  <c r="M310" i="31"/>
  <c r="N309" i="31"/>
  <c r="M309" i="31"/>
  <c r="N308" i="31"/>
  <c r="M308" i="31"/>
  <c r="N307" i="31"/>
  <c r="M307" i="31"/>
  <c r="N306" i="31"/>
  <c r="M306" i="31"/>
  <c r="M299" i="31"/>
  <c r="M298" i="31"/>
  <c r="M291" i="31"/>
  <c r="M290" i="31"/>
  <c r="M267" i="31"/>
  <c r="M266" i="31"/>
  <c r="M259" i="31"/>
  <c r="M258" i="31"/>
  <c r="N232" i="31"/>
  <c r="M232" i="31"/>
  <c r="N231" i="31"/>
  <c r="M231" i="31"/>
  <c r="M221" i="31"/>
  <c r="M220" i="31"/>
  <c r="M213" i="31"/>
  <c r="M212" i="31"/>
  <c r="M204" i="31"/>
  <c r="M203" i="31"/>
  <c r="M193" i="31"/>
  <c r="M192" i="31"/>
  <c r="M182" i="31"/>
  <c r="M181" i="31"/>
  <c r="M171" i="31"/>
  <c r="M170" i="31"/>
  <c r="M160" i="31"/>
  <c r="M159" i="31"/>
  <c r="M149" i="31"/>
  <c r="M148" i="31"/>
  <c r="M138" i="31"/>
  <c r="M137" i="31"/>
  <c r="M127" i="31"/>
  <c r="M126" i="31"/>
  <c r="M116" i="31"/>
  <c r="M115" i="31"/>
  <c r="M105" i="31"/>
  <c r="M104" i="31"/>
  <c r="M94" i="31"/>
  <c r="M93" i="31"/>
  <c r="M83" i="31"/>
  <c r="M82" i="31"/>
  <c r="M72" i="31"/>
  <c r="M71" i="31"/>
  <c r="M61" i="31"/>
  <c r="M60" i="31"/>
  <c r="M50" i="31"/>
  <c r="M49" i="31"/>
  <c r="M39" i="31"/>
  <c r="M38" i="31"/>
  <c r="M28" i="31"/>
  <c r="M27" i="31"/>
  <c r="M17" i="31"/>
  <c r="M16" i="31"/>
  <c r="M6" i="31"/>
  <c r="M5" i="31"/>
  <c r="J399" i="31"/>
  <c r="I399" i="31"/>
  <c r="J398" i="31"/>
  <c r="I398" i="31"/>
  <c r="J397" i="31"/>
  <c r="I397" i="31"/>
  <c r="J396" i="31"/>
  <c r="I396" i="31"/>
  <c r="J395" i="31"/>
  <c r="I395" i="31"/>
  <c r="J394" i="31"/>
  <c r="I394" i="31"/>
  <c r="J391" i="31"/>
  <c r="I391" i="31"/>
  <c r="J390" i="31"/>
  <c r="I390" i="31"/>
  <c r="J389" i="31"/>
  <c r="I389" i="31"/>
  <c r="J388" i="31"/>
  <c r="I388" i="31"/>
  <c r="J387" i="31"/>
  <c r="I387" i="31"/>
  <c r="J386" i="31"/>
  <c r="I386" i="31"/>
  <c r="J383" i="31"/>
  <c r="I383" i="31"/>
  <c r="J382" i="31"/>
  <c r="I382" i="31"/>
  <c r="J381" i="31"/>
  <c r="I381" i="31"/>
  <c r="J380" i="31"/>
  <c r="I380" i="31"/>
  <c r="J379" i="31"/>
  <c r="I379" i="31"/>
  <c r="J378" i="31"/>
  <c r="I378" i="31"/>
  <c r="J375" i="31"/>
  <c r="I375" i="31"/>
  <c r="J374" i="31"/>
  <c r="I374" i="31"/>
  <c r="J373" i="31"/>
  <c r="I373" i="31"/>
  <c r="J372" i="31"/>
  <c r="I372" i="31"/>
  <c r="J371" i="31"/>
  <c r="I371" i="31"/>
  <c r="J370" i="31"/>
  <c r="I370" i="31"/>
  <c r="J367" i="31"/>
  <c r="I367" i="31"/>
  <c r="J366" i="31"/>
  <c r="I366" i="31"/>
  <c r="J365" i="31"/>
  <c r="I365" i="31"/>
  <c r="J364" i="31"/>
  <c r="I364" i="31"/>
  <c r="J363" i="31"/>
  <c r="I363" i="31"/>
  <c r="J362" i="31"/>
  <c r="I362" i="31"/>
  <c r="J359" i="31"/>
  <c r="I359" i="31"/>
  <c r="J358" i="31"/>
  <c r="I358" i="31"/>
  <c r="J357" i="31"/>
  <c r="I357" i="31"/>
  <c r="J356" i="31"/>
  <c r="I356" i="31"/>
  <c r="J355" i="31"/>
  <c r="I355" i="31"/>
  <c r="J354" i="31"/>
  <c r="I354" i="31"/>
  <c r="J303" i="31"/>
  <c r="I303" i="31"/>
  <c r="J302" i="31"/>
  <c r="I302" i="31"/>
  <c r="J301" i="31"/>
  <c r="I301" i="31"/>
  <c r="J300" i="31"/>
  <c r="I300" i="31"/>
  <c r="J299" i="31"/>
  <c r="I299" i="31"/>
  <c r="J298" i="31"/>
  <c r="I298" i="31"/>
  <c r="J295" i="31"/>
  <c r="I295" i="31"/>
  <c r="J294" i="31"/>
  <c r="I294" i="31"/>
  <c r="J293" i="31"/>
  <c r="I293" i="31"/>
  <c r="J292" i="31"/>
  <c r="I292" i="31"/>
  <c r="J291" i="31"/>
  <c r="I291" i="31"/>
  <c r="J290" i="31"/>
  <c r="I290" i="31"/>
  <c r="J271" i="31"/>
  <c r="I271" i="31"/>
  <c r="J270" i="31"/>
  <c r="I270" i="31"/>
  <c r="J269" i="31"/>
  <c r="I269" i="31"/>
  <c r="J268" i="31"/>
  <c r="I268" i="31"/>
  <c r="J267" i="31"/>
  <c r="I267" i="31"/>
  <c r="J266" i="31"/>
  <c r="I266" i="31"/>
  <c r="J263" i="31"/>
  <c r="I263" i="31"/>
  <c r="J262" i="31"/>
  <c r="I262" i="31"/>
  <c r="J261" i="31"/>
  <c r="I261" i="31"/>
  <c r="J260" i="31"/>
  <c r="I260" i="31"/>
  <c r="J259" i="31"/>
  <c r="I259" i="31"/>
  <c r="J258" i="31"/>
  <c r="I258" i="31"/>
  <c r="J239" i="31"/>
  <c r="I239" i="31"/>
  <c r="J238" i="31"/>
  <c r="I238" i="31"/>
  <c r="J237" i="31"/>
  <c r="I237" i="31"/>
  <c r="J236" i="31"/>
  <c r="I236" i="31"/>
  <c r="J235" i="31"/>
  <c r="I235" i="31"/>
  <c r="J234" i="31"/>
  <c r="I234" i="31"/>
  <c r="J233" i="31"/>
  <c r="I233" i="31"/>
  <c r="J232" i="31"/>
  <c r="I232" i="31"/>
  <c r="J231" i="31"/>
  <c r="I231" i="31"/>
  <c r="J228" i="31"/>
  <c r="I228" i="31"/>
  <c r="J227" i="31"/>
  <c r="I227" i="31"/>
  <c r="J226" i="31"/>
  <c r="I226" i="31"/>
  <c r="J225" i="31"/>
  <c r="I225" i="31"/>
  <c r="J224" i="31"/>
  <c r="I224" i="31"/>
  <c r="J223" i="31"/>
  <c r="I223" i="31"/>
  <c r="J222" i="31"/>
  <c r="I222" i="31"/>
  <c r="J221" i="31"/>
  <c r="I221" i="31"/>
  <c r="J220" i="31"/>
  <c r="I220" i="31"/>
  <c r="J217" i="31"/>
  <c r="I217" i="31"/>
  <c r="J216" i="31"/>
  <c r="I216" i="31"/>
  <c r="J215" i="31"/>
  <c r="I215" i="31"/>
  <c r="J214" i="31"/>
  <c r="I214" i="31"/>
  <c r="J213" i="31"/>
  <c r="I213" i="31"/>
  <c r="J212" i="31"/>
  <c r="I212" i="31"/>
  <c r="J208" i="31"/>
  <c r="I208" i="31"/>
  <c r="J207" i="31"/>
  <c r="I207" i="31"/>
  <c r="J206" i="31"/>
  <c r="I206" i="31"/>
  <c r="J205" i="31"/>
  <c r="I205" i="31"/>
  <c r="J204" i="31"/>
  <c r="I204" i="31"/>
  <c r="J203" i="31"/>
  <c r="I203" i="31"/>
  <c r="J200" i="31"/>
  <c r="I200" i="31"/>
  <c r="J199" i="31"/>
  <c r="I199" i="31"/>
  <c r="J198" i="31"/>
  <c r="I198" i="31"/>
  <c r="J197" i="31"/>
  <c r="I197" i="31"/>
  <c r="J196" i="31"/>
  <c r="I196" i="31"/>
  <c r="J195" i="31"/>
  <c r="I195" i="31"/>
  <c r="J194" i="31"/>
  <c r="I194" i="31"/>
  <c r="J193" i="31"/>
  <c r="I193" i="31"/>
  <c r="J192" i="31"/>
  <c r="I192" i="31"/>
  <c r="J189" i="31"/>
  <c r="I189" i="31"/>
  <c r="J188" i="31"/>
  <c r="I188" i="31"/>
  <c r="J187" i="31"/>
  <c r="I187" i="31"/>
  <c r="J186" i="31"/>
  <c r="I186" i="31"/>
  <c r="J185" i="31"/>
  <c r="I185" i="31"/>
  <c r="J184" i="31"/>
  <c r="I184" i="31"/>
  <c r="J183" i="31"/>
  <c r="I183" i="31"/>
  <c r="J182" i="31"/>
  <c r="I182" i="31"/>
  <c r="J181" i="31"/>
  <c r="I181" i="31"/>
  <c r="J178" i="31"/>
  <c r="I178" i="31"/>
  <c r="J177" i="31"/>
  <c r="I177" i="31"/>
  <c r="J176" i="31"/>
  <c r="I176" i="31"/>
  <c r="J175" i="31"/>
  <c r="I175" i="31"/>
  <c r="J174" i="31"/>
  <c r="I174" i="31"/>
  <c r="J173" i="31"/>
  <c r="I173" i="31"/>
  <c r="J172" i="31"/>
  <c r="I172" i="31"/>
  <c r="J171" i="31"/>
  <c r="I171" i="31"/>
  <c r="J170" i="31"/>
  <c r="I170" i="31"/>
  <c r="J167" i="31"/>
  <c r="I167" i="31"/>
  <c r="J166" i="31"/>
  <c r="I166" i="31"/>
  <c r="J165" i="31"/>
  <c r="I165" i="31"/>
  <c r="J164" i="31"/>
  <c r="I164" i="31"/>
  <c r="J163" i="31"/>
  <c r="I163" i="31"/>
  <c r="J162" i="31"/>
  <c r="I162" i="31"/>
  <c r="J161" i="31"/>
  <c r="I161" i="31"/>
  <c r="J160" i="31"/>
  <c r="I160" i="31"/>
  <c r="J159" i="31"/>
  <c r="I159" i="31"/>
  <c r="J156" i="31"/>
  <c r="I156" i="31"/>
  <c r="J155" i="31"/>
  <c r="I155" i="31"/>
  <c r="J154" i="31"/>
  <c r="I154" i="31"/>
  <c r="J153" i="31"/>
  <c r="I153" i="31"/>
  <c r="J152" i="31"/>
  <c r="I152" i="31"/>
  <c r="J151" i="31"/>
  <c r="I151" i="31"/>
  <c r="J150" i="31"/>
  <c r="I150" i="31"/>
  <c r="J149" i="31"/>
  <c r="I149" i="31"/>
  <c r="J148" i="31"/>
  <c r="I148" i="31"/>
  <c r="J145" i="31"/>
  <c r="I145" i="31"/>
  <c r="J144" i="31"/>
  <c r="I144" i="31"/>
  <c r="J143" i="31"/>
  <c r="I143" i="31"/>
  <c r="J142" i="31"/>
  <c r="I142" i="31"/>
  <c r="J141" i="31"/>
  <c r="I141" i="31"/>
  <c r="J140" i="31"/>
  <c r="I140" i="31"/>
  <c r="J139" i="31"/>
  <c r="I139" i="31"/>
  <c r="J138" i="31"/>
  <c r="I138" i="31"/>
  <c r="J137" i="31"/>
  <c r="I137" i="31"/>
  <c r="J134" i="31"/>
  <c r="I134" i="31"/>
  <c r="J133" i="31"/>
  <c r="I133" i="31"/>
  <c r="J132" i="31"/>
  <c r="I132" i="31"/>
  <c r="J131" i="31"/>
  <c r="I131" i="31"/>
  <c r="J130" i="31"/>
  <c r="I130" i="31"/>
  <c r="J129" i="31"/>
  <c r="I129" i="31"/>
  <c r="J128" i="31"/>
  <c r="I128" i="31"/>
  <c r="J127" i="31"/>
  <c r="I127" i="31"/>
  <c r="J126" i="31"/>
  <c r="I126" i="31"/>
  <c r="J123" i="31"/>
  <c r="I123" i="31"/>
  <c r="J122" i="31"/>
  <c r="I122" i="31"/>
  <c r="J121" i="31"/>
  <c r="I121" i="31"/>
  <c r="J120" i="31"/>
  <c r="I120" i="31"/>
  <c r="J119" i="31"/>
  <c r="I119" i="31"/>
  <c r="J118" i="31"/>
  <c r="I118" i="31"/>
  <c r="J117" i="31"/>
  <c r="I117" i="31"/>
  <c r="J116" i="31"/>
  <c r="I116" i="31"/>
  <c r="J115" i="31"/>
  <c r="I115" i="31"/>
  <c r="J112" i="31"/>
  <c r="I112" i="31"/>
  <c r="J111" i="31"/>
  <c r="I111" i="31"/>
  <c r="J110" i="31"/>
  <c r="I110" i="31"/>
  <c r="J109" i="31"/>
  <c r="I109" i="31"/>
  <c r="J108" i="31"/>
  <c r="I108" i="31"/>
  <c r="J107" i="31"/>
  <c r="I107" i="31"/>
  <c r="J106" i="31"/>
  <c r="I106" i="31"/>
  <c r="J105" i="31"/>
  <c r="I105" i="31"/>
  <c r="J104" i="31"/>
  <c r="I104" i="31"/>
  <c r="J101" i="31"/>
  <c r="I101" i="31"/>
  <c r="J100" i="31"/>
  <c r="I100" i="31"/>
  <c r="J99" i="31"/>
  <c r="I99" i="31"/>
  <c r="J98" i="31"/>
  <c r="I98" i="31"/>
  <c r="J97" i="31"/>
  <c r="I97" i="31"/>
  <c r="J96" i="31"/>
  <c r="I96" i="31"/>
  <c r="J95" i="31"/>
  <c r="I95" i="31"/>
  <c r="J94" i="31"/>
  <c r="I94" i="31"/>
  <c r="J93" i="31"/>
  <c r="I93" i="31"/>
  <c r="J90" i="31"/>
  <c r="I90" i="31"/>
  <c r="J89" i="31"/>
  <c r="I89" i="31"/>
  <c r="J88" i="31"/>
  <c r="I88" i="31"/>
  <c r="J87" i="31"/>
  <c r="I87" i="31"/>
  <c r="J86" i="31"/>
  <c r="I86" i="31"/>
  <c r="J85" i="31"/>
  <c r="I85" i="31"/>
  <c r="J84" i="31"/>
  <c r="I84" i="31"/>
  <c r="J83" i="31"/>
  <c r="I83" i="31"/>
  <c r="J82" i="31"/>
  <c r="I82" i="31"/>
  <c r="J79" i="31"/>
  <c r="I79" i="31"/>
  <c r="J78" i="31"/>
  <c r="I78" i="31"/>
  <c r="J77" i="31"/>
  <c r="I77" i="31"/>
  <c r="J76" i="31"/>
  <c r="I76" i="31"/>
  <c r="J75" i="31"/>
  <c r="I75" i="31"/>
  <c r="J74" i="31"/>
  <c r="I74" i="31"/>
  <c r="J73" i="31"/>
  <c r="I73" i="31"/>
  <c r="J72" i="31"/>
  <c r="I72" i="31"/>
  <c r="J71" i="31"/>
  <c r="I71" i="31"/>
  <c r="J68" i="31"/>
  <c r="I68" i="31"/>
  <c r="J67" i="31"/>
  <c r="I67" i="31"/>
  <c r="J66" i="31"/>
  <c r="I66" i="31"/>
  <c r="J65" i="31"/>
  <c r="I65" i="31"/>
  <c r="J64" i="31"/>
  <c r="I64" i="31"/>
  <c r="J63" i="31"/>
  <c r="I63" i="31"/>
  <c r="J62" i="31"/>
  <c r="I62" i="31"/>
  <c r="J61" i="31"/>
  <c r="I61" i="31"/>
  <c r="J60" i="31"/>
  <c r="I60" i="31"/>
  <c r="J57" i="31"/>
  <c r="I57" i="31"/>
  <c r="J56" i="31"/>
  <c r="I56" i="31"/>
  <c r="J55" i="31"/>
  <c r="I55" i="31"/>
  <c r="J54" i="31"/>
  <c r="I54" i="31"/>
  <c r="J53" i="31"/>
  <c r="I53" i="31"/>
  <c r="J52" i="31"/>
  <c r="I52" i="31"/>
  <c r="J51" i="31"/>
  <c r="I51" i="31"/>
  <c r="J50" i="31"/>
  <c r="I50" i="31"/>
  <c r="J49" i="31"/>
  <c r="I49" i="31"/>
  <c r="J46" i="31"/>
  <c r="I46" i="31"/>
  <c r="J45" i="31"/>
  <c r="I45" i="31"/>
  <c r="J44" i="31"/>
  <c r="I44" i="31"/>
  <c r="J43" i="31"/>
  <c r="I43" i="31"/>
  <c r="J42" i="31"/>
  <c r="I42" i="31"/>
  <c r="J41" i="31"/>
  <c r="I41" i="31"/>
  <c r="J40" i="31"/>
  <c r="I40" i="31"/>
  <c r="J39" i="31"/>
  <c r="I39" i="31"/>
  <c r="J38" i="31"/>
  <c r="I38" i="31"/>
  <c r="J35" i="31"/>
  <c r="I35" i="31"/>
  <c r="J34" i="31"/>
  <c r="I34" i="31"/>
  <c r="J33" i="31"/>
  <c r="I33" i="31"/>
  <c r="J32" i="31"/>
  <c r="I32" i="31"/>
  <c r="J31" i="31"/>
  <c r="I31" i="31"/>
  <c r="J30" i="31"/>
  <c r="I30" i="31"/>
  <c r="J29" i="31"/>
  <c r="I29" i="31"/>
  <c r="J28" i="31"/>
  <c r="I28" i="31"/>
  <c r="J27" i="31"/>
  <c r="I27" i="31"/>
  <c r="J24" i="31"/>
  <c r="I24" i="31"/>
  <c r="J23" i="31"/>
  <c r="I23" i="31"/>
  <c r="J22" i="31"/>
  <c r="I22" i="31"/>
  <c r="J21" i="31"/>
  <c r="I21" i="31"/>
  <c r="J20" i="31"/>
  <c r="I20" i="31"/>
  <c r="J19" i="31"/>
  <c r="I19" i="31"/>
  <c r="J18" i="31"/>
  <c r="I18" i="31"/>
  <c r="J17" i="31"/>
  <c r="I17" i="31"/>
  <c r="J16" i="31"/>
  <c r="I16" i="31"/>
  <c r="J13" i="31"/>
  <c r="I13" i="31"/>
  <c r="J12" i="31"/>
  <c r="I12" i="31"/>
  <c r="J11" i="31"/>
  <c r="I11" i="31"/>
  <c r="J10" i="31"/>
  <c r="I10" i="31"/>
  <c r="J9" i="31"/>
  <c r="I9" i="31"/>
  <c r="J8" i="31"/>
  <c r="I8" i="31"/>
  <c r="J7" i="31"/>
  <c r="I7" i="31"/>
  <c r="J6" i="31"/>
  <c r="I6" i="31"/>
  <c r="J5" i="31"/>
  <c r="I5" i="31"/>
  <c r="L101" i="31"/>
  <c r="L399" i="31"/>
  <c r="L398" i="31"/>
  <c r="L397" i="31"/>
  <c r="L396" i="31"/>
  <c r="L391" i="31"/>
  <c r="L390" i="31"/>
  <c r="L389" i="31"/>
  <c r="L388" i="31"/>
  <c r="L383" i="31"/>
  <c r="L382" i="31"/>
  <c r="L381" i="31"/>
  <c r="L380" i="31"/>
  <c r="L375" i="31"/>
  <c r="L374" i="31"/>
  <c r="L373" i="31"/>
  <c r="L372" i="31"/>
  <c r="L367" i="31"/>
  <c r="L366" i="31"/>
  <c r="L365" i="31"/>
  <c r="L364" i="31"/>
  <c r="L359" i="31"/>
  <c r="L358" i="31"/>
  <c r="L357" i="31"/>
  <c r="L356" i="31"/>
  <c r="L303" i="31"/>
  <c r="L302" i="31"/>
  <c r="L301" i="31"/>
  <c r="L300" i="31"/>
  <c r="L295" i="31"/>
  <c r="L294" i="31"/>
  <c r="L293" i="31"/>
  <c r="L292" i="31"/>
  <c r="L271" i="31"/>
  <c r="L270" i="31"/>
  <c r="L269" i="31"/>
  <c r="L268" i="31"/>
  <c r="L263" i="31"/>
  <c r="L262" i="31"/>
  <c r="L261" i="31"/>
  <c r="L260" i="31"/>
  <c r="L239" i="31"/>
  <c r="L238" i="31"/>
  <c r="L237" i="31"/>
  <c r="L236" i="31"/>
  <c r="L235" i="31"/>
  <c r="L234" i="31"/>
  <c r="L233" i="31"/>
  <c r="L228" i="31"/>
  <c r="L227" i="31"/>
  <c r="L226" i="31"/>
  <c r="L225" i="31"/>
  <c r="L224" i="31"/>
  <c r="L223" i="31"/>
  <c r="L222" i="31"/>
  <c r="L217" i="31"/>
  <c r="L216" i="31"/>
  <c r="L215" i="31"/>
  <c r="L214" i="31"/>
  <c r="L208" i="31"/>
  <c r="L207" i="31"/>
  <c r="L206" i="31"/>
  <c r="L205" i="31"/>
  <c r="L200" i="31"/>
  <c r="L199" i="31"/>
  <c r="L198" i="31"/>
  <c r="L197" i="31"/>
  <c r="L196" i="31"/>
  <c r="L195" i="31"/>
  <c r="L194" i="31"/>
  <c r="L189" i="31"/>
  <c r="L188" i="31"/>
  <c r="L187" i="31"/>
  <c r="L186" i="31"/>
  <c r="L185" i="31"/>
  <c r="L184" i="31"/>
  <c r="L183" i="31"/>
  <c r="L178" i="31"/>
  <c r="L177" i="31"/>
  <c r="L176" i="31"/>
  <c r="L175" i="31"/>
  <c r="L174" i="31"/>
  <c r="L173" i="31"/>
  <c r="L172" i="31"/>
  <c r="L167" i="31"/>
  <c r="L166" i="31"/>
  <c r="L165" i="31"/>
  <c r="L164" i="31"/>
  <c r="L163" i="31"/>
  <c r="L162" i="31"/>
  <c r="L161" i="31"/>
  <c r="L156" i="31"/>
  <c r="L155" i="31"/>
  <c r="L154" i="31"/>
  <c r="L153" i="31"/>
  <c r="L152" i="31"/>
  <c r="L151" i="31"/>
  <c r="L150" i="31"/>
  <c r="L145" i="31"/>
  <c r="L144" i="31"/>
  <c r="L143" i="31"/>
  <c r="L142" i="31"/>
  <c r="L141" i="31"/>
  <c r="L140" i="31"/>
  <c r="L139" i="31"/>
  <c r="L134" i="31"/>
  <c r="L133" i="31"/>
  <c r="L132" i="31"/>
  <c r="L131" i="31"/>
  <c r="L130" i="31"/>
  <c r="L129" i="31"/>
  <c r="L128" i="31"/>
  <c r="L123" i="31"/>
  <c r="L122" i="31"/>
  <c r="L121" i="31"/>
  <c r="L120" i="31"/>
  <c r="L119" i="31"/>
  <c r="L118" i="31"/>
  <c r="L117" i="31"/>
  <c r="L112" i="31"/>
  <c r="L111" i="31"/>
  <c r="L110" i="31"/>
  <c r="L109" i="31"/>
  <c r="L108" i="31"/>
  <c r="L107" i="31"/>
  <c r="L106" i="31"/>
  <c r="L100" i="31"/>
  <c r="L99" i="31"/>
  <c r="L98" i="31"/>
  <c r="L97" i="31"/>
  <c r="L96" i="31"/>
  <c r="L95" i="31"/>
  <c r="L90" i="31"/>
  <c r="L89" i="31"/>
  <c r="L88" i="31"/>
  <c r="L87" i="31"/>
  <c r="L86" i="31"/>
  <c r="L85" i="31"/>
  <c r="L84" i="31"/>
  <c r="L79" i="31"/>
  <c r="L78" i="31"/>
  <c r="L77" i="31"/>
  <c r="L76" i="31"/>
  <c r="L75" i="31"/>
  <c r="L74" i="31"/>
  <c r="L73" i="31"/>
  <c r="L68" i="31"/>
  <c r="L67" i="31"/>
  <c r="L66" i="31"/>
  <c r="L65" i="31"/>
  <c r="L64" i="31"/>
  <c r="L63" i="31"/>
  <c r="L62" i="31"/>
  <c r="L57" i="31"/>
  <c r="L56" i="31"/>
  <c r="L55" i="31"/>
  <c r="L54" i="31"/>
  <c r="L53" i="31"/>
  <c r="L52" i="31"/>
  <c r="L51" i="31"/>
  <c r="L46" i="31"/>
  <c r="L45" i="31"/>
  <c r="L44" i="31"/>
  <c r="L43" i="31"/>
  <c r="L42" i="31"/>
  <c r="L41" i="31"/>
  <c r="L40" i="31"/>
  <c r="L35" i="31"/>
  <c r="L34" i="31"/>
  <c r="L33" i="31"/>
  <c r="L32" i="31"/>
  <c r="L31" i="31"/>
  <c r="L30" i="31"/>
  <c r="L29" i="31"/>
  <c r="L24" i="31"/>
  <c r="L23" i="31"/>
  <c r="L22" i="31"/>
  <c r="L21" i="31"/>
  <c r="L20" i="31"/>
  <c r="L19" i="31"/>
  <c r="L18" i="31"/>
  <c r="L8" i="31"/>
  <c r="L9" i="31"/>
  <c r="N9" i="31" s="1"/>
  <c r="L10" i="31"/>
  <c r="L11" i="31"/>
  <c r="N11" i="31" s="1"/>
  <c r="L12" i="31"/>
  <c r="L13" i="31"/>
  <c r="L7" i="31"/>
  <c r="J255" i="31"/>
  <c r="J254" i="31"/>
  <c r="J253" i="31"/>
  <c r="J252" i="31"/>
  <c r="J251" i="31"/>
  <c r="J250" i="31"/>
  <c r="J247" i="31"/>
  <c r="J246" i="31"/>
  <c r="J245" i="31"/>
  <c r="J244" i="31"/>
  <c r="J243" i="31"/>
  <c r="J242" i="31"/>
  <c r="J179" i="31"/>
  <c r="J135" i="31"/>
  <c r="J102" i="31"/>
  <c r="J14" i="31"/>
  <c r="Q399" i="31"/>
  <c r="Q398" i="31"/>
  <c r="Q397" i="31"/>
  <c r="Q396" i="31"/>
  <c r="Q395" i="31"/>
  <c r="Q394" i="31"/>
  <c r="Q391" i="31"/>
  <c r="Q390" i="31"/>
  <c r="Q389" i="31"/>
  <c r="Q388" i="31"/>
  <c r="Q387" i="31"/>
  <c r="Q386" i="31"/>
  <c r="Q383" i="31"/>
  <c r="Q382" i="31"/>
  <c r="Q381" i="31"/>
  <c r="Q380" i="31"/>
  <c r="Q379" i="31"/>
  <c r="Q378" i="31"/>
  <c r="Q375" i="31"/>
  <c r="Q374" i="31"/>
  <c r="Q373" i="31"/>
  <c r="Q372" i="31"/>
  <c r="Q371" i="31"/>
  <c r="Q370" i="31"/>
  <c r="Q367" i="31"/>
  <c r="Q366" i="31"/>
  <c r="Q365" i="31"/>
  <c r="Q364" i="31"/>
  <c r="Q363" i="31"/>
  <c r="Q362" i="31"/>
  <c r="Q359" i="31"/>
  <c r="Q358" i="31"/>
  <c r="Q357" i="31"/>
  <c r="Q356" i="31"/>
  <c r="Q355" i="31"/>
  <c r="Q354" i="31"/>
  <c r="Q351" i="31"/>
  <c r="Q350" i="31"/>
  <c r="Q349" i="31"/>
  <c r="Q348" i="31"/>
  <c r="Q347" i="31"/>
  <c r="Q346" i="31"/>
  <c r="Q343" i="31"/>
  <c r="Q342" i="31"/>
  <c r="Q341" i="31"/>
  <c r="Q340" i="31"/>
  <c r="Q339" i="31"/>
  <c r="Q338" i="31"/>
  <c r="Q335" i="31"/>
  <c r="Q334" i="31"/>
  <c r="Q333" i="31"/>
  <c r="Q332" i="31"/>
  <c r="Q331" i="31"/>
  <c r="Q330" i="31"/>
  <c r="Q327" i="31"/>
  <c r="Q326" i="31"/>
  <c r="Q325" i="31"/>
  <c r="Q324" i="31"/>
  <c r="Q323" i="31"/>
  <c r="Q322" i="31"/>
  <c r="Q319" i="31"/>
  <c r="Q318" i="31"/>
  <c r="Q317" i="31"/>
  <c r="Q316" i="31"/>
  <c r="Q315" i="31"/>
  <c r="Q314" i="31"/>
  <c r="Q311" i="31"/>
  <c r="Q310" i="31"/>
  <c r="Q309" i="31"/>
  <c r="Q308" i="31"/>
  <c r="Q307" i="31"/>
  <c r="Q306" i="31"/>
  <c r="Q303" i="31"/>
  <c r="Q302" i="31"/>
  <c r="Q301" i="31"/>
  <c r="Q300" i="31"/>
  <c r="Q299" i="31"/>
  <c r="Q298" i="31"/>
  <c r="Q295" i="31"/>
  <c r="Q294" i="31"/>
  <c r="Q293" i="31"/>
  <c r="Q292" i="31"/>
  <c r="Q291" i="31"/>
  <c r="Q290" i="31"/>
  <c r="Q271" i="31"/>
  <c r="Q270" i="31"/>
  <c r="Q269" i="31"/>
  <c r="Q268" i="31"/>
  <c r="Q267" i="31"/>
  <c r="Q266" i="31"/>
  <c r="Q263" i="31"/>
  <c r="Q262" i="31"/>
  <c r="Q261" i="31"/>
  <c r="Q260" i="31"/>
  <c r="Q259" i="31"/>
  <c r="Q258" i="31"/>
  <c r="Q255" i="31"/>
  <c r="Q254" i="31"/>
  <c r="Q253" i="31"/>
  <c r="Q252" i="31"/>
  <c r="Q251" i="31"/>
  <c r="Q250" i="31"/>
  <c r="Q247" i="31"/>
  <c r="Q246" i="31"/>
  <c r="Q245" i="31"/>
  <c r="Q244" i="31"/>
  <c r="Q243" i="31"/>
  <c r="Q242" i="31"/>
  <c r="Q239" i="31"/>
  <c r="Q238" i="31"/>
  <c r="Q237" i="31"/>
  <c r="Q236" i="31"/>
  <c r="Q235" i="31"/>
  <c r="Q234" i="31"/>
  <c r="Q233" i="31"/>
  <c r="Q232" i="31"/>
  <c r="Q231" i="31"/>
  <c r="Q228" i="31"/>
  <c r="Q227" i="31"/>
  <c r="Q226" i="31"/>
  <c r="Q225" i="31"/>
  <c r="Q224" i="31"/>
  <c r="Q223" i="31"/>
  <c r="Q222" i="31"/>
  <c r="Q221" i="31"/>
  <c r="Q220" i="31"/>
  <c r="Q217" i="31"/>
  <c r="Q216" i="31"/>
  <c r="Q215" i="31"/>
  <c r="Q214" i="31"/>
  <c r="Q213" i="31"/>
  <c r="Q212" i="31"/>
  <c r="Q208" i="31"/>
  <c r="Q207" i="31"/>
  <c r="Q206" i="31"/>
  <c r="Q205" i="31"/>
  <c r="Q204" i="31"/>
  <c r="Q203" i="31"/>
  <c r="Q200" i="31"/>
  <c r="Q199" i="31"/>
  <c r="Q198" i="31"/>
  <c r="Q197" i="31"/>
  <c r="Q196" i="31"/>
  <c r="Q195" i="31"/>
  <c r="Q194" i="31"/>
  <c r="Q193" i="31"/>
  <c r="Q192" i="31"/>
  <c r="Q189" i="31"/>
  <c r="Q188" i="31"/>
  <c r="Q187" i="31"/>
  <c r="Q186" i="31"/>
  <c r="Q185" i="31"/>
  <c r="Q184" i="31"/>
  <c r="Q183" i="31"/>
  <c r="Q182" i="31"/>
  <c r="Q181" i="31"/>
  <c r="Q179" i="31"/>
  <c r="Q178" i="31"/>
  <c r="Q177" i="31"/>
  <c r="Q176" i="31"/>
  <c r="Q175" i="31"/>
  <c r="Q174" i="31"/>
  <c r="Q173" i="31"/>
  <c r="Q172" i="31"/>
  <c r="Q171" i="31"/>
  <c r="Q170" i="31"/>
  <c r="Q167" i="31"/>
  <c r="Q166" i="31"/>
  <c r="Q165" i="31"/>
  <c r="Q164" i="31"/>
  <c r="Q163" i="31"/>
  <c r="Q162" i="31"/>
  <c r="Q161" i="31"/>
  <c r="Q160" i="31"/>
  <c r="Q159" i="31"/>
  <c r="Q156" i="31"/>
  <c r="Q155" i="31"/>
  <c r="Q154" i="31"/>
  <c r="Q153" i="31"/>
  <c r="Q152" i="31"/>
  <c r="Q151" i="31"/>
  <c r="Q150" i="31"/>
  <c r="Q149" i="31"/>
  <c r="Q148" i="31"/>
  <c r="Q145" i="31"/>
  <c r="Q144" i="31"/>
  <c r="Q143" i="31"/>
  <c r="Q142" i="31"/>
  <c r="Q141" i="31"/>
  <c r="Q140" i="31"/>
  <c r="Q139" i="31"/>
  <c r="Q138" i="31"/>
  <c r="Q137" i="31"/>
  <c r="Q135" i="31"/>
  <c r="Q134" i="31"/>
  <c r="Q133" i="31"/>
  <c r="Q132" i="31"/>
  <c r="Q131" i="31"/>
  <c r="Q130" i="31"/>
  <c r="Q129" i="31"/>
  <c r="Q128" i="31"/>
  <c r="Q127" i="31"/>
  <c r="Q126" i="31"/>
  <c r="Q123" i="31"/>
  <c r="Q122" i="31"/>
  <c r="Q121" i="31"/>
  <c r="Q120" i="31"/>
  <c r="Q119" i="31"/>
  <c r="Q118" i="31"/>
  <c r="Q117" i="31"/>
  <c r="Q116" i="31"/>
  <c r="Q115" i="31"/>
  <c r="Q112" i="31"/>
  <c r="Q111" i="31"/>
  <c r="Q110" i="31"/>
  <c r="Q109" i="31"/>
  <c r="Q108" i="31"/>
  <c r="Q107" i="31"/>
  <c r="Q106" i="31"/>
  <c r="Q105" i="31"/>
  <c r="Q104" i="31"/>
  <c r="Q102" i="31"/>
  <c r="Q101" i="31"/>
  <c r="Q100" i="31"/>
  <c r="Q99" i="31"/>
  <c r="Q98" i="31"/>
  <c r="Q97" i="31"/>
  <c r="Q96" i="31"/>
  <c r="Q95" i="31"/>
  <c r="Q94" i="31"/>
  <c r="Q93" i="31"/>
  <c r="Q90" i="31"/>
  <c r="Q89" i="31"/>
  <c r="Q88" i="31"/>
  <c r="Q87" i="31"/>
  <c r="Q86" i="31"/>
  <c r="Q85" i="31"/>
  <c r="Q84" i="31"/>
  <c r="Q83" i="31"/>
  <c r="Q82" i="31"/>
  <c r="Q79" i="31"/>
  <c r="Q78" i="31"/>
  <c r="Q77" i="31"/>
  <c r="Q76" i="31"/>
  <c r="Q75" i="31"/>
  <c r="Q74" i="31"/>
  <c r="Q73" i="31"/>
  <c r="Q72" i="31"/>
  <c r="Q71" i="31"/>
  <c r="Q68" i="31"/>
  <c r="Q67" i="31"/>
  <c r="Q66" i="31"/>
  <c r="Q65" i="31"/>
  <c r="Q64" i="31"/>
  <c r="Q63" i="31"/>
  <c r="Q62" i="31"/>
  <c r="Q61" i="31"/>
  <c r="Q60" i="31"/>
  <c r="Q57" i="31"/>
  <c r="Q56" i="31"/>
  <c r="Q55" i="31"/>
  <c r="Q54" i="31"/>
  <c r="Q53" i="31"/>
  <c r="Q52" i="31"/>
  <c r="Q51" i="31"/>
  <c r="Q50" i="31"/>
  <c r="Q49" i="31"/>
  <c r="Q46" i="31"/>
  <c r="Q45" i="31"/>
  <c r="Q44" i="31"/>
  <c r="Q43" i="31"/>
  <c r="Q42" i="31"/>
  <c r="Q41" i="31"/>
  <c r="Q40" i="31"/>
  <c r="Q39" i="31"/>
  <c r="Q38" i="31"/>
  <c r="Q35" i="31"/>
  <c r="Q34" i="31"/>
  <c r="Q33" i="31"/>
  <c r="Q32" i="31"/>
  <c r="Q31" i="31"/>
  <c r="Q30" i="31"/>
  <c r="Q29" i="31"/>
  <c r="Q28" i="31"/>
  <c r="Q27" i="31"/>
  <c r="Q24" i="31"/>
  <c r="Q23" i="31"/>
  <c r="Q22" i="31"/>
  <c r="Q21" i="31"/>
  <c r="Q20" i="31"/>
  <c r="Q19" i="31"/>
  <c r="Q18" i="31"/>
  <c r="Q17" i="31"/>
  <c r="Q16" i="31"/>
  <c r="Q14" i="31"/>
  <c r="Q13" i="31"/>
  <c r="Q12" i="31"/>
  <c r="Q11" i="31"/>
  <c r="Q10" i="31"/>
  <c r="Q9" i="31"/>
  <c r="Q8" i="31"/>
  <c r="Q7" i="31"/>
  <c r="Q6" i="31"/>
  <c r="Q5" i="31"/>
  <c r="I255" i="31"/>
  <c r="I254" i="31"/>
  <c r="I253" i="31"/>
  <c r="I252" i="31"/>
  <c r="I251" i="31"/>
  <c r="I250" i="31"/>
  <c r="I247" i="31"/>
  <c r="I246" i="31"/>
  <c r="I245" i="31"/>
  <c r="I244" i="31"/>
  <c r="I243" i="31"/>
  <c r="I242" i="31"/>
  <c r="I179" i="31"/>
  <c r="I135" i="31"/>
  <c r="I102" i="31"/>
  <c r="N386" i="31"/>
  <c r="N379" i="31"/>
  <c r="N378" i="31"/>
  <c r="N371" i="31"/>
  <c r="N370" i="31"/>
  <c r="N363" i="31"/>
  <c r="N362" i="31"/>
  <c r="N355" i="31"/>
  <c r="N354" i="31"/>
  <c r="N299" i="31"/>
  <c r="N298" i="31"/>
  <c r="N291" i="31"/>
  <c r="N290" i="31"/>
  <c r="N267" i="31"/>
  <c r="N266" i="31"/>
  <c r="N259" i="31"/>
  <c r="N258" i="31"/>
  <c r="N255" i="31"/>
  <c r="N254" i="31"/>
  <c r="N253" i="31"/>
  <c r="N252" i="31"/>
  <c r="N251" i="31"/>
  <c r="N250" i="31"/>
  <c r="N247" i="31"/>
  <c r="N246" i="31"/>
  <c r="N245" i="31"/>
  <c r="N244" i="31"/>
  <c r="N243" i="31"/>
  <c r="N242" i="31"/>
  <c r="N221" i="31"/>
  <c r="N220" i="31"/>
  <c r="N213" i="31"/>
  <c r="N212" i="31"/>
  <c r="N204" i="31"/>
  <c r="N203" i="31"/>
  <c r="N193" i="31"/>
  <c r="N192" i="31"/>
  <c r="N182" i="31"/>
  <c r="N181" i="31"/>
  <c r="N179" i="31"/>
  <c r="N171" i="31"/>
  <c r="N170" i="31"/>
  <c r="N160" i="31"/>
  <c r="N159" i="31"/>
  <c r="N149" i="31"/>
  <c r="N148" i="31"/>
  <c r="N138" i="31"/>
  <c r="N137" i="31"/>
  <c r="N135" i="31"/>
  <c r="N127" i="31"/>
  <c r="N126" i="31"/>
  <c r="N116" i="31"/>
  <c r="N115" i="31"/>
  <c r="N105" i="31"/>
  <c r="N104" i="31"/>
  <c r="N102" i="31"/>
  <c r="N94" i="31"/>
  <c r="N93" i="31"/>
  <c r="N83" i="31"/>
  <c r="N82" i="31"/>
  <c r="N72" i="31"/>
  <c r="N71" i="31"/>
  <c r="N61" i="31"/>
  <c r="N60" i="31"/>
  <c r="N50" i="31"/>
  <c r="N49" i="31"/>
  <c r="N39" i="31"/>
  <c r="N38" i="31"/>
  <c r="N28" i="31"/>
  <c r="N27" i="31"/>
  <c r="N16" i="31"/>
  <c r="O457" i="31"/>
  <c r="R456" i="31"/>
  <c r="O456" i="31"/>
  <c r="M456" i="31"/>
  <c r="L456" i="31"/>
  <c r="K456" i="31"/>
  <c r="J456" i="31"/>
  <c r="I456" i="31"/>
  <c r="G456" i="31"/>
  <c r="F456" i="31"/>
  <c r="E456" i="31"/>
  <c r="S455" i="31"/>
  <c r="R455" i="31"/>
  <c r="Q455" i="31"/>
  <c r="P455" i="31"/>
  <c r="O455" i="31"/>
  <c r="M455" i="31"/>
  <c r="L455" i="31"/>
  <c r="K455" i="31"/>
  <c r="J455" i="31"/>
  <c r="I455" i="31"/>
  <c r="G455" i="31"/>
  <c r="F455" i="31"/>
  <c r="E455" i="31"/>
  <c r="C455" i="31"/>
  <c r="B455" i="31"/>
  <c r="S454" i="31"/>
  <c r="R454" i="31"/>
  <c r="Q454" i="31"/>
  <c r="P454" i="31"/>
  <c r="O454" i="31"/>
  <c r="M454" i="31"/>
  <c r="L454" i="31"/>
  <c r="K454" i="31"/>
  <c r="J454" i="31"/>
  <c r="I454" i="31"/>
  <c r="G454" i="31"/>
  <c r="F454" i="31"/>
  <c r="E454" i="31"/>
  <c r="C454" i="31"/>
  <c r="B454" i="31"/>
  <c r="S453" i="31"/>
  <c r="R453" i="31"/>
  <c r="Q453" i="31"/>
  <c r="P453" i="31"/>
  <c r="O453" i="31"/>
  <c r="M453" i="31"/>
  <c r="L453" i="31"/>
  <c r="K453" i="31"/>
  <c r="J453" i="31"/>
  <c r="I453" i="31"/>
  <c r="G453" i="31"/>
  <c r="F453" i="31"/>
  <c r="E453" i="31"/>
  <c r="C453" i="31"/>
  <c r="B453" i="31"/>
  <c r="S452" i="31"/>
  <c r="R452" i="31"/>
  <c r="Q452" i="31"/>
  <c r="P452" i="31"/>
  <c r="O452" i="31"/>
  <c r="N452" i="31"/>
  <c r="M452" i="31"/>
  <c r="L452" i="31"/>
  <c r="K452" i="31"/>
  <c r="J452" i="31"/>
  <c r="I452" i="31"/>
  <c r="G452" i="31"/>
  <c r="F452" i="31"/>
  <c r="E452" i="31"/>
  <c r="D452" i="31"/>
  <c r="C452" i="31"/>
  <c r="B452" i="31"/>
  <c r="S451" i="31"/>
  <c r="R451" i="31"/>
  <c r="Q451" i="31"/>
  <c r="P451" i="31"/>
  <c r="O451" i="31"/>
  <c r="N451" i="31"/>
  <c r="M451" i="31"/>
  <c r="L451" i="31"/>
  <c r="K451" i="31"/>
  <c r="J451" i="31"/>
  <c r="I451" i="31"/>
  <c r="G451" i="31"/>
  <c r="F451" i="31"/>
  <c r="E451" i="31"/>
  <c r="D451" i="31"/>
  <c r="C451" i="31"/>
  <c r="B451" i="31"/>
  <c r="S450" i="31"/>
  <c r="R450" i="31"/>
  <c r="Q450" i="31"/>
  <c r="P450" i="31"/>
  <c r="O450" i="31"/>
  <c r="N450" i="31"/>
  <c r="M450" i="31"/>
  <c r="L450" i="31"/>
  <c r="K450" i="31"/>
  <c r="J450" i="31"/>
  <c r="I450" i="31"/>
  <c r="G450" i="31"/>
  <c r="F450" i="31"/>
  <c r="E450" i="31"/>
  <c r="D450" i="31"/>
  <c r="C450" i="31"/>
  <c r="B450" i="31"/>
  <c r="S449" i="31"/>
  <c r="R449" i="31"/>
  <c r="Q449" i="31"/>
  <c r="P449" i="31"/>
  <c r="O449" i="31"/>
  <c r="N449" i="31"/>
  <c r="M449" i="31"/>
  <c r="L449" i="31"/>
  <c r="K449" i="31"/>
  <c r="J449" i="31"/>
  <c r="I449" i="31"/>
  <c r="G449" i="31"/>
  <c r="F449" i="31"/>
  <c r="E449" i="31"/>
  <c r="D449" i="31"/>
  <c r="C449" i="31"/>
  <c r="B449" i="31"/>
  <c r="S448" i="31"/>
  <c r="R448" i="31"/>
  <c r="Q448" i="31"/>
  <c r="P448" i="31"/>
  <c r="O448" i="31"/>
  <c r="N448" i="31"/>
  <c r="M448" i="31"/>
  <c r="L448" i="31"/>
  <c r="K448" i="31"/>
  <c r="J448" i="31"/>
  <c r="I448" i="31"/>
  <c r="G448" i="31"/>
  <c r="F448" i="31"/>
  <c r="E448" i="31"/>
  <c r="D448" i="31"/>
  <c r="C448" i="31"/>
  <c r="B448" i="31"/>
  <c r="S447" i="31"/>
  <c r="R447" i="31"/>
  <c r="Q447" i="31"/>
  <c r="P447" i="31"/>
  <c r="O447" i="31"/>
  <c r="N447" i="31"/>
  <c r="M447" i="31"/>
  <c r="L447" i="31"/>
  <c r="K447" i="31"/>
  <c r="J447" i="31"/>
  <c r="I447" i="31"/>
  <c r="G447" i="31"/>
  <c r="F447" i="31"/>
  <c r="E447" i="31"/>
  <c r="D447" i="31"/>
  <c r="C447" i="31"/>
  <c r="B447" i="31"/>
  <c r="E436" i="31"/>
  <c r="D436" i="31"/>
  <c r="C436" i="31"/>
  <c r="B436" i="31"/>
  <c r="E435" i="31"/>
  <c r="D435" i="31"/>
  <c r="C435" i="31"/>
  <c r="B435" i="31"/>
  <c r="E434" i="31"/>
  <c r="D434" i="31"/>
  <c r="C434" i="31"/>
  <c r="B434" i="31"/>
  <c r="E433" i="31"/>
  <c r="D433" i="31"/>
  <c r="C433" i="31"/>
  <c r="B433" i="31"/>
  <c r="E432" i="31"/>
  <c r="D432" i="31"/>
  <c r="C432" i="31"/>
  <c r="B432" i="31"/>
  <c r="E431" i="31"/>
  <c r="D431" i="31"/>
  <c r="C431" i="31"/>
  <c r="B431" i="31"/>
  <c r="E430" i="31"/>
  <c r="D430" i="31"/>
  <c r="C430" i="31"/>
  <c r="B430" i="31"/>
  <c r="E429" i="31"/>
  <c r="D429" i="31"/>
  <c r="C429" i="31"/>
  <c r="B429" i="31"/>
  <c r="E428" i="31"/>
  <c r="D428" i="31"/>
  <c r="C428" i="31"/>
  <c r="B428" i="31"/>
  <c r="M255" i="31"/>
  <c r="M254" i="31"/>
  <c r="M253" i="31"/>
  <c r="M252" i="31"/>
  <c r="M251" i="31"/>
  <c r="M250" i="31"/>
  <c r="M247" i="31"/>
  <c r="M246" i="31"/>
  <c r="M245" i="31"/>
  <c r="M244" i="31"/>
  <c r="M243" i="31"/>
  <c r="M242" i="31"/>
  <c r="M179" i="31"/>
  <c r="M135" i="31"/>
  <c r="M102" i="31"/>
  <c r="I14" i="31"/>
  <c r="N6" i="31"/>
  <c r="N5" i="31"/>
  <c r="N13" i="31" l="1"/>
  <c r="M19" i="31"/>
  <c r="N21" i="31"/>
  <c r="N23" i="31"/>
  <c r="N29" i="31"/>
  <c r="N31" i="31"/>
  <c r="M18" i="31"/>
  <c r="M20" i="31"/>
  <c r="M22" i="31"/>
  <c r="M24" i="31"/>
  <c r="M30" i="31"/>
  <c r="M32" i="31"/>
  <c r="N32" i="31"/>
  <c r="M34" i="31"/>
  <c r="N34" i="31"/>
  <c r="M40" i="31"/>
  <c r="N40" i="31"/>
  <c r="M42" i="31"/>
  <c r="N42" i="31"/>
  <c r="M44" i="31"/>
  <c r="N44" i="31"/>
  <c r="M46" i="31"/>
  <c r="N46" i="31"/>
  <c r="M52" i="31"/>
  <c r="N52" i="31"/>
  <c r="M54" i="31"/>
  <c r="N54" i="31"/>
  <c r="M56" i="31"/>
  <c r="N56" i="31"/>
  <c r="M62" i="31"/>
  <c r="N62" i="31"/>
  <c r="M64" i="31"/>
  <c r="N64" i="31"/>
  <c r="M66" i="31"/>
  <c r="N66" i="31"/>
  <c r="M68" i="31"/>
  <c r="N68" i="31"/>
  <c r="M74" i="31"/>
  <c r="N74" i="31"/>
  <c r="M76" i="31"/>
  <c r="N76" i="31"/>
  <c r="M78" i="31"/>
  <c r="N78" i="31"/>
  <c r="M84" i="31"/>
  <c r="N84" i="31"/>
  <c r="M86" i="31"/>
  <c r="N86" i="31"/>
  <c r="M88" i="31"/>
  <c r="N88" i="31"/>
  <c r="M90" i="31"/>
  <c r="N90" i="31"/>
  <c r="M96" i="31"/>
  <c r="N96" i="31"/>
  <c r="M98" i="31"/>
  <c r="N98" i="31"/>
  <c r="M100" i="31"/>
  <c r="N100" i="31"/>
  <c r="M107" i="31"/>
  <c r="N107" i="31"/>
  <c r="M109" i="31"/>
  <c r="N109" i="31"/>
  <c r="M111" i="31"/>
  <c r="N111" i="31"/>
  <c r="M117" i="31"/>
  <c r="N117" i="31"/>
  <c r="M119" i="31"/>
  <c r="N119" i="31"/>
  <c r="M121" i="31"/>
  <c r="N121" i="31"/>
  <c r="M123" i="31"/>
  <c r="N123" i="31"/>
  <c r="M129" i="31"/>
  <c r="N129" i="31"/>
  <c r="M131" i="31"/>
  <c r="N131" i="31"/>
  <c r="M133" i="31"/>
  <c r="N133" i="31"/>
  <c r="M139" i="31"/>
  <c r="N139" i="31"/>
  <c r="M141" i="31"/>
  <c r="N141" i="31"/>
  <c r="M143" i="31"/>
  <c r="N143" i="31"/>
  <c r="M145" i="31"/>
  <c r="N145" i="31"/>
  <c r="M151" i="31"/>
  <c r="N151" i="31"/>
  <c r="M153" i="31"/>
  <c r="N153" i="31"/>
  <c r="M155" i="31"/>
  <c r="N155" i="31"/>
  <c r="M161" i="31"/>
  <c r="N161" i="31"/>
  <c r="M163" i="31"/>
  <c r="N163" i="31"/>
  <c r="M165" i="31"/>
  <c r="N165" i="31"/>
  <c r="M167" i="31"/>
  <c r="N167" i="31"/>
  <c r="M173" i="31"/>
  <c r="N173" i="31"/>
  <c r="M175" i="31"/>
  <c r="N175" i="31"/>
  <c r="M177" i="31"/>
  <c r="N177" i="31"/>
  <c r="M183" i="31"/>
  <c r="N183" i="31"/>
  <c r="M185" i="31"/>
  <c r="N185" i="31"/>
  <c r="M187" i="31"/>
  <c r="N187" i="31"/>
  <c r="M189" i="31"/>
  <c r="N189" i="31"/>
  <c r="M195" i="31"/>
  <c r="N195" i="31"/>
  <c r="M197" i="31"/>
  <c r="N197" i="31"/>
  <c r="M199" i="31"/>
  <c r="N199" i="31"/>
  <c r="M205" i="31"/>
  <c r="N205" i="31"/>
  <c r="M207" i="31"/>
  <c r="N207" i="31"/>
  <c r="M214" i="31"/>
  <c r="N214" i="31"/>
  <c r="M216" i="31"/>
  <c r="N216" i="31"/>
  <c r="M222" i="31"/>
  <c r="N222" i="31"/>
  <c r="M224" i="31"/>
  <c r="N224" i="31"/>
  <c r="M226" i="31"/>
  <c r="N226" i="31"/>
  <c r="M228" i="31"/>
  <c r="N228" i="31"/>
  <c r="M234" i="31"/>
  <c r="N234" i="31"/>
  <c r="M236" i="31"/>
  <c r="N236" i="31"/>
  <c r="M238" i="31"/>
  <c r="N238" i="31"/>
  <c r="M260" i="31"/>
  <c r="N260" i="31"/>
  <c r="M262" i="31"/>
  <c r="N262" i="31"/>
  <c r="M268" i="31"/>
  <c r="N268" i="31"/>
  <c r="M270" i="31"/>
  <c r="N270" i="31"/>
  <c r="M292" i="31"/>
  <c r="N292" i="31"/>
  <c r="M294" i="31"/>
  <c r="N294" i="31"/>
  <c r="M300" i="31"/>
  <c r="N300" i="31"/>
  <c r="M302" i="31"/>
  <c r="N302" i="31"/>
  <c r="M356" i="31"/>
  <c r="N356" i="31"/>
  <c r="M358" i="31"/>
  <c r="N358" i="31"/>
  <c r="M364" i="31"/>
  <c r="N364" i="31"/>
  <c r="M366" i="31"/>
  <c r="N366" i="31"/>
  <c r="M372" i="31"/>
  <c r="N372" i="31"/>
  <c r="M374" i="31"/>
  <c r="N374" i="31"/>
  <c r="M380" i="31"/>
  <c r="N380" i="31"/>
  <c r="M382" i="31"/>
  <c r="N382" i="31"/>
  <c r="N388" i="31"/>
  <c r="M388" i="31"/>
  <c r="N390" i="31"/>
  <c r="M390" i="31"/>
  <c r="N396" i="31"/>
  <c r="M396" i="31"/>
  <c r="N398" i="31"/>
  <c r="M398" i="31"/>
  <c r="M101" i="31"/>
  <c r="N19" i="31"/>
  <c r="M13" i="31"/>
  <c r="N12" i="31"/>
  <c r="N10" i="31"/>
  <c r="N8" i="31"/>
  <c r="M21" i="31"/>
  <c r="M23" i="31"/>
  <c r="M29" i="31"/>
  <c r="M31" i="31"/>
  <c r="M33" i="31"/>
  <c r="N33" i="31"/>
  <c r="M35" i="31"/>
  <c r="N35" i="31"/>
  <c r="M41" i="31"/>
  <c r="N41" i="31"/>
  <c r="M43" i="31"/>
  <c r="N43" i="31"/>
  <c r="M45" i="31"/>
  <c r="N45" i="31"/>
  <c r="M51" i="31"/>
  <c r="N51" i="31"/>
  <c r="M53" i="31"/>
  <c r="N53" i="31"/>
  <c r="M55" i="31"/>
  <c r="N55" i="31"/>
  <c r="M57" i="31"/>
  <c r="N57" i="31"/>
  <c r="M63" i="31"/>
  <c r="N63" i="31"/>
  <c r="M65" i="31"/>
  <c r="N65" i="31"/>
  <c r="M67" i="31"/>
  <c r="N67" i="31"/>
  <c r="M73" i="31"/>
  <c r="N73" i="31"/>
  <c r="M75" i="31"/>
  <c r="N75" i="31"/>
  <c r="M77" i="31"/>
  <c r="N77" i="31"/>
  <c r="M79" i="31"/>
  <c r="N79" i="31"/>
  <c r="M85" i="31"/>
  <c r="N85" i="31"/>
  <c r="M87" i="31"/>
  <c r="N87" i="31"/>
  <c r="M89" i="31"/>
  <c r="N89" i="31"/>
  <c r="M95" i="31"/>
  <c r="N95" i="31"/>
  <c r="M97" i="31"/>
  <c r="N97" i="31"/>
  <c r="M99" i="31"/>
  <c r="N99" i="31"/>
  <c r="M106" i="31"/>
  <c r="N106" i="31"/>
  <c r="M108" i="31"/>
  <c r="N108" i="31"/>
  <c r="M110" i="31"/>
  <c r="N110" i="31"/>
  <c r="M112" i="31"/>
  <c r="N112" i="31"/>
  <c r="M118" i="31"/>
  <c r="N118" i="31"/>
  <c r="M120" i="31"/>
  <c r="N120" i="31"/>
  <c r="M122" i="31"/>
  <c r="N122" i="31"/>
  <c r="M128" i="31"/>
  <c r="N128" i="31"/>
  <c r="M130" i="31"/>
  <c r="N130" i="31"/>
  <c r="M132" i="31"/>
  <c r="N132" i="31"/>
  <c r="M134" i="31"/>
  <c r="N134" i="31"/>
  <c r="M140" i="31"/>
  <c r="N140" i="31"/>
  <c r="M142" i="31"/>
  <c r="N142" i="31"/>
  <c r="M144" i="31"/>
  <c r="N144" i="31"/>
  <c r="M150" i="31"/>
  <c r="N150" i="31"/>
  <c r="M152" i="31"/>
  <c r="N152" i="31"/>
  <c r="M154" i="31"/>
  <c r="N154" i="31"/>
  <c r="M156" i="31"/>
  <c r="N156" i="31"/>
  <c r="M162" i="31"/>
  <c r="N162" i="31"/>
  <c r="M164" i="31"/>
  <c r="N164" i="31"/>
  <c r="M166" i="31"/>
  <c r="N166" i="31"/>
  <c r="M172" i="31"/>
  <c r="N172" i="31"/>
  <c r="M174" i="31"/>
  <c r="N174" i="31"/>
  <c r="M176" i="31"/>
  <c r="N176" i="31"/>
  <c r="M178" i="31"/>
  <c r="N178" i="31"/>
  <c r="M184" i="31"/>
  <c r="N184" i="31"/>
  <c r="M186" i="31"/>
  <c r="N186" i="31"/>
  <c r="M188" i="31"/>
  <c r="N188" i="31"/>
  <c r="M194" i="31"/>
  <c r="N194" i="31"/>
  <c r="M196" i="31"/>
  <c r="N196" i="31"/>
  <c r="M198" i="31"/>
  <c r="N198" i="31"/>
  <c r="M200" i="31"/>
  <c r="N200" i="31"/>
  <c r="M206" i="31"/>
  <c r="N206" i="31"/>
  <c r="M208" i="31"/>
  <c r="N208" i="31"/>
  <c r="M215" i="31"/>
  <c r="N215" i="31"/>
  <c r="M217" i="31"/>
  <c r="N217" i="31"/>
  <c r="M223" i="31"/>
  <c r="N223" i="31"/>
  <c r="M225" i="31"/>
  <c r="N225" i="31"/>
  <c r="M227" i="31"/>
  <c r="N227" i="31"/>
  <c r="M233" i="31"/>
  <c r="N233" i="31"/>
  <c r="M235" i="31"/>
  <c r="N235" i="31"/>
  <c r="M237" i="31"/>
  <c r="N237" i="31"/>
  <c r="M239" i="31"/>
  <c r="N239" i="31"/>
  <c r="M261" i="31"/>
  <c r="N261" i="31"/>
  <c r="M263" i="31"/>
  <c r="N263" i="31"/>
  <c r="M269" i="31"/>
  <c r="N269" i="31"/>
  <c r="M271" i="31"/>
  <c r="N271" i="31"/>
  <c r="M293" i="31"/>
  <c r="N293" i="31"/>
  <c r="M295" i="31"/>
  <c r="N295" i="31"/>
  <c r="M301" i="31"/>
  <c r="N301" i="31"/>
  <c r="M303" i="31"/>
  <c r="N303" i="31"/>
  <c r="M357" i="31"/>
  <c r="N357" i="31"/>
  <c r="M359" i="31"/>
  <c r="N359" i="31"/>
  <c r="M365" i="31"/>
  <c r="N365" i="31"/>
  <c r="M367" i="31"/>
  <c r="N367" i="31"/>
  <c r="M373" i="31"/>
  <c r="N373" i="31"/>
  <c r="M375" i="31"/>
  <c r="N375" i="31"/>
  <c r="M381" i="31"/>
  <c r="N381" i="31"/>
  <c r="M383" i="31"/>
  <c r="N383" i="31"/>
  <c r="N389" i="31"/>
  <c r="M389" i="31"/>
  <c r="N391" i="31"/>
  <c r="M391" i="31"/>
  <c r="N397" i="31"/>
  <c r="M397" i="31"/>
  <c r="N399" i="31"/>
  <c r="M399" i="31"/>
  <c r="N7" i="31"/>
  <c r="N18" i="31"/>
  <c r="N20" i="31"/>
  <c r="N22" i="31"/>
  <c r="N24" i="31"/>
  <c r="N30" i="31"/>
  <c r="N101" i="31"/>
  <c r="M7" i="31"/>
  <c r="M8" i="31"/>
  <c r="M9" i="31"/>
  <c r="M10" i="31"/>
  <c r="M11" i="31"/>
  <c r="M12" i="31"/>
  <c r="N17" i="31"/>
</calcChain>
</file>

<file path=xl/sharedStrings.xml><?xml version="1.0" encoding="utf-8"?>
<sst xmlns="http://schemas.openxmlformats.org/spreadsheetml/2006/main" count="3618" uniqueCount="513">
  <si>
    <t>СПИСОК СУДЕЙ</t>
  </si>
  <si>
    <t>№ п/п</t>
  </si>
  <si>
    <t>Должность</t>
  </si>
  <si>
    <t>Фамилия, Имя, Отчество</t>
  </si>
  <si>
    <t>Кате- гория</t>
  </si>
  <si>
    <t>Город, клуб</t>
  </si>
  <si>
    <t>I</t>
  </si>
  <si>
    <t>Главный судья</t>
  </si>
  <si>
    <t>Заместитель главного судьи</t>
  </si>
  <si>
    <t>Главный секретарь</t>
  </si>
  <si>
    <t>Стартер</t>
  </si>
  <si>
    <t>Старший секундометрист</t>
  </si>
  <si>
    <t>Старший судья на финише</t>
  </si>
  <si>
    <t>Старший судья при участниках</t>
  </si>
  <si>
    <t>Старший судья на дистанции</t>
  </si>
  <si>
    <t>Секундометрист</t>
  </si>
  <si>
    <t>СПИСОК УЧАСТНИКОВ</t>
  </si>
  <si>
    <t>Фамилия, имя</t>
  </si>
  <si>
    <t>Год 
рожд.</t>
  </si>
  <si>
    <t>Разряд,
звание</t>
  </si>
  <si>
    <t>Команда</t>
  </si>
  <si>
    <t>Тренер</t>
  </si>
  <si>
    <t>II юн</t>
  </si>
  <si>
    <t>III юн</t>
  </si>
  <si>
    <t>II</t>
  </si>
  <si>
    <t>III</t>
  </si>
  <si>
    <t>б/р</t>
  </si>
  <si>
    <t>Место</t>
  </si>
  <si>
    <t>Фамилия, Имя</t>
  </si>
  <si>
    <t>Результат</t>
  </si>
  <si>
    <t>Нор-матив</t>
  </si>
  <si>
    <t>Очки</t>
  </si>
  <si>
    <t>Предв.</t>
  </si>
  <si>
    <t>Финал</t>
  </si>
  <si>
    <t>ЗМС</t>
  </si>
  <si>
    <t>МСМК</t>
  </si>
  <si>
    <t>МС</t>
  </si>
  <si>
    <t>КМС</t>
  </si>
  <si>
    <t>I юн</t>
  </si>
  <si>
    <t>Плавание в ластах - 400 м (1460111811Я),  женщины</t>
  </si>
  <si>
    <t>Плавание в ластах - 50 м (1460081811Я),  женщины</t>
  </si>
  <si>
    <t>Тренер-представитель</t>
  </si>
  <si>
    <t>Плавание в ластах - 50 м (1460081811Я),  мужчины</t>
  </si>
  <si>
    <t>Плавание в ластах - 100 м (1460091811Я),  женщины</t>
  </si>
  <si>
    <t>Плавание в ластах - 100 м (1460091811Я),  мужчины</t>
  </si>
  <si>
    <t>Плавание в ластах - 200 м (1460101811Я),  женщины</t>
  </si>
  <si>
    <t>Плавание в ластах - 200 м (1460101811Я),  мужчины</t>
  </si>
  <si>
    <t>Плавание в ластах - 400 м (1460111811Я),  мужчины</t>
  </si>
  <si>
    <t>Плавание в ластах - 800 м (1460121811Я),  женщины</t>
  </si>
  <si>
    <t>Плавание в ластах - 800 м (1460121811Я),  мужчины</t>
  </si>
  <si>
    <t>Плавание в ластах - 1500 м (1460131811Я),  женщины</t>
  </si>
  <si>
    <t>Плавание в ластах - 1500 м (1460131811Я),  мужчины</t>
  </si>
  <si>
    <t>Подводное плавание - 100 м (1460141811Я),  женщины</t>
  </si>
  <si>
    <t>Подводное плавание - 100 м (1460141811Я),  мужчины</t>
  </si>
  <si>
    <t>Подводное плавание - 400 м (1460151811Я),  женщины</t>
  </si>
  <si>
    <t>Подводное плавание - 400 м (1460151811Я),  мужчины</t>
  </si>
  <si>
    <t>Подводное плавание - 800 м (1460161811Я),  женщины</t>
  </si>
  <si>
    <t>Подводное плавание - 800 м (1460161811Я),  мужчины</t>
  </si>
  <si>
    <t>Ныряние в ластах в длину - 50 м (1460171811Я),  женщины</t>
  </si>
  <si>
    <t>Ныряние в ластах в длину - 50 м (1460171811Я),  мужчины</t>
  </si>
  <si>
    <t>Плавание в классических ластах- 50 м (1460241811Я),  женщины</t>
  </si>
  <si>
    <t>Плавание в классических ластах- 50 м (1460241811Я),  мужчины</t>
  </si>
  <si>
    <t>Плавание в классических ластах- 100 м (1460251811Я),  женщины</t>
  </si>
  <si>
    <t>Плавание в классических ластах- 100 м (1460251811Я),  мужчины</t>
  </si>
  <si>
    <t>Плавание в классических ластах- 200 м (1460261811Я),  женщины</t>
  </si>
  <si>
    <t>Плавание в классических ластах- 200 м (1460261811Я),  мужчины</t>
  </si>
  <si>
    <t>Марафонский заплыв в ластах-эстафета 4х2 км - смешанная (1460221811Я)</t>
  </si>
  <si>
    <t>женщин</t>
  </si>
  <si>
    <t>мужчин</t>
  </si>
  <si>
    <t>Ж</t>
  </si>
  <si>
    <t>Всего:</t>
  </si>
  <si>
    <t>М</t>
  </si>
  <si>
    <t>Акватлон (борьба в ластах)  (1460281811Я), мужчины</t>
  </si>
  <si>
    <t>Апноэ – статическое (1460341811Л), мужчины</t>
  </si>
  <si>
    <t>Апноэ – квадрат (1460331811Л), мужчины</t>
  </si>
  <si>
    <t>Дайвинг - комбинированное плавание (1460271811Я), мужчины</t>
  </si>
  <si>
    <t>Дайвинг – ночной (1460351811Я), мужчины</t>
  </si>
  <si>
    <t>Дайвинг - подъем груза (1460361811Я), мужчины</t>
  </si>
  <si>
    <t>Дайвинг - полоса препятствий (1460301811Я), мужчины</t>
  </si>
  <si>
    <t>Подводная охота (1460231811Л), мужчины</t>
  </si>
  <si>
    <t>Подводное регби (1460292811Я), мужчины</t>
  </si>
  <si>
    <t>Акватлон (борьба в ластах)  (1460281811Я), женщины</t>
  </si>
  <si>
    <t>Апноэ – динамическое  (1460311811Л), женщины</t>
  </si>
  <si>
    <t>Апноэ - динамическое в ластах (1460321811Л), женщины</t>
  </si>
  <si>
    <t>Апноэ - скоростное 100 м (1460211811Л), женщины</t>
  </si>
  <si>
    <t>Апноэ – статическое (1460341811Л), женщины</t>
  </si>
  <si>
    <t>Апноэ – квадрат (1460331811Л), женщины</t>
  </si>
  <si>
    <t>Дайвинг - комбинированное плавание (1460271811Я), женщины</t>
  </si>
  <si>
    <t>Дайвинг – ночной (1460351811Я), женщины</t>
  </si>
  <si>
    <t>Дайвинг - подъем груза (1460361811Я), женщины</t>
  </si>
  <si>
    <t>Дайвинг - полоса препятствий (1460301811Я), женщины</t>
  </si>
  <si>
    <t>Подводная охота (1460231811Л), женщины</t>
  </si>
  <si>
    <t>Подводное регби (1460292811Я), женщины</t>
  </si>
  <si>
    <t>Ориентирование- упражнение  "звезда" (1460021811Я), мужчины</t>
  </si>
  <si>
    <t>Ориентирование- упражнение  "зоны" (1460011811Я), мужчины</t>
  </si>
  <si>
    <t>Ориентирование- упражнение "ориентиры" (1460041811Я), мужчины</t>
  </si>
  <si>
    <t>Ориентирование- упражнение "карта" (1460031811Л), мужчины</t>
  </si>
  <si>
    <t>Ориентирование-групповое упражнение (1460051811Я), мужчины</t>
  </si>
  <si>
    <t>Ориентирование-групповое упражнение "карта" (1460061811Л), мужчины</t>
  </si>
  <si>
    <t>Ориентирование-параллель (1460071811Я), мужчины</t>
  </si>
  <si>
    <t>Ориентирование- упражнение  "зоны" (1460011811Я), женщины</t>
  </si>
  <si>
    <t>Ориентирование- упражнение  "звезда" (1460021811Я), женщины</t>
  </si>
  <si>
    <t>Ориентирование- упражнение "карта" (1460031811Л), женщины</t>
  </si>
  <si>
    <t>Ориентирование- упражнение "ориентиры" (1460041811Я), женщины</t>
  </si>
  <si>
    <t>Ориентирование-групповое упражнение (1460051811Я), женщины</t>
  </si>
  <si>
    <t>Ориентирование-групповое упражнение "карта" (1460061811Л), женщины</t>
  </si>
  <si>
    <t>Ориентирование-параллель (1460071811Я), женщины</t>
  </si>
  <si>
    <t>Марафонский заплыв в ластах 12-20 км, женщины</t>
  </si>
  <si>
    <t>Марафонский заплыв в ластах 12-20 км, мужчины</t>
  </si>
  <si>
    <t>В зависимости от ранга соревнований и занятого места</t>
  </si>
  <si>
    <t>финал</t>
  </si>
  <si>
    <t>предв.</t>
  </si>
  <si>
    <r>
      <t>Апноэ – динамическое  (</t>
    </r>
    <r>
      <rPr>
        <b/>
        <u/>
        <sz val="10"/>
        <color theme="1"/>
        <rFont val="Times New Roman"/>
        <family val="1"/>
        <charset val="204"/>
      </rPr>
      <t>1460311811Л), мужчины</t>
    </r>
  </si>
  <si>
    <r>
      <t>Апноэ - динамическое в ластах (</t>
    </r>
    <r>
      <rPr>
        <b/>
        <u/>
        <sz val="10"/>
        <color theme="1"/>
        <rFont val="Times New Roman"/>
        <family val="1"/>
        <charset val="204"/>
      </rPr>
      <t>1460321811Л), мужчины</t>
    </r>
  </si>
  <si>
    <r>
      <t>Апноэ - скоростное 100 м (</t>
    </r>
    <r>
      <rPr>
        <b/>
        <u/>
        <sz val="10"/>
        <color theme="1"/>
        <rFont val="Times New Roman"/>
        <family val="1"/>
        <charset val="204"/>
      </rPr>
      <t>1460211811Л), мужчины</t>
    </r>
  </si>
  <si>
    <t>Др. межд-ные</t>
  </si>
  <si>
    <t>Чемпионат России</t>
  </si>
  <si>
    <t>Финал Кубка России</t>
  </si>
  <si>
    <t>Первенство России</t>
  </si>
  <si>
    <t>Сор-ния ЕКП</t>
  </si>
  <si>
    <t>Чемпионат фед-го округа,гг. Москва, С-Петербург</t>
  </si>
  <si>
    <t>Чемпионат Субъекта</t>
  </si>
  <si>
    <t>Кубок Субъекта</t>
  </si>
  <si>
    <t>Официальные сор-ния Муниципального образования</t>
  </si>
  <si>
    <t xml:space="preserve"> </t>
  </si>
  <si>
    <t>S</t>
  </si>
  <si>
    <t>Выполнили:</t>
  </si>
  <si>
    <t>Подтвердили:</t>
  </si>
  <si>
    <t>метры</t>
  </si>
  <si>
    <t>Апноэ - ныряние в глубину</t>
  </si>
  <si>
    <t>Апноэ - ныряние в глубину в классических ластах</t>
  </si>
  <si>
    <t>Апноэ - ныряние в глубину в ластах</t>
  </si>
  <si>
    <t>Автохронометраж</t>
  </si>
  <si>
    <t>Ручной хронометраж</t>
  </si>
  <si>
    <t>технических результатов</t>
  </si>
  <si>
    <t>П Р О Т О К О Л</t>
  </si>
  <si>
    <t>Красноярск</t>
  </si>
  <si>
    <t>Врач</t>
  </si>
  <si>
    <r>
      <t>Апноэ - динамическое в классических ластах (</t>
    </r>
    <r>
      <rPr>
        <b/>
        <u/>
        <sz val="10"/>
        <color theme="1"/>
        <rFont val="Times New Roman"/>
        <family val="1"/>
        <charset val="204"/>
      </rPr>
      <t>1460161811Л), мужчины</t>
    </r>
  </si>
  <si>
    <r>
      <t>Апноэ - динамическое в классических ластах (</t>
    </r>
    <r>
      <rPr>
        <b/>
        <u/>
        <sz val="10"/>
        <color theme="1"/>
        <rFont val="Times New Roman"/>
        <family val="1"/>
        <charset val="204"/>
      </rPr>
      <t>1460161811Л), женщины</t>
    </r>
  </si>
  <si>
    <r>
      <t>Апноэ - 16 раз х 50м (</t>
    </r>
    <r>
      <rPr>
        <b/>
        <u/>
        <sz val="10"/>
        <color theme="1"/>
        <rFont val="Times New Roman"/>
        <family val="1"/>
        <charset val="204"/>
      </rPr>
      <t>1460371811Л), женщины</t>
    </r>
  </si>
  <si>
    <t>Чемпионат, Кубок мира</t>
  </si>
  <si>
    <t>Чемпионат, Кубок Европы</t>
  </si>
  <si>
    <r>
      <t>Апноэ - динамическое в классических ластах (</t>
    </r>
    <r>
      <rPr>
        <b/>
        <u/>
        <sz val="10"/>
        <color theme="1"/>
        <rFont val="Times New Roman"/>
        <family val="1"/>
        <charset val="204"/>
      </rPr>
      <t>1460161811Л), женщины, мужчины</t>
    </r>
  </si>
  <si>
    <r>
      <t>Апноэ - 16 раз х 50м (</t>
    </r>
    <r>
      <rPr>
        <b/>
        <u/>
        <sz val="10"/>
        <color theme="1"/>
        <rFont val="Times New Roman"/>
        <family val="1"/>
        <charset val="204"/>
      </rPr>
      <t>1460371811Л), женщины, мужчины</t>
    </r>
  </si>
  <si>
    <t>Марафонский заплыв в ластах 6 км (1460201811Я), женщины, мужчины</t>
  </si>
  <si>
    <r>
      <t>Апноэ - квадрат (</t>
    </r>
    <r>
      <rPr>
        <b/>
        <u/>
        <sz val="10"/>
        <color theme="1"/>
        <rFont val="Times New Roman"/>
        <family val="1"/>
        <charset val="204"/>
      </rPr>
      <t>1460331811Л), женщины, мужчины</t>
    </r>
  </si>
  <si>
    <r>
      <t>Акватлон (</t>
    </r>
    <r>
      <rPr>
        <b/>
        <u/>
        <sz val="10"/>
        <color theme="1"/>
        <rFont val="Times New Roman"/>
        <family val="1"/>
        <charset val="204"/>
      </rPr>
      <t>1460281811Л), женщины, мужчины</t>
    </r>
  </si>
  <si>
    <r>
      <t>Апноэ - статическое (</t>
    </r>
    <r>
      <rPr>
        <b/>
        <u/>
        <sz val="10"/>
        <color theme="1"/>
        <rFont val="Times New Roman"/>
        <family val="1"/>
        <charset val="204"/>
      </rPr>
      <t>1460341811Л), женщины, мужчины</t>
    </r>
  </si>
  <si>
    <r>
      <t>Дайвинг ночной (</t>
    </r>
    <r>
      <rPr>
        <b/>
        <u/>
        <sz val="10"/>
        <color theme="1"/>
        <rFont val="Times New Roman"/>
        <family val="1"/>
        <charset val="204"/>
      </rPr>
      <t>1460351811Л), женщины, мужчины</t>
    </r>
  </si>
  <si>
    <t>Ориентирование</t>
  </si>
  <si>
    <t>Подводная охота</t>
  </si>
  <si>
    <t>Первентво мира марафон</t>
  </si>
  <si>
    <t>Первентво Европы марафон</t>
  </si>
  <si>
    <t>Первенство фед-го округа,гг. Москва, С-Петербург</t>
  </si>
  <si>
    <t>Официальные сор-ния субъекта (14-17 лет)</t>
  </si>
  <si>
    <t>Официальные сор-ния субъекта 18 и ст.</t>
  </si>
  <si>
    <t>Первенство Муниципального образования</t>
  </si>
  <si>
    <r>
      <t xml:space="preserve">Первенство Европы </t>
    </r>
    <r>
      <rPr>
        <b/>
        <sz val="10"/>
        <color rgb="FF0070C0"/>
        <rFont val="Times New Roman"/>
        <family val="1"/>
        <charset val="204"/>
      </rPr>
      <t>марафон</t>
    </r>
  </si>
  <si>
    <r>
      <t xml:space="preserve">Первентво мира </t>
    </r>
    <r>
      <rPr>
        <b/>
        <sz val="10"/>
        <color rgb="FF0070C0"/>
        <rFont val="Times New Roman"/>
        <family val="1"/>
        <charset val="204"/>
      </rPr>
      <t>марафон</t>
    </r>
  </si>
  <si>
    <r>
      <t xml:space="preserve">Др. юниорские межд-ные </t>
    </r>
    <r>
      <rPr>
        <b/>
        <sz val="10"/>
        <color rgb="FF0070C0"/>
        <rFont val="Times New Roman"/>
        <family val="1"/>
        <charset val="204"/>
      </rPr>
      <t>марафон</t>
    </r>
  </si>
  <si>
    <t>Плавание в классических ластах- 400 м (1460411811Я),  женщины</t>
  </si>
  <si>
    <t>Плавание в классических ластах- 400 м (1460411811Я),  мужчины</t>
  </si>
  <si>
    <t>Количество команд</t>
  </si>
  <si>
    <t>ССВК</t>
  </si>
  <si>
    <t>СС1К</t>
  </si>
  <si>
    <t>Подводное плавание - 200 м (),  женщины</t>
  </si>
  <si>
    <t>Подводное плавание - 200 м (),  мужчины</t>
  </si>
  <si>
    <r>
      <t>Апноэ - 16 раз х 50м (</t>
    </r>
    <r>
      <rPr>
        <b/>
        <u/>
        <sz val="10"/>
        <color theme="1"/>
        <rFont val="Times New Roman"/>
        <family val="1"/>
        <charset val="204"/>
      </rPr>
      <t>1460371811Л), мужчины</t>
    </r>
  </si>
  <si>
    <r>
      <t>Апноэ - 8 раз х 50м (</t>
    </r>
    <r>
      <rPr>
        <b/>
        <u/>
        <sz val="10"/>
        <color theme="1"/>
        <rFont val="Times New Roman"/>
        <family val="1"/>
        <charset val="204"/>
      </rPr>
      <t>1460371811Л), женщины</t>
    </r>
  </si>
  <si>
    <r>
      <t>Апноэ - 8 раз х 50м (</t>
    </r>
    <r>
      <rPr>
        <b/>
        <u/>
        <sz val="10"/>
        <color theme="1"/>
        <rFont val="Times New Roman"/>
        <family val="1"/>
        <charset val="204"/>
      </rPr>
      <t>1460371811Л), мужчины</t>
    </r>
  </si>
  <si>
    <t>Кочнева А.Р.</t>
  </si>
  <si>
    <t>Дианема г. Красноярск</t>
  </si>
  <si>
    <t>Т.В. Лучискенс</t>
  </si>
  <si>
    <t>Лучискенс Татьяна Викторовна</t>
  </si>
  <si>
    <t>Лучискенс Т.В.</t>
  </si>
  <si>
    <t>Катран г. Красноярск</t>
  </si>
  <si>
    <t>Ачинск</t>
  </si>
  <si>
    <t>В.В. Зимнухова</t>
  </si>
  <si>
    <t>С.П.Симановская</t>
  </si>
  <si>
    <t>Муниципальное бюджетное учреждение "Комплексная спортивная школа" города Ачинска</t>
  </si>
  <si>
    <t>Главный судья соревнований, судья второй категории</t>
  </si>
  <si>
    <t>Главный секретарь соревнований, судья Всероссийской категории</t>
  </si>
  <si>
    <t>г. Ачинск, плавательный бассейн "Нептун" МБУ "ГСК "Олимп", 25 м</t>
  </si>
  <si>
    <t>Мохно Андрей Николаевна</t>
  </si>
  <si>
    <t>СС2К</t>
  </si>
  <si>
    <t>Симановская Светлана Петровна</t>
  </si>
  <si>
    <t>СС</t>
  </si>
  <si>
    <t>Зимнухова Виктория Валерьевна</t>
  </si>
  <si>
    <t>Старший судья по награждению</t>
  </si>
  <si>
    <t>Ермолаева Софья Егоровна</t>
  </si>
  <si>
    <t>DSQ</t>
  </si>
  <si>
    <t>Судья при участниках</t>
  </si>
  <si>
    <t>ДВС СибГУ г. Красноярск</t>
  </si>
  <si>
    <t>Носырева Диана Константиновна</t>
  </si>
  <si>
    <t>Янченко Варвара Андреевна</t>
  </si>
  <si>
    <t>Судья на дистанции</t>
  </si>
  <si>
    <t>Краевец Тамара Александровна</t>
  </si>
  <si>
    <t>КСШ г. Ачинск</t>
  </si>
  <si>
    <t>Фалеева Е. А. Ермолаева С. Е.</t>
  </si>
  <si>
    <t>Колупаев Богдан Юрьевич</t>
  </si>
  <si>
    <t>Яковлева Татьяна Владимировна</t>
  </si>
  <si>
    <t>А.Н. Мохно</t>
  </si>
  <si>
    <t>Плавание в классических ластах- 50 м (1460241811Я),  девушки 2013-2014 г.р.</t>
  </si>
  <si>
    <t>Плавание в классических ластах- 50 м (1460241811Я),  юноши 2013-2014 г.р.</t>
  </si>
  <si>
    <t>Плавание в ластах - 100 м (1460091811Я), девушки 2013-2014 г.р.</t>
  </si>
  <si>
    <t>Плавание в ластах - 100 м (1460091811Я),  юноши  2013-2014 г.р.</t>
  </si>
  <si>
    <t>Плавание в классических ластах- 200 м (1460261811Я),  девушки 2013-2014 г.р.</t>
  </si>
  <si>
    <t>Плавание в классических ластах- 200 м (1460261811Я), юноши 2013-2014 г.р.</t>
  </si>
  <si>
    <t>Плавание в ластах - 400 м (1460111811Я),  девушки 2013-2014 г.р.</t>
  </si>
  <si>
    <t>Плавание в ластах - 400 м (1460111811Я),  юноши 2013-2014 г.р.</t>
  </si>
  <si>
    <t>Плавание в классических ластах- 100 м (1460251811Я),  девушки 2013-2014 г.р.</t>
  </si>
  <si>
    <t>Плавание в классических ластах- 100 м (1460251811Я),  юноши 2013-2014 г.р.</t>
  </si>
  <si>
    <t>Плавание в классических ластах- 400 м (1460411811Я), девушки 2013-2014 г.р.</t>
  </si>
  <si>
    <t>Плавание в классических ластах- 400 м (1460411811Я), юноши 2013-2014 г.р.</t>
  </si>
  <si>
    <t>Плавание в ластах - 200 м (1460101811Я), девушки 2013-2014 г.р.</t>
  </si>
  <si>
    <t>Плавание в ластах - 200 м (1460101811Я), юноши 2013-2014 г.р.</t>
  </si>
  <si>
    <t>Плавание в ластах - 50 м (1460081811Я), девушки 2013-2014 г.р.</t>
  </si>
  <si>
    <t>Плавание в ластах - 50 м (1460081811Я), юноши 2013-2014 г.р.</t>
  </si>
  <si>
    <t>Плавание в классических ластах- 50 м (1460241811Я),  девушки 2015-2016 г.р.</t>
  </si>
  <si>
    <t>Плавание в классических ластах- 50 м (1460241811Я), юноши 2015-2016 г.р.</t>
  </si>
  <si>
    <t>Плавание в ластах - 100 м (1460091811Я),  девушки 2015-2016 г.р.</t>
  </si>
  <si>
    <t>Плавание в классических ластах- 200 м (1460261811Я),  девушки 2015-2016 г.р.</t>
  </si>
  <si>
    <t>Плавание в классических ластах- 200 м (1460261811Я), юноши 2015-2016 г.р.</t>
  </si>
  <si>
    <t>Плавание в ластах - 100 м (1460091811Я),  юноши  2015-2016 г.р.</t>
  </si>
  <si>
    <t>Плавание в классических ластах- 100 м (1460251811Я),  девушки 2015-2016 г.р.</t>
  </si>
  <si>
    <t>Плавание в классических ластах- 100 м (1460251811Я),  юноши 2015-2016 г.р.</t>
  </si>
  <si>
    <t>Плавание в ластах - 200 м (1460101811Я), девушки 2015-2016 г.р.</t>
  </si>
  <si>
    <t>Плавание в ластах - 200 м (1460101811Я), юноши 2015-2016 г.р.</t>
  </si>
  <si>
    <t>Плавание в ластах - 50 м (1460081811Я), девушки 2015-2016 г.р.</t>
  </si>
  <si>
    <t>Плавание в ластах - 50 м (1460081811Я), юноши 2015-2016 г.р.</t>
  </si>
  <si>
    <t>Плавание в классических ластах- 50 м (1460241811Я),  девушки 2017 г.р. и младше</t>
  </si>
  <si>
    <t>Плавание в ластах - 100 м (1460091811Я), девушки 2017 г.р. и младше</t>
  </si>
  <si>
    <t>Плавание в ластах - 100 м (1460091811Я), юноши 2017 г.р. и младше</t>
  </si>
  <si>
    <t>Плавание в классических ластах- 100 м (1460251811Я),  девушки 2017 г.р. и младше</t>
  </si>
  <si>
    <t>Плавание в классических ластах- 100 м (1460251811Я),  юноши 2017 г.р. и младше</t>
  </si>
  <si>
    <t>Плавание в ластах - 50 м (1460081811Я), девушки 2017 г.р. и младше</t>
  </si>
  <si>
    <t>Плавание в ластах - 50 м (1460081811Я), юноши 2017 г.р. и младше</t>
  </si>
  <si>
    <t>МКУ "Комитет по физической культуре и спорту"</t>
  </si>
  <si>
    <t>Макотрин Владимир Владимирович</t>
  </si>
  <si>
    <t>Купреева Дарья Федоровна</t>
  </si>
  <si>
    <t>Габдулхаев Максим Евгеньевич</t>
  </si>
  <si>
    <t>СС3К</t>
  </si>
  <si>
    <t>Головашко Алёна Андреевна</t>
  </si>
  <si>
    <t>И.Г.Сбродов</t>
  </si>
  <si>
    <t>МАУ ДО "СШ" г. Сосновоборска</t>
  </si>
  <si>
    <t>Крутяков А.В.</t>
  </si>
  <si>
    <t>Бабаев Федор Игоревич</t>
  </si>
  <si>
    <t>Бабаев Ф. И.</t>
  </si>
  <si>
    <t>Гришакова Варвара Андреевна</t>
  </si>
  <si>
    <t>Баранова Варвара Егоровна</t>
  </si>
  <si>
    <t>Неткачева Арина Алексеевна</t>
  </si>
  <si>
    <t>Демидова Анастасия Евгеньевна</t>
  </si>
  <si>
    <t>Слипченко Полина Дмитриевна</t>
  </si>
  <si>
    <t>Гора Арина Артёмовна</t>
  </si>
  <si>
    <t>Самойлова Юлия Александровна</t>
  </si>
  <si>
    <t>Романова Дарья Артёмовна</t>
  </si>
  <si>
    <t>Емельянов Иван Алексеевич</t>
  </si>
  <si>
    <t>Кисляк Антон Павлович</t>
  </si>
  <si>
    <t>Курчевский Антон Максимович</t>
  </si>
  <si>
    <t>Клопченко Максим Алексеевич</t>
  </si>
  <si>
    <t>Капитонов Игнат Артёмович</t>
  </si>
  <si>
    <t>Жижов Матвей Андреевич</t>
  </si>
  <si>
    <t>Фёдоров Вячеслав Романович</t>
  </si>
  <si>
    <t>Высоцкий Семён Алексеевич</t>
  </si>
  <si>
    <t>Андреев Михаил Антонович</t>
  </si>
  <si>
    <t>Чемезов Дмитрий Геннадьевич</t>
  </si>
  <si>
    <t>Горбачев Роман Михайлович</t>
  </si>
  <si>
    <t>Макаров Владимир Григорьевич</t>
  </si>
  <si>
    <t>Антипов Влад Сергеевич</t>
  </si>
  <si>
    <t>Тесленко Дмитрий Юрьевич</t>
  </si>
  <si>
    <t>Деревцов Марк Игоревич</t>
  </si>
  <si>
    <t>Вострецов Александр Павлович</t>
  </si>
  <si>
    <t>Маркова Мария Андреевна</t>
  </si>
  <si>
    <t>Демидова Екатерина Дмитриевна</t>
  </si>
  <si>
    <t>Казанцева Надежда Алексеевна</t>
  </si>
  <si>
    <t>Кузнецова Мария Сергеевна</t>
  </si>
  <si>
    <t>Ефимова Диана Александровна</t>
  </si>
  <si>
    <t>Кошелева Яна Максимовна</t>
  </si>
  <si>
    <t>Рохманько Алиса Ивановна</t>
  </si>
  <si>
    <t>Кузнецова Лиана Сергеевна</t>
  </si>
  <si>
    <t>Шаповалова Милана Денисовна</t>
  </si>
  <si>
    <t>Станишевская Майа Арсеньевна</t>
  </si>
  <si>
    <t>Пономарева Милана Викторовна</t>
  </si>
  <si>
    <t>Васильева Мирослава Ильинична</t>
  </si>
  <si>
    <t>Чеурина Елизавета Дмитриевна</t>
  </si>
  <si>
    <t>Самусева Мария Вячеславовна</t>
  </si>
  <si>
    <t>Носкова Варвара Евгеньевна</t>
  </si>
  <si>
    <t>Нахват Прохор Алексеевич</t>
  </si>
  <si>
    <t>Скворцов Бронислав Георгиевич</t>
  </si>
  <si>
    <t>Юрьев Владимир Сергеевич</t>
  </si>
  <si>
    <t>Борецкий Михаил Владимирович</t>
  </si>
  <si>
    <t>Давыдов Данил Константинович</t>
  </si>
  <si>
    <t>Соловьёв Алексей Олегович</t>
  </si>
  <si>
    <t>Хайдуков Михаил Евгеньевич</t>
  </si>
  <si>
    <t>Панов Глеб Владимирович</t>
  </si>
  <si>
    <t>Чумаков Семён Евгеньевич</t>
  </si>
  <si>
    <t>Яровой Мирон Дмитриевич</t>
  </si>
  <si>
    <t>Короюбейников Иван Александрович</t>
  </si>
  <si>
    <t>Малько Александр Денисович</t>
  </si>
  <si>
    <t>Черкасов Андрей Сергеевич</t>
  </si>
  <si>
    <t>Лесков Матвей Юрьевич</t>
  </si>
  <si>
    <t>Личман Захар Антонович</t>
  </si>
  <si>
    <t>Цицорин Артём Александрович</t>
  </si>
  <si>
    <t>Аневич Тимур Андреевич</t>
  </si>
  <si>
    <t>Чмых Максим Алексеевич</t>
  </si>
  <si>
    <t>Стругов Тимофей Павлович</t>
  </si>
  <si>
    <t>Павильч Макар Александрович</t>
  </si>
  <si>
    <t>Схаляхов Марат Рустамович</t>
  </si>
  <si>
    <t>Пухов Степан Станиславович</t>
  </si>
  <si>
    <t>Панов Добрыня Никитич</t>
  </si>
  <si>
    <t>Ускова Ульяна Максимовна</t>
  </si>
  <si>
    <t>Еремеева Радмила Павловна</t>
  </si>
  <si>
    <t>Шилова Алина Максимовна</t>
  </si>
  <si>
    <t>Беллер Елизавете Сергеевна</t>
  </si>
  <si>
    <t>Рублева Алина Витальевна</t>
  </si>
  <si>
    <t>Стрижева Арина Михайловна</t>
  </si>
  <si>
    <t>Иванова Василиса Дмитриевна</t>
  </si>
  <si>
    <t>ЛеоньтьеваАнна Юрьевна</t>
  </si>
  <si>
    <t>Никитенко Элина Вячеславовна</t>
  </si>
  <si>
    <t>Скребкова Елизавета Александровна</t>
  </si>
  <si>
    <t>Пуненкова Снежанна Денисовна</t>
  </si>
  <si>
    <t>Шатикова Татьяна Владимировна</t>
  </si>
  <si>
    <t>Петровcкая Мария Владиславовна</t>
  </si>
  <si>
    <t>Белова Дарья Андреевна</t>
  </si>
  <si>
    <t>Шали Диана Евгеньевна</t>
  </si>
  <si>
    <t>Хуторская Дарья Семеновна</t>
  </si>
  <si>
    <t>Вальд Елена Евгеньевна</t>
  </si>
  <si>
    <t>Домникова Анастасия Александровна</t>
  </si>
  <si>
    <t>Луцишина Виктория Витальевна</t>
  </si>
  <si>
    <t>Сбытова Кристина Сергеевна</t>
  </si>
  <si>
    <t>Самсонова Алёна Андреевна</t>
  </si>
  <si>
    <t>Мазаник Александра Павловна</t>
  </si>
  <si>
    <t>Корзун Алина Сергеевна</t>
  </si>
  <si>
    <t>Стрижова Дарья Михайловна</t>
  </si>
  <si>
    <t>Слободчикова Анастасия Максимовна</t>
  </si>
  <si>
    <t>Колтыга Ксения Леонидовна</t>
  </si>
  <si>
    <t>Ботова Екатерина Анатольевна</t>
  </si>
  <si>
    <t>Александрова Ангелина Антоновна</t>
  </si>
  <si>
    <t>Попов Никита Александрович</t>
  </si>
  <si>
    <t>Серкин Сергей Евгеньевич</t>
  </si>
  <si>
    <t>Шорин Дмитрий Владимирович</t>
  </si>
  <si>
    <t>Половинский Демьян Сергеевич</t>
  </si>
  <si>
    <t>Росляков Егор Денисович</t>
  </si>
  <si>
    <t>Синенко Ярослав Александрович</t>
  </si>
  <si>
    <t>Финашкин Макар Алексеевич</t>
  </si>
  <si>
    <t>Литвин Тимофей Романович</t>
  </si>
  <si>
    <t>Мамон Максим Романович</t>
  </si>
  <si>
    <t>Карпов Егор Романович</t>
  </si>
  <si>
    <t>Яхнов Кирил Николаевич</t>
  </si>
  <si>
    <t>Еремеев Даниил Павлович</t>
  </si>
  <si>
    <t>Рудь Арсений Константинович</t>
  </si>
  <si>
    <t>Царьков Борис Васильевич</t>
  </si>
  <si>
    <t>Якимович Ромас Дмитриевич</t>
  </si>
  <si>
    <t>Иващенко Илья Александрович</t>
  </si>
  <si>
    <t>Безруков Иван Сергеевич</t>
  </si>
  <si>
    <t>Грюк Арсений Ильич</t>
  </si>
  <si>
    <t>Колтыга Владимир Леонидович</t>
  </si>
  <si>
    <t>Трофимов Артем Алексеевич</t>
  </si>
  <si>
    <t>Ерохин Артем Дмитриевич</t>
  </si>
  <si>
    <t>Чернов Кирилл Олегович</t>
  </si>
  <si>
    <t>Боровский Фёдор Ильич</t>
  </si>
  <si>
    <t>Колмаков Иван Денисович</t>
  </si>
  <si>
    <t>Козлов Кирилл Олегович</t>
  </si>
  <si>
    <t>Свиридов Сергей Сергеевич</t>
  </si>
  <si>
    <t>Щерба Егор Юрьевич</t>
  </si>
  <si>
    <t>Якоби Илья Александрович</t>
  </si>
  <si>
    <t>Богатырев Матвей Олегович</t>
  </si>
  <si>
    <t>Савин Дмитрий Игоревич</t>
  </si>
  <si>
    <t>Тимошенко Константин Витальевич</t>
  </si>
  <si>
    <t>Калинин Вячеслав Александрович</t>
  </si>
  <si>
    <t>Килин Никита Евгеньевич</t>
  </si>
  <si>
    <t>Масловский Ярослав Денисович</t>
  </si>
  <si>
    <t>Степанков Максим Александрович</t>
  </si>
  <si>
    <t>Немченко  Александр Русланович</t>
  </si>
  <si>
    <t>Плякина Елизавета Игоревна</t>
  </si>
  <si>
    <t>Чучалова Ксения Павловна</t>
  </si>
  <si>
    <t>Похабова Виктория Семеновна</t>
  </si>
  <si>
    <t>Ивашко Федор Алексеевич</t>
  </si>
  <si>
    <t xml:space="preserve">Виноградова Арина Максимовна </t>
  </si>
  <si>
    <t xml:space="preserve">Пустоватова София Евгеньевна </t>
  </si>
  <si>
    <t xml:space="preserve">Сугак Алиса Александровна </t>
  </si>
  <si>
    <t xml:space="preserve">Коновалова Ксения Андреевна </t>
  </si>
  <si>
    <t xml:space="preserve">Росс Елизавета Александровна </t>
  </si>
  <si>
    <t xml:space="preserve">Семина Евгения Алексеевна </t>
  </si>
  <si>
    <t>Фартушняк Мирослава Дмитриевна</t>
  </si>
  <si>
    <t>Зайцев Михаил Андреевич</t>
  </si>
  <si>
    <t>Игнатов Владислав Вячеславович</t>
  </si>
  <si>
    <t>Климов Ярослав Евгеньевич</t>
  </si>
  <si>
    <t>Колеснёв Иван Витальевич</t>
  </si>
  <si>
    <t>Кучканов Егор Павлович</t>
  </si>
  <si>
    <t>Молоканов Михаил Иванович</t>
  </si>
  <si>
    <t>Пешков Демид Денисович</t>
  </si>
  <si>
    <t>Юрьев Мирослав Артемович</t>
  </si>
  <si>
    <t>Журавель Дарья Вячеславовна</t>
  </si>
  <si>
    <t>Фризоргер Кира Васильевна</t>
  </si>
  <si>
    <t>Шостина Елена Юрьевна</t>
  </si>
  <si>
    <t>Батырюк Ева Сергеевна</t>
  </si>
  <si>
    <t>Фаткулин Богдан Русланович</t>
  </si>
  <si>
    <t>Токарева Мария Ивановна</t>
  </si>
  <si>
    <t>Журавель Софья Вячеславовна</t>
  </si>
  <si>
    <t>Фабриченко Мария Ильинична</t>
  </si>
  <si>
    <t>Машукова Дарина Дмитриевна</t>
  </si>
  <si>
    <t>Кряжева Маргарита Васильевна</t>
  </si>
  <si>
    <t>Хамозин Никита Владимирович</t>
  </si>
  <si>
    <t>Раводин Иван Антонович</t>
  </si>
  <si>
    <t>Загайнов Михаил Александрович</t>
  </si>
  <si>
    <t xml:space="preserve">Виноградова Варвара Максимовна </t>
  </si>
  <si>
    <t xml:space="preserve">Куранда Мария Андреевна </t>
  </si>
  <si>
    <t xml:space="preserve">Ивашкин Илья Алексеевич </t>
  </si>
  <si>
    <t xml:space="preserve">Клесов Сергей Алексеевич </t>
  </si>
  <si>
    <t xml:space="preserve">Сачек Ярослав Никитич </t>
  </si>
  <si>
    <t>Кисилева Дарья Вадимовна</t>
  </si>
  <si>
    <t>Гутник Максим Александрович</t>
  </si>
  <si>
    <t>Солодкий Александр Вадимович</t>
  </si>
  <si>
    <t>Мылко Александр Александрович</t>
  </si>
  <si>
    <t>Баздникин Михаил Евгеньевич</t>
  </si>
  <si>
    <t>Замятин Эрик Олегович</t>
  </si>
  <si>
    <t>Сакович Макар Дмитриевич</t>
  </si>
  <si>
    <t>Давлеев Дмитрий Артемович</t>
  </si>
  <si>
    <t>Тарасов Всеволод Егорович</t>
  </si>
  <si>
    <t>Сорокин Егор Викторович</t>
  </si>
  <si>
    <t>Тарасов Владимир Егорович</t>
  </si>
  <si>
    <t>Сухой Марк Александрович</t>
  </si>
  <si>
    <t>Санько Леонид Игоревич</t>
  </si>
  <si>
    <t>Членова Анастасия Александровна</t>
  </si>
  <si>
    <t>Валеева Лейсан Каримовна</t>
  </si>
  <si>
    <t>Малакеева Мирослава Вячеславовна</t>
  </si>
  <si>
    <t>Зайцева Ева Евгеньевна</t>
  </si>
  <si>
    <t>Швалова Софья Егоровна</t>
  </si>
  <si>
    <t>Водясова Ксения Романовна</t>
  </si>
  <si>
    <t>Бакшт Стефания Дмитриевна</t>
  </si>
  <si>
    <t>Гончаренко Мирослава Владимировна</t>
  </si>
  <si>
    <t>Щепоткина Лилия Даниловна</t>
  </si>
  <si>
    <t>Некрасова Варвара Евгеньевна</t>
  </si>
  <si>
    <t>Пичугина Мария Евгеньевна</t>
  </si>
  <si>
    <t>Бильдина Есиния Александровна</t>
  </si>
  <si>
    <t>Калабурдина Маргарита Фёдоровна</t>
  </si>
  <si>
    <t>Лесинская Алиса Александровна</t>
  </si>
  <si>
    <t>Сорокина Дарья Александровна</t>
  </si>
  <si>
    <t>Марусенко Артём Александрович</t>
  </si>
  <si>
    <t>Сисько Илья Сергеевич</t>
  </si>
  <si>
    <t>Мясников Матвей Александрович</t>
  </si>
  <si>
    <t>Зуев Кирилл Дмитриевич</t>
  </si>
  <si>
    <t>Абдулхаков Дмитрий Алексеевич</t>
  </si>
  <si>
    <t>Фёдоров Константин Романович</t>
  </si>
  <si>
    <t>Бутылин Макар Денисович</t>
  </si>
  <si>
    <t>Мчедлидзе Давид Тенгизович</t>
  </si>
  <si>
    <t>Кондратьев Вячеслав Александрович</t>
  </si>
  <si>
    <t>Чичаев Вадим Павлович</t>
  </si>
  <si>
    <t>Галиахметов Данила Равильевич</t>
  </si>
  <si>
    <t>Калякин Тимофей Сергеевич</t>
  </si>
  <si>
    <t>Дворников Аким Максимович</t>
  </si>
  <si>
    <t>Мануил Евгений Станиславович</t>
  </si>
  <si>
    <t>Бутылин Фёдор Денисович</t>
  </si>
  <si>
    <t>Антипин Михаил Николаевич</t>
  </si>
  <si>
    <t>Попов Александр Михайлович</t>
  </si>
  <si>
    <t>Савельев Тимофей Павлович</t>
  </si>
  <si>
    <t>Данилов Константин Николаевич</t>
  </si>
  <si>
    <t>Токарев Илья Николаевич</t>
  </si>
  <si>
    <t>Частухина Вера Денисовна</t>
  </si>
  <si>
    <t>Зиборова Ева Александровна</t>
  </si>
  <si>
    <t>Карпова Ксения Романовна</t>
  </si>
  <si>
    <t>Лактисова Екатерина Евгеньевна</t>
  </si>
  <si>
    <t>Марченко Кира Дмитриевна</t>
  </si>
  <si>
    <t>Цыбуля Аделина Дмитриевна</t>
  </si>
  <si>
    <t>Гапонов Тимофей Константинович</t>
  </si>
  <si>
    <t>Лялин Богдан Романович</t>
  </si>
  <si>
    <t>Пауткин Матвей Андреевич</t>
  </si>
  <si>
    <t>Пряников Даниил Максимович</t>
  </si>
  <si>
    <t>Рухлов Артем Михайлович</t>
  </si>
  <si>
    <t>Яковлев Семен Сергеевич</t>
  </si>
  <si>
    <t>Устюгова В.Ю.</t>
  </si>
  <si>
    <t>Петрушков Матвей Александрович</t>
  </si>
  <si>
    <t>Плавание в классических ластах- 100 м (1460251811Я),  девушки 2010-2012 г.р.</t>
  </si>
  <si>
    <t>Плавание в классических ластах- 100 м (1460251811Я),  юноши 2010-2012 г.р.</t>
  </si>
  <si>
    <t>Плавание в классических ластах- 200 м (1460261811Я),  девушки 2010-2012 г.р.</t>
  </si>
  <si>
    <t>Плавание в классических ластах- 200 м (1460261811Я), юноши 2010-2012 г.р.</t>
  </si>
  <si>
    <t>Плавание в классических ластах- 400 м (1460411811Я), девушки 2010-2012 г.р.</t>
  </si>
  <si>
    <t>Плавание в классических ластах- 400 м (1460411811Я), юноши 2010-2012 г.р.</t>
  </si>
  <si>
    <t>Плавание в классических ластах- 50 м (1460241811Я),  девушки 2010-2012 г.р.</t>
  </si>
  <si>
    <t>Плавание в классических ластах- 50 м (1460241811Я), юноши 2010-2012 г.р.</t>
  </si>
  <si>
    <t>Плавание в ластах - 100 м (1460091811Я),  юноши  2010-2012 г.р.</t>
  </si>
  <si>
    <t>Плавание в ластах - 100 м (1460091811Я), девушки 2010-2012 г.р.</t>
  </si>
  <si>
    <t>Плавание в ластах - 200 м (1460101811Я), девушки 2010-2012 г.р.</t>
  </si>
  <si>
    <t>Плавание в ластах - 200 м (1460101811Я), юноши 2010-2012 г.р.</t>
  </si>
  <si>
    <t>Плавание в ластах - 400 м (1460111811Я),  девушки 2010-2012 г.р.</t>
  </si>
  <si>
    <t>Плавание в ластах - 400 м (1460111811Я),  юноши 2010-2012 г.р.</t>
  </si>
  <si>
    <t>Плавание в ластах - 50 м (1460081811Я), девушки  2010-2012 г.р.</t>
  </si>
  <si>
    <t>Плавание в ластах - 50 м (1460081811Я), юноши  2010-2012 г.р.</t>
  </si>
  <si>
    <t>Плавание в классических ластах- 50 м (1460241811Я),  юноши 2017 г.р. и младше</t>
  </si>
  <si>
    <t>Леоньтьева Анна Юрьевна</t>
  </si>
  <si>
    <t>Киселева Дарья Вадимовна</t>
  </si>
  <si>
    <t>Соусканов Артем Евгеньевич</t>
  </si>
  <si>
    <t>Илиенц Денис Максимович</t>
  </si>
  <si>
    <t>Гаджиева Сабина Низамиевна</t>
  </si>
  <si>
    <t xml:space="preserve">Ардашева Кристина Константиновна </t>
  </si>
  <si>
    <t>Фенцель Глеб Александрович</t>
  </si>
  <si>
    <t xml:space="preserve">Открытое первенство МБУ ДО  "КСШ" 
по подводному спорту (плавание в ластах) (1460008511Я),                                                                                       посвященное "Дню Космонавтики" 
среди мальчиков и девочек 2015 г.р. и младше                                                           </t>
  </si>
  <si>
    <t>25-16 апреля 2026г.</t>
  </si>
  <si>
    <t xml:space="preserve">Открытое первенство Ачинского муниципального округа по подводному спорту (плавание в ластах) (1460008511Я)
посвященное "Дню Космонавтики"
юниоры и юниорки (14-17 лет), девушки и юноши (12-13 лет), 
</t>
  </si>
  <si>
    <t>25-26 апреля 2026г.</t>
  </si>
  <si>
    <t xml:space="preserve">С.П. Симановская </t>
  </si>
  <si>
    <t>Михайлова Е.К.</t>
  </si>
  <si>
    <t xml:space="preserve">Сбродов И.Г. </t>
  </si>
  <si>
    <t>Ермолаева С. Е.</t>
  </si>
  <si>
    <t>Фалеева Е. А.</t>
  </si>
  <si>
    <t>Шадрина Валерия Алексеевна</t>
  </si>
  <si>
    <t xml:space="preserve">Незговоров Роман Александрович </t>
  </si>
  <si>
    <t>Шолухо Алина Алексеевна</t>
  </si>
  <si>
    <t>Рублев Владислав</t>
  </si>
  <si>
    <t>Пенкин Максим</t>
  </si>
  <si>
    <t>Сухарев Максим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</si>
</sst>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₽_-;\-* #,##0.00\ _₽_-;_-* &quot;-&quot;??\ _₽_-;_-@_-"/>
    <numFmt numFmtId="164" formatCode="[&gt;9999]##\:##\.#0.00;[&gt;99]##\.#0.00;#0.00"/>
    <numFmt numFmtId="165" formatCode="000"/>
    <numFmt numFmtId="166" formatCode="mm:ss.0;@"/>
    <numFmt numFmtId="167" formatCode="_-* #,##0.0\ _₽_-;\-* #,##0.0\ _₽_-;_-* &quot;-&quot;??\ _₽_-;_-@_-"/>
    <numFmt numFmtId="168" formatCode="dd\.mm\.yyyy"/>
    <numFmt numFmtId="169" formatCode="[&gt;9999]##\:##\:#0.00;[&gt;99]0#\:#0.00;00#\:#0.00"/>
  </numFmts>
  <fonts count="6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</font>
    <font>
      <b/>
      <i/>
      <sz val="11"/>
      <name val="Calibri"/>
      <family val="2"/>
      <charset val="204"/>
      <scheme val="minor"/>
    </font>
    <font>
      <b/>
      <u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4"/>
      <name val="Times New Roman"/>
      <family val="1"/>
    </font>
    <font>
      <sz val="10"/>
      <color rgb="FFC00000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70C0"/>
      <name val="Times New Roman"/>
      <family val="1"/>
      <charset val="204"/>
    </font>
    <font>
      <sz val="14"/>
      <name val="Times New Roman Cyr"/>
      <charset val="204"/>
    </font>
    <font>
      <b/>
      <sz val="11"/>
      <color rgb="FF7030A0"/>
      <name val="Times New Roman"/>
      <family val="1"/>
      <charset val="204"/>
    </font>
    <font>
      <b/>
      <u/>
      <sz val="10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name val="Symbol"/>
      <family val="1"/>
      <charset val="2"/>
    </font>
    <font>
      <i/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6" fillId="0" borderId="0"/>
    <xf numFmtId="0" fontId="37" fillId="0" borderId="0"/>
    <xf numFmtId="43" fontId="43" fillId="0" borderId="0" applyFont="0" applyFill="0" applyBorder="0" applyAlignment="0" applyProtection="0"/>
    <xf numFmtId="0" fontId="45" fillId="0" borderId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</cellStyleXfs>
  <cellXfs count="271"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2" fontId="6" fillId="0" borderId="0" xfId="0" applyNumberFormat="1" applyFont="1" applyFill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Fill="1"/>
    <xf numFmtId="0" fontId="16" fillId="0" borderId="0" xfId="0" applyFont="1" applyAlignment="1">
      <alignment vertical="center"/>
    </xf>
    <xf numFmtId="0" fontId="19" fillId="0" borderId="1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3" fillId="0" borderId="9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7" fillId="0" borderId="0" xfId="0" applyFont="1"/>
    <xf numFmtId="0" fontId="0" fillId="0" borderId="0" xfId="0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164" fontId="10" fillId="0" borderId="0" xfId="0" applyNumberFormat="1" applyFont="1" applyAlignment="1">
      <alignment horizontal="right"/>
    </xf>
    <xf numFmtId="0" fontId="10" fillId="0" borderId="0" xfId="0" applyFont="1"/>
    <xf numFmtId="165" fontId="10" fillId="0" borderId="0" xfId="0" applyNumberFormat="1" applyFont="1"/>
    <xf numFmtId="0" fontId="30" fillId="0" borderId="0" xfId="0" applyFont="1" applyAlignment="1">
      <alignment horizontal="left"/>
    </xf>
    <xf numFmtId="164" fontId="11" fillId="0" borderId="0" xfId="0" applyNumberFormat="1" applyFont="1"/>
    <xf numFmtId="0" fontId="11" fillId="0" borderId="0" xfId="0" applyFont="1" applyAlignment="1">
      <alignment horizontal="center" vertical="center" wrapText="1"/>
    </xf>
    <xf numFmtId="0" fontId="26" fillId="0" borderId="0" xfId="0" applyFont="1"/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42" fillId="0" borderId="0" xfId="0" applyFont="1"/>
    <xf numFmtId="167" fontId="10" fillId="0" borderId="0" xfId="3" applyNumberFormat="1" applyFont="1" applyFill="1" applyAlignment="1">
      <alignment horizontal="right" vertical="center"/>
    </xf>
    <xf numFmtId="0" fontId="10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164" fontId="25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164" fontId="41" fillId="6" borderId="0" xfId="0" applyNumberFormat="1" applyFont="1" applyFill="1" applyAlignment="1">
      <alignment horizontal="center" vertical="center" wrapText="1"/>
    </xf>
    <xf numFmtId="0" fontId="41" fillId="0" borderId="0" xfId="0" applyFont="1"/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/>
    <xf numFmtId="164" fontId="46" fillId="6" borderId="0" xfId="0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164" fontId="30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0" fontId="47" fillId="6" borderId="0" xfId="0" applyFont="1" applyFill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right" vertical="center" wrapText="1"/>
    </xf>
    <xf numFmtId="0" fontId="48" fillId="6" borderId="0" xfId="0" applyFont="1" applyFill="1" applyAlignment="1">
      <alignment horizontal="center" vertical="center"/>
    </xf>
    <xf numFmtId="164" fontId="40" fillId="0" borderId="0" xfId="0" applyNumberFormat="1" applyFont="1" applyAlignment="1">
      <alignment horizontal="right" vertical="center" wrapText="1"/>
    </xf>
    <xf numFmtId="164" fontId="40" fillId="0" borderId="0" xfId="0" applyNumberFormat="1" applyFont="1" applyAlignment="1">
      <alignment horizontal="center" vertical="center"/>
    </xf>
    <xf numFmtId="164" fontId="49" fillId="0" borderId="0" xfId="0" applyNumberFormat="1" applyFont="1" applyAlignment="1">
      <alignment horizontal="right" vertical="center" wrapText="1"/>
    </xf>
    <xf numFmtId="164" fontId="49" fillId="0" borderId="0" xfId="0" applyNumberFormat="1" applyFont="1" applyAlignment="1">
      <alignment horizontal="center" vertical="center"/>
    </xf>
    <xf numFmtId="0" fontId="49" fillId="0" borderId="0" xfId="0" applyFont="1"/>
    <xf numFmtId="166" fontId="49" fillId="0" borderId="0" xfId="0" applyNumberFormat="1" applyFont="1" applyAlignment="1">
      <alignment horizontal="center" vertical="center" wrapText="1"/>
    </xf>
    <xf numFmtId="166" fontId="28" fillId="0" borderId="0" xfId="0" applyNumberFormat="1" applyFont="1" applyAlignment="1">
      <alignment horizontal="center" vertical="center" wrapText="1"/>
    </xf>
    <xf numFmtId="49" fontId="28" fillId="0" borderId="0" xfId="0" applyNumberFormat="1" applyFont="1" applyAlignment="1">
      <alignment horizontal="center" vertical="center" wrapText="1"/>
    </xf>
    <xf numFmtId="0" fontId="48" fillId="6" borderId="0" xfId="0" applyFont="1" applyFill="1"/>
    <xf numFmtId="49" fontId="4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7" fillId="6" borderId="0" xfId="0" applyFont="1" applyFill="1" applyAlignment="1">
      <alignment vertical="center"/>
    </xf>
    <xf numFmtId="164" fontId="10" fillId="3" borderId="0" xfId="0" applyNumberFormat="1" applyFont="1" applyFill="1" applyAlignment="1">
      <alignment horizontal="right" vertical="center" wrapText="1"/>
    </xf>
    <xf numFmtId="164" fontId="10" fillId="3" borderId="10" xfId="0" applyNumberFormat="1" applyFont="1" applyFill="1" applyBorder="1" applyAlignment="1">
      <alignment horizontal="right" vertical="center" wrapText="1"/>
    </xf>
    <xf numFmtId="164" fontId="48" fillId="6" borderId="0" xfId="0" applyNumberFormat="1" applyFont="1" applyFill="1" applyAlignment="1">
      <alignment horizontal="center" vertical="center"/>
    </xf>
    <xf numFmtId="47" fontId="28" fillId="0" borderId="0" xfId="0" applyNumberFormat="1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48" fillId="0" borderId="0" xfId="0" applyFont="1"/>
    <xf numFmtId="0" fontId="30" fillId="2" borderId="0" xfId="0" applyFont="1" applyFill="1" applyAlignment="1">
      <alignment horizontal="left"/>
    </xf>
    <xf numFmtId="0" fontId="11" fillId="2" borderId="0" xfId="0" applyFont="1" applyFill="1"/>
    <xf numFmtId="0" fontId="24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164" fontId="48" fillId="0" borderId="0" xfId="0" applyNumberFormat="1" applyFont="1" applyAlignment="1">
      <alignment horizontal="center" vertical="center"/>
    </xf>
    <xf numFmtId="0" fontId="16" fillId="0" borderId="0" xfId="0" applyNumberFormat="1" applyFont="1" applyBorder="1" applyAlignment="1">
      <alignment horizontal="center" vertical="center"/>
    </xf>
    <xf numFmtId="0" fontId="27" fillId="0" borderId="0" xfId="0" applyFont="1" applyBorder="1"/>
    <xf numFmtId="0" fontId="10" fillId="0" borderId="0" xfId="0" applyFont="1" applyFill="1" applyBorder="1" applyAlignment="1">
      <alignment horizontal="left" vertical="center" wrapText="1" indent="1"/>
    </xf>
    <xf numFmtId="2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29" fillId="0" borderId="0" xfId="0" applyFont="1" applyAlignment="1">
      <alignment horizontal="center"/>
    </xf>
    <xf numFmtId="0" fontId="9" fillId="0" borderId="0" xfId="0" applyFont="1" applyFill="1" applyBorder="1" applyAlignment="1">
      <alignment horizontal="left" vertical="center"/>
    </xf>
    <xf numFmtId="2" fontId="9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32" fillId="0" borderId="0" xfId="0" applyFont="1" applyBorder="1"/>
    <xf numFmtId="0" fontId="18" fillId="0" borderId="0" xfId="0" applyFont="1" applyFill="1" applyBorder="1" applyAlignment="1">
      <alignment horizontal="left" vertical="center"/>
    </xf>
    <xf numFmtId="0" fontId="32" fillId="0" borderId="0" xfId="0" applyFont="1" applyBorder="1" applyAlignment="1">
      <alignment vertical="center"/>
    </xf>
    <xf numFmtId="0" fontId="42" fillId="0" borderId="0" xfId="0" applyFont="1" applyAlignment="1">
      <alignment horizontal="center"/>
    </xf>
    <xf numFmtId="2" fontId="6" fillId="0" borderId="0" xfId="0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6" fillId="0" borderId="0" xfId="0" applyFont="1" applyFill="1" applyBorder="1" applyAlignment="1">
      <alignment vertical="center"/>
    </xf>
    <xf numFmtId="14" fontId="16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32" fillId="0" borderId="0" xfId="0" applyFont="1" applyFill="1" applyBorder="1"/>
    <xf numFmtId="0" fontId="16" fillId="0" borderId="0" xfId="0" applyFont="1" applyFill="1" applyBorder="1" applyAlignment="1">
      <alignment horizontal="center"/>
    </xf>
    <xf numFmtId="168" fontId="16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51" fillId="0" borderId="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right" vertical="center"/>
    </xf>
    <xf numFmtId="0" fontId="52" fillId="0" borderId="0" xfId="0" applyFont="1" applyFill="1" applyBorder="1" applyAlignment="1">
      <alignment horizontal="center" vertical="top"/>
    </xf>
    <xf numFmtId="0" fontId="52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vertical="center"/>
    </xf>
    <xf numFmtId="2" fontId="19" fillId="0" borderId="0" xfId="0" applyNumberFormat="1" applyFont="1" applyFill="1" applyBorder="1" applyAlignment="1">
      <alignment horizontal="right" vertical="center"/>
    </xf>
    <xf numFmtId="2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53" fillId="0" borderId="0" xfId="0" applyFont="1"/>
    <xf numFmtId="0" fontId="51" fillId="0" borderId="11" xfId="0" applyFont="1" applyFill="1" applyBorder="1" applyAlignment="1">
      <alignment horizontal="center" vertical="center"/>
    </xf>
    <xf numFmtId="0" fontId="51" fillId="0" borderId="11" xfId="0" applyFont="1" applyFill="1" applyBorder="1" applyAlignment="1">
      <alignment vertical="center"/>
    </xf>
    <xf numFmtId="0" fontId="19" fillId="0" borderId="11" xfId="0" applyFont="1" applyFill="1" applyBorder="1" applyAlignment="1">
      <alignment horizontal="right" vertical="center"/>
    </xf>
    <xf numFmtId="0" fontId="52" fillId="0" borderId="11" xfId="0" applyFont="1" applyBorder="1" applyAlignment="1">
      <alignment horizontal="left" vertical="top"/>
    </xf>
    <xf numFmtId="0" fontId="52" fillId="0" borderId="11" xfId="0" applyFont="1" applyBorder="1" applyAlignment="1">
      <alignment horizontal="center" vertical="top" wrapText="1"/>
    </xf>
    <xf numFmtId="0" fontId="19" fillId="0" borderId="11" xfId="0" applyFont="1" applyFill="1" applyBorder="1" applyAlignment="1">
      <alignment vertical="center"/>
    </xf>
    <xf numFmtId="2" fontId="19" fillId="0" borderId="11" xfId="0" applyNumberFormat="1" applyFont="1" applyFill="1" applyBorder="1" applyAlignment="1">
      <alignment horizontal="right" vertical="center"/>
    </xf>
    <xf numFmtId="2" fontId="19" fillId="0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13" fillId="0" borderId="0" xfId="0" applyFont="1" applyFill="1" applyBorder="1" applyAlignment="1">
      <alignment horizontal="right" vertical="center"/>
    </xf>
    <xf numFmtId="0" fontId="5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164" fontId="5" fillId="4" borderId="0" xfId="0" applyNumberFormat="1" applyFont="1" applyFill="1" applyBorder="1" applyAlignment="1">
      <alignment horizontal="center" vertical="top"/>
    </xf>
    <xf numFmtId="0" fontId="31" fillId="5" borderId="0" xfId="0" applyFont="1" applyFill="1" applyBorder="1" applyAlignment="1">
      <alignment horizontal="center" vertical="top"/>
    </xf>
    <xf numFmtId="0" fontId="31" fillId="0" borderId="0" xfId="0" applyFont="1" applyBorder="1" applyAlignment="1">
      <alignment horizontal="center" vertical="top"/>
    </xf>
    <xf numFmtId="164" fontId="5" fillId="4" borderId="0" xfId="0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53" fillId="0" borderId="0" xfId="0" applyFont="1" applyFill="1"/>
    <xf numFmtId="0" fontId="55" fillId="0" borderId="0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 applyProtection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51" fillId="0" borderId="0" xfId="0" applyFont="1" applyFill="1" applyBorder="1" applyAlignment="1">
      <alignment horizontal="right" vertical="center"/>
    </xf>
    <xf numFmtId="0" fontId="23" fillId="0" borderId="0" xfId="0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2" fontId="3" fillId="0" borderId="9" xfId="0" applyNumberFormat="1" applyFont="1" applyFill="1" applyBorder="1" applyAlignment="1">
      <alignment horizontal="right" vertical="center"/>
    </xf>
    <xf numFmtId="2" fontId="3" fillId="0" borderId="9" xfId="0" applyNumberFormat="1" applyFont="1" applyFill="1" applyBorder="1" applyAlignment="1">
      <alignment horizontal="center" vertical="center"/>
    </xf>
    <xf numFmtId="0" fontId="42" fillId="0" borderId="0" xfId="0" applyFont="1" applyFill="1"/>
    <xf numFmtId="0" fontId="42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2" fontId="12" fillId="0" borderId="0" xfId="0" applyNumberFormat="1" applyFont="1" applyFill="1" applyBorder="1" applyAlignment="1">
      <alignment horizontal="left" vertical="center"/>
    </xf>
    <xf numFmtId="2" fontId="12" fillId="0" borderId="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2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 textRotation="90"/>
    </xf>
    <xf numFmtId="0" fontId="0" fillId="0" borderId="4" xfId="0" applyBorder="1"/>
    <xf numFmtId="0" fontId="9" fillId="0" borderId="4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1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textRotation="90"/>
    </xf>
    <xf numFmtId="0" fontId="56" fillId="0" borderId="0" xfId="0" applyFont="1" applyFill="1" applyAlignment="1">
      <alignment horizontal="right" vertical="center"/>
    </xf>
    <xf numFmtId="0" fontId="57" fillId="0" borderId="0" xfId="0" applyFont="1" applyFill="1"/>
    <xf numFmtId="14" fontId="12" fillId="0" borderId="0" xfId="0" applyNumberFormat="1" applyFont="1" applyFill="1" applyBorder="1" applyAlignment="1">
      <alignment horizontal="center"/>
    </xf>
    <xf numFmtId="169" fontId="16" fillId="0" borderId="0" xfId="0" applyNumberFormat="1" applyFont="1" applyBorder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14" fontId="16" fillId="0" borderId="0" xfId="0" applyNumberFormat="1" applyFont="1" applyBorder="1" applyAlignment="1">
      <alignment horizontal="center"/>
    </xf>
    <xf numFmtId="14" fontId="16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4" fontId="12" fillId="0" borderId="0" xfId="0" applyNumberFormat="1" applyFont="1" applyBorder="1" applyAlignment="1">
      <alignment horizontal="center" vertical="top" wrapText="1"/>
    </xf>
    <xf numFmtId="0" fontId="59" fillId="0" borderId="0" xfId="0" applyFont="1" applyFill="1" applyBorder="1" applyAlignment="1">
      <alignment horizontal="center" vertical="center"/>
    </xf>
    <xf numFmtId="0" fontId="59" fillId="0" borderId="0" xfId="0" applyFont="1" applyBorder="1" applyAlignment="1">
      <alignment horizontal="left" vertical="center"/>
    </xf>
    <xf numFmtId="14" fontId="59" fillId="0" borderId="0" xfId="0" applyNumberFormat="1" applyFont="1" applyBorder="1" applyAlignment="1">
      <alignment horizontal="center" vertical="center" wrapText="1"/>
    </xf>
    <xf numFmtId="169" fontId="59" fillId="0" borderId="0" xfId="0" applyNumberFormat="1" applyFont="1" applyBorder="1" applyAlignment="1">
      <alignment horizontal="center" vertical="center"/>
    </xf>
    <xf numFmtId="14" fontId="59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14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169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" fontId="32" fillId="0" borderId="0" xfId="0" applyNumberFormat="1" applyFont="1" applyBorder="1"/>
    <xf numFmtId="0" fontId="30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" fontId="15" fillId="0" borderId="0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169" fontId="16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vertical="center"/>
    </xf>
    <xf numFmtId="14" fontId="12" fillId="0" borderId="0" xfId="0" applyNumberFormat="1" applyFont="1" applyBorder="1" applyAlignment="1">
      <alignment horizontal="center"/>
    </xf>
    <xf numFmtId="14" fontId="12" fillId="0" borderId="0" xfId="0" applyNumberFormat="1" applyFont="1" applyBorder="1" applyAlignment="1">
      <alignment horizontal="center" vertical="center" wrapText="1"/>
    </xf>
    <xf numFmtId="1" fontId="58" fillId="0" borderId="0" xfId="0" applyNumberFormat="1" applyFont="1" applyBorder="1" applyAlignment="1">
      <alignment horizontal="center"/>
    </xf>
    <xf numFmtId="0" fontId="58" fillId="0" borderId="0" xfId="0" applyFont="1" applyBorder="1"/>
    <xf numFmtId="1" fontId="58" fillId="0" borderId="0" xfId="0" applyNumberFormat="1" applyFont="1" applyBorder="1"/>
    <xf numFmtId="0" fontId="58" fillId="0" borderId="0" xfId="0" applyFont="1" applyBorder="1" applyAlignment="1">
      <alignment horizontal="center"/>
    </xf>
    <xf numFmtId="0" fontId="12" fillId="0" borderId="0" xfId="0" applyFont="1" applyFill="1" applyBorder="1" applyAlignment="1"/>
    <xf numFmtId="168" fontId="12" fillId="0" borderId="0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0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right" vertical="center" wrapText="1"/>
    </xf>
    <xf numFmtId="0" fontId="4" fillId="0" borderId="15" xfId="0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textRotation="90"/>
    </xf>
    <xf numFmtId="0" fontId="5" fillId="0" borderId="15" xfId="0" applyFont="1" applyFill="1" applyBorder="1" applyAlignment="1">
      <alignment horizontal="center" vertical="center" textRotation="90"/>
    </xf>
    <xf numFmtId="0" fontId="5" fillId="0" borderId="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 wrapText="1"/>
    </xf>
    <xf numFmtId="0" fontId="34" fillId="0" borderId="0" xfId="0" applyFont="1" applyFill="1" applyAlignment="1">
      <alignment horizontal="center" vertical="top" wrapText="1"/>
    </xf>
    <xf numFmtId="0" fontId="50" fillId="0" borderId="0" xfId="0" applyFont="1" applyFill="1" applyAlignment="1">
      <alignment horizontal="center" vertical="top" wrapText="1"/>
    </xf>
    <xf numFmtId="0" fontId="41" fillId="0" borderId="0" xfId="0" applyFont="1" applyAlignment="1">
      <alignment horizontal="center"/>
    </xf>
    <xf numFmtId="164" fontId="25" fillId="0" borderId="0" xfId="0" applyNumberFormat="1" applyFont="1" applyAlignment="1">
      <alignment horizontal="center" vertical="center" wrapText="1"/>
    </xf>
  </cellXfs>
  <cellStyles count="8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4" xr:uid="{00000000-0005-0000-0000-000003000000}"/>
    <cellStyle name="Финансовый" xfId="3" builtinId="3"/>
    <cellStyle name="Финансовый 2" xfId="5" xr:uid="{00000000-0005-0000-0000-000005000000}"/>
    <cellStyle name="Финансовый 2 2" xfId="7" xr:uid="{5B5D6311-BF2A-42A3-94A6-9D269C17C7DB}"/>
    <cellStyle name="Финансовый 3" xfId="6" xr:uid="{F730531D-FFF9-4EF3-8EF7-ACD4130B7075}"/>
  </cellStyles>
  <dxfs count="6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 val="0"/>
        <condense val="0"/>
        <extend val="0"/>
        <sz val="11"/>
        <color rgb="FFFFFF00"/>
      </font>
      <fill>
        <patternFill patternType="solid">
          <fgColor rgb="FF993300"/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 val="0"/>
        <condense val="0"/>
        <extend val="0"/>
        <sz val="11"/>
        <color rgb="FFFFFF00"/>
      </font>
      <fill>
        <patternFill patternType="solid">
          <fgColor rgb="FF993300"/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 val="0"/>
        <condense val="0"/>
        <extend val="0"/>
        <sz val="11"/>
        <color rgb="FFFFFF00"/>
      </font>
      <fill>
        <patternFill patternType="solid">
          <fgColor rgb="FF993300"/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9242"/>
      <color rgb="FF0042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58;&#1040;&#1056;&#1058;&#1054;&#1042;&#1067;&#1049;%20&#1055;&#1056;&#1054;&#1058;&#1054;&#1050;&#1054;&#1051;%20&#1055;&#1077;&#1088;&#1074;&#1077;&#1085;&#1089;&#1090;&#1074;&#1086;%20&#1075;.%20&#1040;&#1095;&#1080;&#1085;&#1089;&#1082;&#1072;%20&#1072;&#1087;&#1088;&#1077;&#1083;&#1100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ВЫЙ ксш"/>
      <sheetName val="ИТОГОВЫЙ городские "/>
      <sheetName val="СПИСОК"/>
      <sheetName val="Технические"/>
      <sheetName val="СТАРТОВЫЙ"/>
      <sheetName val="ИТОГОВЫЙ сводный "/>
      <sheetName val="список дистанций"/>
      <sheetName val="Ст. секундометрист"/>
      <sheetName val="Нормативы"/>
      <sheetName val="СП_без предварительных"/>
      <sheetName val="Отчет_ЦСП"/>
      <sheetName val="СП_с предварительными"/>
      <sheetName val="Очки"/>
      <sheetName val="Отчет_ГСК_Первенство"/>
      <sheetName val="Карточка эстафеты"/>
      <sheetName val="Протокол_прохожден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H5">
            <v>18</v>
          </cell>
        </row>
        <row r="6">
          <cell r="H6">
            <v>18.7</v>
          </cell>
        </row>
        <row r="7">
          <cell r="L7">
            <v>19.5</v>
          </cell>
        </row>
        <row r="8">
          <cell r="L8">
            <v>20.8</v>
          </cell>
        </row>
        <row r="9">
          <cell r="L9">
            <v>22.7</v>
          </cell>
        </row>
        <row r="10">
          <cell r="L10">
            <v>24.5</v>
          </cell>
        </row>
        <row r="11">
          <cell r="L11">
            <v>26.8</v>
          </cell>
        </row>
        <row r="12">
          <cell r="L12">
            <v>29.3</v>
          </cell>
        </row>
        <row r="13">
          <cell r="L13">
            <v>32</v>
          </cell>
        </row>
        <row r="16">
          <cell r="H16">
            <v>15.8</v>
          </cell>
        </row>
        <row r="17">
          <cell r="H17">
            <v>16.7</v>
          </cell>
        </row>
        <row r="18">
          <cell r="L18">
            <v>17.3</v>
          </cell>
        </row>
        <row r="19">
          <cell r="L19">
            <v>18.3</v>
          </cell>
        </row>
        <row r="20">
          <cell r="L20">
            <v>19.899999999999999</v>
          </cell>
        </row>
        <row r="21">
          <cell r="L21">
            <v>21.6</v>
          </cell>
        </row>
        <row r="22">
          <cell r="L22">
            <v>23.8</v>
          </cell>
        </row>
        <row r="23">
          <cell r="L23">
            <v>26</v>
          </cell>
        </row>
        <row r="24">
          <cell r="L24">
            <v>28</v>
          </cell>
        </row>
        <row r="27">
          <cell r="H27">
            <v>22</v>
          </cell>
        </row>
        <row r="28">
          <cell r="H28">
            <v>23.2</v>
          </cell>
        </row>
        <row r="29">
          <cell r="L29">
            <v>24.3</v>
          </cell>
        </row>
        <row r="30">
          <cell r="L30">
            <v>26</v>
          </cell>
        </row>
        <row r="31">
          <cell r="L31">
            <v>27.5</v>
          </cell>
        </row>
        <row r="32">
          <cell r="L32">
            <v>30.1</v>
          </cell>
        </row>
        <row r="33">
          <cell r="L33">
            <v>33</v>
          </cell>
        </row>
        <row r="34">
          <cell r="L34">
            <v>36</v>
          </cell>
        </row>
        <row r="35">
          <cell r="L35">
            <v>39</v>
          </cell>
        </row>
        <row r="38">
          <cell r="H38">
            <v>19.3</v>
          </cell>
        </row>
        <row r="39">
          <cell r="H39">
            <v>20.2</v>
          </cell>
        </row>
        <row r="40">
          <cell r="L40">
            <v>21</v>
          </cell>
        </row>
        <row r="41">
          <cell r="L41">
            <v>22.7</v>
          </cell>
        </row>
        <row r="42">
          <cell r="L42">
            <v>24.5</v>
          </cell>
        </row>
        <row r="43">
          <cell r="L43">
            <v>26.1</v>
          </cell>
        </row>
        <row r="44">
          <cell r="L44">
            <v>29.5</v>
          </cell>
        </row>
        <row r="45">
          <cell r="L45">
            <v>31.900000000000002</v>
          </cell>
        </row>
        <row r="46">
          <cell r="L46">
            <v>35</v>
          </cell>
        </row>
        <row r="49">
          <cell r="H49">
            <v>40</v>
          </cell>
        </row>
        <row r="50">
          <cell r="H50">
            <v>42</v>
          </cell>
        </row>
        <row r="51">
          <cell r="L51">
            <v>43.8</v>
          </cell>
        </row>
        <row r="52">
          <cell r="L52">
            <v>47</v>
          </cell>
        </row>
        <row r="53">
          <cell r="L53">
            <v>51</v>
          </cell>
        </row>
        <row r="54">
          <cell r="L54">
            <v>55.199999999999996</v>
          </cell>
        </row>
        <row r="55">
          <cell r="L55">
            <v>99.8</v>
          </cell>
        </row>
        <row r="56">
          <cell r="L56">
            <v>105.39999999999999</v>
          </cell>
        </row>
        <row r="57">
          <cell r="L57">
            <v>110.39999999999999</v>
          </cell>
        </row>
        <row r="60">
          <cell r="H60">
            <v>35.5</v>
          </cell>
        </row>
        <row r="61">
          <cell r="H61">
            <v>37.299999999999997</v>
          </cell>
        </row>
        <row r="62">
          <cell r="L62">
            <v>39</v>
          </cell>
        </row>
        <row r="63">
          <cell r="L63">
            <v>41.8</v>
          </cell>
        </row>
        <row r="64">
          <cell r="L64">
            <v>45.5</v>
          </cell>
        </row>
        <row r="65">
          <cell r="L65">
            <v>49.5</v>
          </cell>
        </row>
        <row r="66">
          <cell r="L66">
            <v>54.1</v>
          </cell>
        </row>
        <row r="67">
          <cell r="L67">
            <v>59</v>
          </cell>
        </row>
        <row r="68">
          <cell r="L68">
            <v>104</v>
          </cell>
        </row>
        <row r="71">
          <cell r="H71">
            <v>47.9</v>
          </cell>
        </row>
        <row r="72">
          <cell r="H72">
            <v>50</v>
          </cell>
        </row>
        <row r="73">
          <cell r="L73">
            <v>53</v>
          </cell>
        </row>
        <row r="74">
          <cell r="L74">
            <v>56.8</v>
          </cell>
        </row>
        <row r="75">
          <cell r="L75">
            <v>101.4</v>
          </cell>
        </row>
        <row r="76">
          <cell r="L76">
            <v>107.2</v>
          </cell>
        </row>
        <row r="77">
          <cell r="L77">
            <v>112.8</v>
          </cell>
        </row>
        <row r="78">
          <cell r="L78">
            <v>118.8</v>
          </cell>
        </row>
        <row r="79">
          <cell r="L79">
            <v>125</v>
          </cell>
        </row>
        <row r="82">
          <cell r="H82">
            <v>43</v>
          </cell>
        </row>
        <row r="83">
          <cell r="H83">
            <v>44.4</v>
          </cell>
        </row>
        <row r="84">
          <cell r="L84">
            <v>46.9</v>
          </cell>
        </row>
        <row r="85">
          <cell r="L85">
            <v>50.5</v>
          </cell>
        </row>
        <row r="86">
          <cell r="L86">
            <v>55.5</v>
          </cell>
        </row>
        <row r="87">
          <cell r="L87">
            <v>100</v>
          </cell>
        </row>
        <row r="88">
          <cell r="L88">
            <v>105.3</v>
          </cell>
        </row>
        <row r="89">
          <cell r="L89">
            <v>111.3</v>
          </cell>
        </row>
        <row r="90">
          <cell r="L90">
            <v>117.8</v>
          </cell>
        </row>
        <row r="93">
          <cell r="H93">
            <v>130.69999999999999</v>
          </cell>
        </row>
        <row r="94">
          <cell r="H94">
            <v>133</v>
          </cell>
        </row>
        <row r="95">
          <cell r="L95">
            <v>140.30000000000001</v>
          </cell>
        </row>
        <row r="96">
          <cell r="L96">
            <v>146.5</v>
          </cell>
        </row>
        <row r="97">
          <cell r="L97">
            <v>155</v>
          </cell>
        </row>
        <row r="98">
          <cell r="L98">
            <v>205</v>
          </cell>
        </row>
        <row r="99">
          <cell r="L99">
            <v>218.8</v>
          </cell>
        </row>
        <row r="100">
          <cell r="L100">
            <v>229.8</v>
          </cell>
        </row>
        <row r="101">
          <cell r="L101">
            <v>239.8</v>
          </cell>
        </row>
        <row r="104">
          <cell r="H104">
            <v>122.5</v>
          </cell>
        </row>
        <row r="105">
          <cell r="H105">
            <v>126</v>
          </cell>
        </row>
        <row r="106">
          <cell r="L106">
            <v>130.5</v>
          </cell>
        </row>
        <row r="107">
          <cell r="L107">
            <v>137</v>
          </cell>
        </row>
        <row r="108">
          <cell r="L108">
            <v>146</v>
          </cell>
        </row>
        <row r="109">
          <cell r="L109">
            <v>154.6</v>
          </cell>
        </row>
        <row r="110">
          <cell r="L110">
            <v>206.5</v>
          </cell>
        </row>
        <row r="111">
          <cell r="L111">
            <v>218.3</v>
          </cell>
        </row>
        <row r="112">
          <cell r="L112">
            <v>229</v>
          </cell>
        </row>
        <row r="115">
          <cell r="H115">
            <v>147</v>
          </cell>
        </row>
        <row r="116">
          <cell r="H116">
            <v>151</v>
          </cell>
        </row>
        <row r="117">
          <cell r="L117">
            <v>157</v>
          </cell>
        </row>
        <row r="118">
          <cell r="L118">
            <v>206.5</v>
          </cell>
        </row>
        <row r="119">
          <cell r="L119">
            <v>215.5</v>
          </cell>
        </row>
        <row r="120">
          <cell r="L120">
            <v>226.8</v>
          </cell>
        </row>
        <row r="121">
          <cell r="L121">
            <v>242</v>
          </cell>
        </row>
        <row r="122">
          <cell r="L122">
            <v>256</v>
          </cell>
        </row>
        <row r="123">
          <cell r="L123">
            <v>310</v>
          </cell>
        </row>
        <row r="126">
          <cell r="H126">
            <v>136.4</v>
          </cell>
        </row>
        <row r="127">
          <cell r="H127">
            <v>140.5</v>
          </cell>
        </row>
        <row r="128">
          <cell r="L128">
            <v>144.80000000000001</v>
          </cell>
        </row>
        <row r="129">
          <cell r="L129">
            <v>153.5</v>
          </cell>
        </row>
        <row r="130">
          <cell r="L130">
            <v>202.5</v>
          </cell>
        </row>
        <row r="131">
          <cell r="L131">
            <v>212.6</v>
          </cell>
        </row>
        <row r="132">
          <cell r="L132">
            <v>225.5</v>
          </cell>
        </row>
        <row r="133">
          <cell r="L133">
            <v>240</v>
          </cell>
        </row>
        <row r="134">
          <cell r="L134">
            <v>250</v>
          </cell>
        </row>
        <row r="137">
          <cell r="H137">
            <v>318</v>
          </cell>
        </row>
        <row r="138">
          <cell r="H138">
            <v>325.60000000000002</v>
          </cell>
        </row>
        <row r="139">
          <cell r="L139">
            <v>337</v>
          </cell>
        </row>
        <row r="140">
          <cell r="L140">
            <v>353</v>
          </cell>
        </row>
        <row r="141">
          <cell r="L141">
            <v>410</v>
          </cell>
        </row>
        <row r="142">
          <cell r="L142">
            <v>430</v>
          </cell>
        </row>
        <row r="143">
          <cell r="L143">
            <v>457</v>
          </cell>
        </row>
        <row r="144">
          <cell r="L144">
            <v>526</v>
          </cell>
        </row>
        <row r="145">
          <cell r="L145">
            <v>550</v>
          </cell>
        </row>
        <row r="148">
          <cell r="H148">
            <v>303</v>
          </cell>
        </row>
        <row r="149">
          <cell r="H149">
            <v>312.5</v>
          </cell>
        </row>
        <row r="150">
          <cell r="L150">
            <v>320</v>
          </cell>
        </row>
        <row r="151">
          <cell r="L151">
            <v>335.5</v>
          </cell>
        </row>
        <row r="152">
          <cell r="L152">
            <v>352.5</v>
          </cell>
        </row>
        <row r="153">
          <cell r="L153">
            <v>411.6</v>
          </cell>
        </row>
        <row r="154">
          <cell r="L154">
            <v>439.8</v>
          </cell>
        </row>
        <row r="155">
          <cell r="L155">
            <v>505.5</v>
          </cell>
        </row>
        <row r="156">
          <cell r="L156">
            <v>530</v>
          </cell>
        </row>
        <row r="159">
          <cell r="H159">
            <v>348.9</v>
          </cell>
        </row>
        <row r="160">
          <cell r="H160">
            <v>359.5</v>
          </cell>
        </row>
        <row r="161">
          <cell r="L161">
            <v>412.6</v>
          </cell>
        </row>
        <row r="162">
          <cell r="L162">
            <v>428</v>
          </cell>
        </row>
        <row r="163">
          <cell r="L163">
            <v>446.5</v>
          </cell>
        </row>
        <row r="164">
          <cell r="L164">
            <v>506</v>
          </cell>
        </row>
        <row r="165">
          <cell r="L165">
            <v>530</v>
          </cell>
        </row>
        <row r="166">
          <cell r="L166">
            <v>558</v>
          </cell>
        </row>
        <row r="167">
          <cell r="L167">
            <v>626</v>
          </cell>
        </row>
        <row r="170">
          <cell r="H170">
            <v>332.4</v>
          </cell>
        </row>
        <row r="171">
          <cell r="H171">
            <v>342.5</v>
          </cell>
        </row>
        <row r="172">
          <cell r="L172">
            <v>353</v>
          </cell>
        </row>
        <row r="173">
          <cell r="L173">
            <v>407</v>
          </cell>
        </row>
        <row r="174">
          <cell r="L174">
            <v>425</v>
          </cell>
        </row>
        <row r="175">
          <cell r="L175">
            <v>445</v>
          </cell>
        </row>
        <row r="176">
          <cell r="L176">
            <v>507.5</v>
          </cell>
        </row>
        <row r="177">
          <cell r="L177">
            <v>530.5</v>
          </cell>
        </row>
        <row r="178">
          <cell r="L178">
            <v>558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B882A-3ACB-45B5-AB16-135C17778E58}">
  <dimension ref="A1:AA703"/>
  <sheetViews>
    <sheetView tabSelected="1" view="pageBreakPreview" topLeftCell="A304" zoomScale="120" zoomScaleNormal="100" zoomScaleSheetLayoutView="120" workbookViewId="0">
      <selection activeCell="E322" sqref="E322"/>
    </sheetView>
  </sheetViews>
  <sheetFormatPr defaultRowHeight="14.5" x14ac:dyDescent="0.35"/>
  <cols>
    <col min="1" max="1" width="3" style="109" customWidth="1"/>
    <col min="2" max="2" width="6.54296875" style="121" customWidth="1"/>
    <col min="3" max="3" width="16.90625" style="121" customWidth="1"/>
    <col min="4" max="4" width="11.54296875" style="121" customWidth="1"/>
    <col min="5" max="5" width="9.1796875" style="121" customWidth="1"/>
    <col min="6" max="6" width="12.08984375" style="121" customWidth="1"/>
    <col min="7" max="7" width="5.54296875" style="121" customWidth="1"/>
    <col min="8" max="8" width="7.26953125" style="121" customWidth="1"/>
    <col min="9" max="9" width="6.81640625" style="38" customWidth="1"/>
    <col min="10" max="10" width="7.36328125" style="121" customWidth="1"/>
    <col min="11" max="11" width="3.7265625" style="121" customWidth="1"/>
    <col min="12" max="14" width="0.7265625" style="121" customWidth="1"/>
    <col min="15" max="16384" width="8.7265625" style="121"/>
  </cols>
  <sheetData>
    <row r="1" spans="1:11" s="54" customFormat="1" x14ac:dyDescent="0.35">
      <c r="A1" s="242" t="s">
        <v>238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 s="54" customFormat="1" x14ac:dyDescent="0.35">
      <c r="A2" s="242" t="s">
        <v>180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</row>
    <row r="3" spans="1:11" s="54" customFormat="1" x14ac:dyDescent="0.35">
      <c r="A3" s="50"/>
      <c r="B3" s="39"/>
      <c r="C3" s="130"/>
      <c r="D3" s="39"/>
      <c r="E3" s="50"/>
      <c r="F3" s="130"/>
      <c r="G3" s="39"/>
      <c r="H3" s="103"/>
      <c r="I3" s="103"/>
      <c r="J3" s="104"/>
      <c r="K3" s="49"/>
    </row>
    <row r="4" spans="1:11" s="54" customFormat="1" ht="12.75" customHeight="1" x14ac:dyDescent="0.35">
      <c r="A4" s="50"/>
      <c r="B4" s="39"/>
      <c r="C4" s="130"/>
      <c r="D4" s="39"/>
      <c r="E4" s="50"/>
      <c r="F4" s="130"/>
      <c r="G4" s="39"/>
      <c r="H4" s="103"/>
      <c r="I4" s="103"/>
      <c r="J4" s="104"/>
      <c r="K4" s="49"/>
    </row>
    <row r="5" spans="1:11" s="54" customFormat="1" ht="12.75" customHeight="1" x14ac:dyDescent="0.35">
      <c r="A5" s="50"/>
      <c r="B5" s="39"/>
      <c r="C5" s="130"/>
      <c r="D5" s="39"/>
      <c r="E5" s="50"/>
      <c r="F5" s="130"/>
      <c r="G5" s="39"/>
      <c r="H5" s="103"/>
      <c r="I5" s="103"/>
      <c r="J5" s="104"/>
      <c r="K5" s="49"/>
    </row>
    <row r="6" spans="1:11" s="54" customFormat="1" ht="12.75" customHeight="1" x14ac:dyDescent="0.35">
      <c r="A6" s="50"/>
      <c r="B6" s="39"/>
      <c r="C6" s="130"/>
      <c r="D6" s="39"/>
      <c r="E6" s="50"/>
      <c r="F6" s="130"/>
      <c r="G6" s="39"/>
      <c r="H6" s="103"/>
      <c r="I6" s="103"/>
      <c r="J6" s="104"/>
      <c r="K6" s="49"/>
    </row>
    <row r="7" spans="1:11" s="54" customFormat="1" ht="12.75" customHeight="1" x14ac:dyDescent="0.35">
      <c r="A7" s="50"/>
      <c r="B7" s="39"/>
      <c r="C7" s="130"/>
      <c r="D7" s="39"/>
      <c r="E7" s="50"/>
      <c r="F7" s="130"/>
      <c r="G7" s="39"/>
      <c r="H7" s="103"/>
      <c r="I7" s="103"/>
      <c r="J7" s="104"/>
      <c r="K7" s="49"/>
    </row>
    <row r="8" spans="1:11" s="54" customFormat="1" ht="12.75" customHeight="1" x14ac:dyDescent="0.35">
      <c r="A8" s="50"/>
      <c r="B8" s="39"/>
      <c r="C8" s="130"/>
      <c r="D8" s="39"/>
      <c r="E8" s="50"/>
      <c r="F8" s="130"/>
      <c r="G8" s="39"/>
      <c r="H8" s="103"/>
      <c r="I8" s="103"/>
      <c r="J8" s="104"/>
      <c r="K8" s="49"/>
    </row>
    <row r="9" spans="1:11" s="54" customFormat="1" ht="12.75" customHeight="1" x14ac:dyDescent="0.35">
      <c r="A9" s="50"/>
      <c r="B9" s="39"/>
      <c r="C9" s="130"/>
      <c r="D9" s="39"/>
      <c r="E9" s="50"/>
      <c r="F9" s="130"/>
      <c r="G9" s="39"/>
      <c r="H9" s="103"/>
      <c r="I9" s="103"/>
      <c r="J9" s="104"/>
      <c r="K9" s="49"/>
    </row>
    <row r="10" spans="1:11" s="54" customFormat="1" ht="12.75" customHeight="1" x14ac:dyDescent="0.35">
      <c r="A10" s="39"/>
      <c r="B10" s="39"/>
      <c r="C10" s="130"/>
      <c r="D10" s="130"/>
      <c r="E10" s="39"/>
      <c r="F10" s="130"/>
      <c r="G10" s="39"/>
      <c r="H10" s="39"/>
      <c r="I10" s="39"/>
      <c r="J10" s="104"/>
      <c r="K10" s="130"/>
    </row>
    <row r="11" spans="1:11" s="54" customFormat="1" ht="12.75" customHeight="1" x14ac:dyDescent="0.35">
      <c r="A11" s="39"/>
      <c r="B11" s="39"/>
      <c r="C11" s="130"/>
      <c r="D11" s="130"/>
      <c r="E11" s="39"/>
      <c r="F11" s="130"/>
      <c r="G11" s="39"/>
      <c r="H11" s="39"/>
      <c r="I11" s="39"/>
      <c r="J11" s="104"/>
      <c r="K11" s="130"/>
    </row>
    <row r="12" spans="1:11" s="54" customFormat="1" ht="12.75" customHeight="1" x14ac:dyDescent="0.35">
      <c r="A12" s="39"/>
      <c r="B12" s="39"/>
      <c r="C12" s="130"/>
      <c r="D12" s="130"/>
      <c r="E12" s="39"/>
      <c r="F12" s="130"/>
      <c r="G12" s="39"/>
      <c r="H12" s="39"/>
      <c r="I12" s="39"/>
      <c r="J12" s="104"/>
      <c r="K12" s="130"/>
    </row>
    <row r="13" spans="1:11" s="54" customFormat="1" ht="12.75" customHeight="1" x14ac:dyDescent="0.35">
      <c r="A13" s="39"/>
      <c r="B13" s="39"/>
      <c r="C13" s="130"/>
      <c r="D13" s="130"/>
      <c r="E13" s="39"/>
      <c r="F13" s="130"/>
      <c r="G13" s="39"/>
      <c r="H13" s="39"/>
      <c r="I13" s="39"/>
      <c r="J13" s="104"/>
      <c r="K13" s="130"/>
    </row>
    <row r="14" spans="1:11" s="54" customFormat="1" ht="12.75" customHeight="1" x14ac:dyDescent="0.35">
      <c r="A14" s="39"/>
      <c r="B14" s="39"/>
      <c r="C14" s="130"/>
      <c r="D14" s="130"/>
      <c r="E14" s="39"/>
      <c r="F14" s="130"/>
      <c r="G14" s="39"/>
      <c r="H14" s="39"/>
      <c r="I14" s="39"/>
      <c r="J14" s="104"/>
      <c r="K14" s="130"/>
    </row>
    <row r="15" spans="1:11" s="54" customFormat="1" ht="12.75" customHeight="1" x14ac:dyDescent="0.35">
      <c r="A15" s="50"/>
      <c r="B15" s="39"/>
      <c r="C15" s="130"/>
      <c r="D15" s="39"/>
      <c r="E15" s="50"/>
      <c r="F15" s="130"/>
      <c r="G15" s="39"/>
      <c r="H15" s="103"/>
      <c r="I15" s="103"/>
      <c r="J15" s="104"/>
      <c r="K15" s="49"/>
    </row>
    <row r="16" spans="1:11" s="54" customFormat="1" ht="12.75" customHeight="1" x14ac:dyDescent="0.35">
      <c r="A16" s="39"/>
      <c r="B16" s="39"/>
      <c r="C16" s="130"/>
      <c r="D16" s="130"/>
      <c r="E16" s="39"/>
      <c r="F16" s="130"/>
      <c r="G16" s="39"/>
      <c r="H16" s="39"/>
      <c r="I16" s="39"/>
      <c r="J16" s="104"/>
      <c r="K16" s="130"/>
    </row>
    <row r="17" spans="1:11" s="54" customFormat="1" ht="12.75" customHeight="1" x14ac:dyDescent="0.35">
      <c r="A17" s="39"/>
      <c r="B17" s="39"/>
      <c r="C17" s="130"/>
      <c r="D17" s="130"/>
      <c r="E17" s="39"/>
      <c r="F17" s="130"/>
      <c r="G17" s="39"/>
      <c r="H17" s="39"/>
      <c r="I17" s="39"/>
      <c r="J17" s="104"/>
      <c r="K17" s="130"/>
    </row>
    <row r="18" spans="1:11" s="54" customFormat="1" ht="12.75" customHeight="1" x14ac:dyDescent="0.35">
      <c r="A18" s="39"/>
      <c r="B18" s="39"/>
      <c r="C18" s="130"/>
      <c r="D18" s="130"/>
      <c r="E18" s="39"/>
      <c r="F18" s="130"/>
      <c r="G18" s="39"/>
      <c r="H18" s="39"/>
      <c r="I18" s="39"/>
      <c r="J18" s="104"/>
      <c r="K18" s="130"/>
    </row>
    <row r="19" spans="1:11" s="54" customFormat="1" ht="12.75" customHeight="1" x14ac:dyDescent="0.35">
      <c r="A19" s="39"/>
      <c r="B19" s="39"/>
      <c r="C19" s="130"/>
      <c r="D19" s="130"/>
      <c r="E19" s="39"/>
      <c r="F19" s="130"/>
      <c r="G19" s="39"/>
      <c r="H19" s="39"/>
      <c r="I19" s="39"/>
      <c r="J19" s="104"/>
      <c r="K19" s="130"/>
    </row>
    <row r="20" spans="1:11" s="54" customFormat="1" ht="12.75" customHeight="1" x14ac:dyDescent="0.35">
      <c r="A20" s="39"/>
      <c r="B20" s="39"/>
      <c r="C20" s="130"/>
      <c r="D20" s="130"/>
      <c r="E20" s="39"/>
      <c r="F20" s="130"/>
      <c r="G20" s="39"/>
      <c r="H20" s="39"/>
      <c r="I20" s="39"/>
      <c r="J20" s="104"/>
      <c r="K20" s="130"/>
    </row>
    <row r="21" spans="1:11" s="54" customFormat="1" ht="65" customHeight="1" x14ac:dyDescent="0.35">
      <c r="A21" s="266" t="s">
        <v>500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</row>
    <row r="22" spans="1:11" s="54" customFormat="1" ht="22.5" customHeight="1" x14ac:dyDescent="0.35">
      <c r="A22" s="243"/>
      <c r="B22" s="243"/>
      <c r="C22" s="243"/>
      <c r="D22" s="243"/>
      <c r="E22" s="243"/>
      <c r="F22" s="243"/>
      <c r="G22" s="243"/>
      <c r="H22" s="243"/>
      <c r="I22" s="243"/>
      <c r="J22" s="243"/>
      <c r="K22" s="243"/>
    </row>
    <row r="23" spans="1:11" s="54" customFormat="1" ht="12.75" customHeight="1" x14ac:dyDescent="0.35">
      <c r="A23" s="124"/>
      <c r="I23" s="117"/>
    </row>
    <row r="24" spans="1:11" s="54" customFormat="1" ht="22.5" customHeight="1" x14ac:dyDescent="0.35">
      <c r="A24" s="50"/>
      <c r="B24" s="39"/>
      <c r="C24" s="130"/>
      <c r="D24" s="39"/>
      <c r="E24" s="50"/>
      <c r="F24" s="130"/>
      <c r="G24" s="39"/>
      <c r="H24" s="103"/>
      <c r="I24" s="103"/>
      <c r="J24" s="104"/>
      <c r="K24" s="49"/>
    </row>
    <row r="25" spans="1:11" s="54" customFormat="1" ht="12.75" customHeight="1" x14ac:dyDescent="0.35">
      <c r="A25" s="50"/>
      <c r="B25" s="39"/>
      <c r="C25" s="130"/>
      <c r="D25" s="39"/>
      <c r="E25" s="50"/>
      <c r="F25" s="130"/>
      <c r="G25" s="39"/>
      <c r="H25" s="103"/>
      <c r="I25" s="103"/>
      <c r="J25" s="104"/>
      <c r="K25" s="49"/>
    </row>
    <row r="26" spans="1:11" s="54" customFormat="1" ht="12.75" customHeight="1" x14ac:dyDescent="0.35">
      <c r="A26" s="50"/>
      <c r="B26" s="39"/>
      <c r="C26" s="130"/>
      <c r="D26" s="39"/>
      <c r="E26" s="50"/>
      <c r="F26" s="130"/>
      <c r="G26" s="39"/>
      <c r="H26" s="103"/>
      <c r="I26" s="103"/>
      <c r="J26" s="104"/>
      <c r="K26" s="49"/>
    </row>
    <row r="27" spans="1:11" s="54" customFormat="1" ht="12.75" customHeight="1" x14ac:dyDescent="0.35">
      <c r="A27" s="50"/>
      <c r="B27" s="39"/>
      <c r="C27" s="130"/>
      <c r="D27" s="39"/>
      <c r="E27" s="50"/>
      <c r="F27" s="130"/>
      <c r="G27" s="39"/>
      <c r="H27" s="103"/>
      <c r="I27" s="103"/>
      <c r="J27" s="104"/>
      <c r="K27" s="49"/>
    </row>
    <row r="28" spans="1:11" s="54" customFormat="1" ht="12.75" customHeight="1" x14ac:dyDescent="0.35">
      <c r="A28" s="50"/>
      <c r="B28" s="39"/>
      <c r="C28" s="130"/>
      <c r="D28" s="39"/>
      <c r="E28" s="50"/>
      <c r="F28" s="130"/>
      <c r="G28" s="39"/>
      <c r="H28" s="103"/>
      <c r="I28" s="103"/>
      <c r="J28" s="104"/>
      <c r="K28" s="49"/>
    </row>
    <row r="29" spans="1:11" s="54" customFormat="1" ht="12.75" customHeight="1" x14ac:dyDescent="0.35">
      <c r="A29" s="50"/>
      <c r="B29" s="39"/>
      <c r="C29" s="130"/>
      <c r="D29" s="39"/>
      <c r="E29" s="50"/>
      <c r="F29" s="130"/>
      <c r="G29" s="39"/>
      <c r="H29" s="103"/>
      <c r="I29" s="103"/>
      <c r="J29" s="104"/>
      <c r="K29" s="49"/>
    </row>
    <row r="30" spans="1:11" s="54" customFormat="1" ht="12.75" customHeight="1" x14ac:dyDescent="0.35">
      <c r="A30" s="50"/>
      <c r="B30" s="39"/>
      <c r="C30" s="130"/>
      <c r="D30" s="39"/>
      <c r="E30" s="50"/>
      <c r="F30" s="130"/>
      <c r="G30" s="39"/>
      <c r="H30" s="103"/>
      <c r="I30" s="103"/>
      <c r="J30" s="104"/>
      <c r="K30" s="49"/>
    </row>
    <row r="31" spans="1:11" s="54" customFormat="1" ht="16.5" customHeight="1" x14ac:dyDescent="0.35">
      <c r="A31" s="50"/>
      <c r="B31" s="39"/>
      <c r="C31" s="130"/>
      <c r="D31" s="39"/>
      <c r="E31" s="50"/>
      <c r="F31" s="130"/>
      <c r="G31" s="39"/>
      <c r="H31" s="103"/>
      <c r="I31" s="103"/>
      <c r="J31" s="104"/>
      <c r="K31" s="49"/>
    </row>
    <row r="32" spans="1:11" s="54" customFormat="1" ht="16.5" customHeight="1" x14ac:dyDescent="0.35">
      <c r="A32" s="50"/>
      <c r="B32" s="39"/>
      <c r="C32" s="130"/>
      <c r="D32" s="39"/>
      <c r="E32" s="50"/>
      <c r="F32" s="130"/>
      <c r="G32" s="39"/>
      <c r="H32" s="103"/>
      <c r="I32" s="103"/>
      <c r="J32" s="104"/>
      <c r="K32" s="49"/>
    </row>
    <row r="33" spans="1:11" s="54" customFormat="1" ht="16.5" customHeight="1" x14ac:dyDescent="0.35">
      <c r="A33" s="50"/>
      <c r="B33" s="39"/>
      <c r="C33" s="130"/>
      <c r="D33" s="39"/>
      <c r="E33" s="50"/>
      <c r="F33" s="130"/>
      <c r="G33" s="39"/>
      <c r="H33" s="103"/>
      <c r="I33" s="103"/>
      <c r="J33" s="104"/>
      <c r="K33" s="49"/>
    </row>
    <row r="34" spans="1:11" s="54" customFormat="1" ht="12.75" customHeight="1" x14ac:dyDescent="0.35">
      <c r="A34" s="50"/>
      <c r="B34" s="39"/>
      <c r="C34" s="130"/>
      <c r="D34" s="39"/>
      <c r="E34" s="50"/>
      <c r="F34" s="130"/>
      <c r="G34" s="39"/>
      <c r="H34" s="103"/>
      <c r="I34" s="103"/>
      <c r="J34" s="104"/>
      <c r="K34" s="49"/>
    </row>
    <row r="35" spans="1:11" s="54" customFormat="1" ht="12.75" customHeight="1" x14ac:dyDescent="0.35">
      <c r="A35" s="50"/>
      <c r="B35" s="39"/>
      <c r="C35" s="130"/>
      <c r="D35" s="39"/>
      <c r="E35" s="50"/>
      <c r="F35" s="130"/>
      <c r="G35" s="39"/>
      <c r="H35" s="103"/>
      <c r="I35" s="103"/>
      <c r="J35" s="104"/>
      <c r="K35" s="49"/>
    </row>
    <row r="36" spans="1:11" s="54" customFormat="1" ht="12.75" customHeight="1" x14ac:dyDescent="0.35">
      <c r="A36" s="50"/>
      <c r="B36" s="39"/>
      <c r="C36" s="130"/>
      <c r="D36" s="39"/>
      <c r="E36" s="50"/>
      <c r="F36" s="130"/>
      <c r="G36" s="39"/>
      <c r="H36" s="103"/>
      <c r="I36" s="103"/>
      <c r="J36" s="104"/>
      <c r="K36" s="49"/>
    </row>
    <row r="37" spans="1:11" s="54" customFormat="1" ht="12.75" customHeight="1" x14ac:dyDescent="0.35">
      <c r="A37" s="50"/>
      <c r="B37" s="39"/>
      <c r="C37" s="130"/>
      <c r="D37" s="39"/>
      <c r="E37" s="50"/>
      <c r="F37" s="130"/>
      <c r="G37" s="39"/>
      <c r="H37" s="103"/>
      <c r="I37" s="103"/>
      <c r="J37" s="104"/>
      <c r="K37" s="49"/>
    </row>
    <row r="38" spans="1:11" s="54" customFormat="1" ht="12.75" customHeight="1" x14ac:dyDescent="0.35">
      <c r="A38" s="50"/>
      <c r="B38" s="39"/>
      <c r="C38" s="130"/>
      <c r="D38" s="39"/>
      <c r="E38" s="50"/>
      <c r="F38" s="130"/>
      <c r="G38" s="39"/>
      <c r="H38" s="103"/>
      <c r="I38" s="103"/>
      <c r="J38" s="104"/>
      <c r="K38" s="49"/>
    </row>
    <row r="39" spans="1:11" s="54" customFormat="1" ht="12.75" customHeight="1" x14ac:dyDescent="0.35">
      <c r="A39" s="50"/>
      <c r="B39" s="39"/>
      <c r="C39" s="130"/>
      <c r="D39" s="39"/>
      <c r="E39" s="50"/>
      <c r="F39" s="130"/>
      <c r="G39" s="39"/>
      <c r="H39" s="103"/>
      <c r="I39" s="103"/>
      <c r="J39" s="104"/>
      <c r="K39" s="49"/>
    </row>
    <row r="40" spans="1:11" s="54" customFormat="1" ht="12.75" customHeight="1" x14ac:dyDescent="0.35">
      <c r="A40" s="50"/>
      <c r="B40" s="39"/>
      <c r="C40" s="130"/>
      <c r="D40" s="39"/>
      <c r="E40" s="50"/>
      <c r="F40" s="130"/>
      <c r="G40" s="39"/>
      <c r="H40" s="103"/>
      <c r="I40" s="103"/>
      <c r="J40" s="104"/>
      <c r="K40" s="49"/>
    </row>
    <row r="41" spans="1:11" s="54" customFormat="1" ht="12.75" customHeight="1" x14ac:dyDescent="0.35">
      <c r="A41" s="50"/>
      <c r="B41" s="39"/>
      <c r="C41" s="130"/>
      <c r="D41" s="39"/>
      <c r="E41" s="50"/>
      <c r="F41" s="130"/>
      <c r="G41" s="39"/>
      <c r="H41" s="103"/>
      <c r="I41" s="103"/>
      <c r="J41" s="104"/>
      <c r="K41" s="49"/>
    </row>
    <row r="42" spans="1:11" s="54" customFormat="1" ht="12.75" customHeight="1" x14ac:dyDescent="0.35">
      <c r="A42" s="50"/>
      <c r="B42" s="39"/>
      <c r="C42" s="130"/>
      <c r="D42" s="39"/>
      <c r="E42" s="50"/>
      <c r="F42" s="130"/>
      <c r="G42" s="39"/>
      <c r="H42" s="103"/>
      <c r="I42" s="103"/>
      <c r="J42" s="104"/>
      <c r="K42" s="49"/>
    </row>
    <row r="43" spans="1:11" s="54" customFormat="1" ht="12.75" customHeight="1" x14ac:dyDescent="0.35">
      <c r="A43" s="24" t="s">
        <v>181</v>
      </c>
      <c r="B43" s="25"/>
      <c r="C43" s="25"/>
      <c r="D43" s="25"/>
      <c r="E43" s="25"/>
      <c r="F43" s="25"/>
      <c r="G43" s="25"/>
      <c r="H43" s="25"/>
      <c r="I43" s="105"/>
      <c r="J43" s="225" t="s">
        <v>502</v>
      </c>
      <c r="K43" s="225"/>
    </row>
    <row r="44" spans="1:11" s="54" customFormat="1" ht="12.75" customHeight="1" x14ac:dyDescent="0.35">
      <c r="A44" s="24"/>
      <c r="B44" s="25"/>
      <c r="C44" s="25"/>
      <c r="D44" s="25"/>
      <c r="E44" s="25"/>
      <c r="F44" s="25"/>
      <c r="G44" s="25"/>
      <c r="H44" s="25"/>
      <c r="I44" s="105"/>
      <c r="J44" s="225"/>
      <c r="K44" s="225"/>
    </row>
    <row r="45" spans="1:11" s="54" customFormat="1" ht="12.75" customHeight="1" x14ac:dyDescent="0.35">
      <c r="A45" s="24" t="s">
        <v>182</v>
      </c>
      <c r="B45" s="25"/>
      <c r="C45" s="25"/>
      <c r="D45" s="25"/>
      <c r="E45" s="25"/>
      <c r="F45" s="25"/>
      <c r="G45" s="25"/>
      <c r="H45" s="25"/>
      <c r="I45" s="105"/>
      <c r="J45" s="225" t="s">
        <v>173</v>
      </c>
      <c r="K45" s="225"/>
    </row>
    <row r="46" spans="1:11" s="54" customFormat="1" ht="12.75" customHeight="1" x14ac:dyDescent="0.35">
      <c r="A46" s="24"/>
      <c r="B46" s="25"/>
      <c r="C46" s="25"/>
      <c r="D46" s="25"/>
      <c r="E46" s="25"/>
      <c r="F46" s="25"/>
      <c r="G46" s="25"/>
      <c r="H46" s="25"/>
      <c r="I46" s="105"/>
      <c r="J46" s="225"/>
      <c r="K46" s="225"/>
    </row>
    <row r="47" spans="1:11" s="54" customFormat="1" ht="12.75" customHeight="1" x14ac:dyDescent="0.35">
      <c r="A47" s="25"/>
      <c r="B47" s="25"/>
      <c r="C47" s="25"/>
      <c r="D47" s="25"/>
      <c r="E47" s="25"/>
      <c r="F47" s="25"/>
      <c r="G47" s="25"/>
      <c r="H47" s="25"/>
      <c r="I47" s="105"/>
      <c r="J47" s="24"/>
      <c r="K47" s="225"/>
    </row>
    <row r="48" spans="1:11" s="54" customFormat="1" ht="15.75" customHeight="1" x14ac:dyDescent="0.35">
      <c r="A48" s="244" t="s">
        <v>183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 ht="15" customHeight="1" x14ac:dyDescent="0.35">
      <c r="A49" s="245" t="s">
        <v>501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5"/>
    </row>
    <row r="50" spans="1:11" ht="12.75" customHeight="1" x14ac:dyDescent="0.35">
      <c r="A50" s="235" t="str">
        <f>$A$1</f>
        <v>МКУ "Комитет по физической культуре и спорту"</v>
      </c>
      <c r="B50" s="235"/>
      <c r="C50" s="235"/>
      <c r="D50" s="235"/>
      <c r="E50" s="235"/>
      <c r="F50" s="235"/>
      <c r="G50" s="235"/>
      <c r="H50" s="235"/>
      <c r="I50" s="235"/>
      <c r="J50" s="235"/>
      <c r="K50" s="235"/>
    </row>
    <row r="51" spans="1:11" ht="12.75" customHeight="1" x14ac:dyDescent="0.35">
      <c r="A51" s="235" t="str">
        <f>$A$2</f>
        <v>Муниципальное бюджетное учреждение "Комплексная спортивная школа" города Ачинска</v>
      </c>
      <c r="B51" s="235"/>
      <c r="C51" s="235"/>
      <c r="D51" s="235"/>
      <c r="E51" s="235"/>
      <c r="F51" s="235"/>
      <c r="G51" s="235"/>
      <c r="H51" s="235"/>
      <c r="I51" s="235"/>
      <c r="J51" s="235"/>
      <c r="K51" s="235"/>
    </row>
    <row r="52" spans="1:11" ht="111.5" customHeight="1" x14ac:dyDescent="0.35">
      <c r="A52" s="236" t="str">
        <f>$A$21</f>
        <v xml:space="preserve">Открытое первенство Ачинского муниципального округа по подводному спорту (плавание в ластах) (1460008511Я)
посвященное "Дню Космонавтики"
юниоры и юниорки (14-17 лет), девушки и юноши (12-13 лет), 
</v>
      </c>
      <c r="B52" s="236"/>
      <c r="C52" s="236"/>
      <c r="D52" s="236"/>
      <c r="E52" s="236"/>
      <c r="F52" s="236"/>
      <c r="G52" s="236"/>
      <c r="H52" s="236"/>
      <c r="I52" s="236"/>
      <c r="J52" s="236"/>
      <c r="K52" s="236"/>
    </row>
    <row r="53" spans="1:11" ht="26.25" customHeight="1" x14ac:dyDescent="0.35">
      <c r="A53" s="3" t="str">
        <f>$A$49</f>
        <v>25-26 апреля 2026г.</v>
      </c>
      <c r="B53" s="4"/>
      <c r="C53" s="2"/>
      <c r="D53" s="4"/>
      <c r="E53" s="5"/>
      <c r="F53" s="2"/>
      <c r="G53" s="237" t="str">
        <f>$A$48</f>
        <v>г. Ачинск, плавательный бассейн "Нептун" МБУ "ГСК "Олимп", 25 м</v>
      </c>
      <c r="H53" s="237"/>
      <c r="I53" s="237"/>
      <c r="J53" s="237"/>
      <c r="K53" s="237"/>
    </row>
    <row r="54" spans="1:11" ht="20.25" customHeight="1" x14ac:dyDescent="0.35">
      <c r="A54" s="238" t="s">
        <v>0</v>
      </c>
      <c r="B54" s="238"/>
      <c r="C54" s="238"/>
      <c r="D54" s="238"/>
      <c r="E54" s="238"/>
      <c r="F54" s="238"/>
      <c r="G54" s="238"/>
      <c r="H54" s="265"/>
      <c r="I54" s="238"/>
      <c r="J54" s="238"/>
      <c r="K54" s="238"/>
    </row>
    <row r="55" spans="1:11" ht="27" customHeight="1" x14ac:dyDescent="0.35">
      <c r="A55" s="192" t="s">
        <v>1</v>
      </c>
      <c r="B55" s="241" t="s">
        <v>2</v>
      </c>
      <c r="C55" s="241"/>
      <c r="D55" s="241" t="s">
        <v>3</v>
      </c>
      <c r="E55" s="241"/>
      <c r="F55" s="193"/>
      <c r="G55" s="239" t="s">
        <v>4</v>
      </c>
      <c r="H55" s="240"/>
      <c r="I55" s="195"/>
      <c r="J55" s="194" t="s">
        <v>5</v>
      </c>
      <c r="K55" s="191"/>
    </row>
    <row r="56" spans="1:11" ht="9" customHeight="1" x14ac:dyDescent="0.35">
      <c r="A56" s="8"/>
      <c r="B56" s="8"/>
      <c r="C56" s="8"/>
      <c r="D56" s="8"/>
      <c r="E56" s="106"/>
      <c r="G56" s="8"/>
      <c r="H56" s="107"/>
      <c r="J56" s="106"/>
      <c r="K56" s="9"/>
    </row>
    <row r="57" spans="1:11" ht="15" customHeight="1" x14ac:dyDescent="0.35">
      <c r="A57" s="50">
        <v>1</v>
      </c>
      <c r="B57" s="17" t="s">
        <v>7</v>
      </c>
      <c r="D57" s="17" t="s">
        <v>186</v>
      </c>
      <c r="G57" s="187" t="s">
        <v>185</v>
      </c>
      <c r="J57" s="3" t="s">
        <v>177</v>
      </c>
    </row>
    <row r="58" spans="1:11" ht="15" customHeight="1" x14ac:dyDescent="0.35">
      <c r="A58" s="5">
        <v>2</v>
      </c>
      <c r="B58" s="17" t="s">
        <v>8</v>
      </c>
      <c r="D58" s="17" t="s">
        <v>188</v>
      </c>
      <c r="G58" s="187" t="s">
        <v>165</v>
      </c>
      <c r="J58" s="17" t="s">
        <v>177</v>
      </c>
    </row>
    <row r="59" spans="1:11" ht="15" customHeight="1" x14ac:dyDescent="0.35">
      <c r="A59" s="50">
        <v>3</v>
      </c>
      <c r="B59" s="17" t="s">
        <v>9</v>
      </c>
      <c r="D59" s="17" t="s">
        <v>174</v>
      </c>
      <c r="G59" s="187" t="s">
        <v>164</v>
      </c>
      <c r="J59" s="17" t="s">
        <v>136</v>
      </c>
    </row>
    <row r="60" spans="1:11" ht="15" customHeight="1" x14ac:dyDescent="0.35">
      <c r="A60" s="5">
        <v>4</v>
      </c>
      <c r="B60" s="17" t="s">
        <v>11</v>
      </c>
      <c r="D60" s="17" t="s">
        <v>186</v>
      </c>
      <c r="G60" s="187" t="s">
        <v>185</v>
      </c>
      <c r="J60" s="17" t="s">
        <v>177</v>
      </c>
    </row>
    <row r="61" spans="1:11" ht="15" customHeight="1" x14ac:dyDescent="0.35">
      <c r="A61" s="50">
        <v>5</v>
      </c>
      <c r="B61" s="17" t="s">
        <v>10</v>
      </c>
      <c r="D61" s="17" t="s">
        <v>247</v>
      </c>
      <c r="G61" s="187" t="s">
        <v>165</v>
      </c>
      <c r="J61" s="17" t="s">
        <v>136</v>
      </c>
    </row>
    <row r="62" spans="1:11" ht="15" customHeight="1" x14ac:dyDescent="0.35">
      <c r="A62" s="5">
        <v>6</v>
      </c>
      <c r="B62" s="17" t="s">
        <v>14</v>
      </c>
      <c r="D62" s="17" t="s">
        <v>512</v>
      </c>
      <c r="G62" s="189" t="s">
        <v>242</v>
      </c>
      <c r="J62" s="17" t="s">
        <v>136</v>
      </c>
    </row>
    <row r="63" spans="1:11" ht="15" customHeight="1" x14ac:dyDescent="0.35">
      <c r="A63" s="50">
        <v>7</v>
      </c>
      <c r="B63" s="17" t="s">
        <v>12</v>
      </c>
      <c r="D63" s="3" t="s">
        <v>190</v>
      </c>
      <c r="G63" s="189" t="s">
        <v>242</v>
      </c>
      <c r="J63" s="3" t="s">
        <v>177</v>
      </c>
    </row>
    <row r="64" spans="1:11" ht="15" customHeight="1" x14ac:dyDescent="0.35">
      <c r="A64" s="5">
        <v>8</v>
      </c>
      <c r="B64" s="17" t="s">
        <v>13</v>
      </c>
      <c r="D64" s="17" t="s">
        <v>194</v>
      </c>
      <c r="G64" s="187" t="s">
        <v>187</v>
      </c>
      <c r="J64" s="17" t="s">
        <v>177</v>
      </c>
    </row>
    <row r="65" spans="1:11" ht="15" customHeight="1" x14ac:dyDescent="0.35">
      <c r="A65" s="50">
        <v>9</v>
      </c>
      <c r="B65" s="17" t="s">
        <v>189</v>
      </c>
      <c r="D65" s="17" t="s">
        <v>201</v>
      </c>
      <c r="G65" s="187" t="s">
        <v>187</v>
      </c>
      <c r="J65" s="17" t="s">
        <v>177</v>
      </c>
    </row>
    <row r="66" spans="1:11" ht="15" customHeight="1" x14ac:dyDescent="0.35">
      <c r="A66" s="5">
        <v>10</v>
      </c>
      <c r="B66" s="17" t="s">
        <v>15</v>
      </c>
      <c r="D66" s="17" t="s">
        <v>243</v>
      </c>
      <c r="G66" s="187" t="s">
        <v>187</v>
      </c>
      <c r="J66" s="17" t="s">
        <v>177</v>
      </c>
    </row>
    <row r="67" spans="1:11" ht="15" customHeight="1" x14ac:dyDescent="0.35">
      <c r="A67" s="50">
        <v>11</v>
      </c>
      <c r="B67" s="17" t="s">
        <v>15</v>
      </c>
      <c r="D67" s="17" t="s">
        <v>509</v>
      </c>
      <c r="G67" s="187" t="s">
        <v>187</v>
      </c>
      <c r="J67" s="17" t="s">
        <v>177</v>
      </c>
    </row>
    <row r="68" spans="1:11" ht="15" customHeight="1" x14ac:dyDescent="0.35">
      <c r="A68" s="5">
        <v>12</v>
      </c>
      <c r="B68" s="17" t="s">
        <v>15</v>
      </c>
      <c r="D68" s="17" t="s">
        <v>200</v>
      </c>
      <c r="G68" s="17" t="s">
        <v>187</v>
      </c>
      <c r="J68" s="17" t="s">
        <v>177</v>
      </c>
    </row>
    <row r="69" spans="1:11" ht="15" customHeight="1" x14ac:dyDescent="0.35">
      <c r="A69" s="50">
        <v>13</v>
      </c>
      <c r="B69" s="17" t="s">
        <v>15</v>
      </c>
      <c r="D69" s="17" t="s">
        <v>511</v>
      </c>
      <c r="G69" s="187" t="s">
        <v>187</v>
      </c>
      <c r="J69" s="17" t="s">
        <v>177</v>
      </c>
    </row>
    <row r="70" spans="1:11" ht="15" customHeight="1" x14ac:dyDescent="0.35">
      <c r="A70" s="5">
        <v>14</v>
      </c>
      <c r="B70" s="17" t="s">
        <v>15</v>
      </c>
      <c r="D70" s="17" t="s">
        <v>239</v>
      </c>
      <c r="G70" s="187" t="s">
        <v>187</v>
      </c>
      <c r="J70" s="17" t="s">
        <v>177</v>
      </c>
    </row>
    <row r="71" spans="1:11" ht="15" customHeight="1" x14ac:dyDescent="0.35">
      <c r="A71" s="50">
        <v>15</v>
      </c>
      <c r="B71" s="17" t="s">
        <v>15</v>
      </c>
      <c r="D71" s="17" t="s">
        <v>240</v>
      </c>
      <c r="G71" s="187" t="s">
        <v>187</v>
      </c>
      <c r="J71" s="17" t="s">
        <v>177</v>
      </c>
    </row>
    <row r="72" spans="1:11" ht="15" customHeight="1" x14ac:dyDescent="0.35">
      <c r="A72" s="5">
        <v>16</v>
      </c>
      <c r="B72" s="17" t="s">
        <v>192</v>
      </c>
      <c r="D72" s="17" t="s">
        <v>195</v>
      </c>
      <c r="G72" s="187" t="s">
        <v>187</v>
      </c>
      <c r="J72" s="17" t="s">
        <v>177</v>
      </c>
    </row>
    <row r="73" spans="1:11" ht="15" customHeight="1" x14ac:dyDescent="0.35">
      <c r="A73" s="50">
        <v>17</v>
      </c>
      <c r="B73" s="17" t="s">
        <v>196</v>
      </c>
      <c r="D73" s="17" t="s">
        <v>510</v>
      </c>
      <c r="G73" s="187" t="s">
        <v>187</v>
      </c>
      <c r="J73" s="17" t="s">
        <v>177</v>
      </c>
    </row>
    <row r="74" spans="1:11" ht="15" customHeight="1" x14ac:dyDescent="0.35">
      <c r="A74" s="5">
        <v>18</v>
      </c>
      <c r="B74" s="190" t="s">
        <v>137</v>
      </c>
      <c r="D74" s="17" t="s">
        <v>197</v>
      </c>
      <c r="F74" s="188"/>
      <c r="J74" s="17" t="s">
        <v>177</v>
      </c>
    </row>
    <row r="75" spans="1:11" ht="15" customHeight="1" x14ac:dyDescent="0.35">
      <c r="A75" s="50"/>
      <c r="B75" s="13"/>
      <c r="C75" s="12"/>
      <c r="E75" s="13"/>
      <c r="F75" s="54"/>
      <c r="G75" s="50"/>
      <c r="H75" s="108"/>
      <c r="I75" s="13"/>
      <c r="K75" s="12"/>
    </row>
    <row r="76" spans="1:11" ht="15" customHeight="1" x14ac:dyDescent="0.35">
      <c r="A76" s="5"/>
      <c r="B76" s="13"/>
      <c r="C76" s="12"/>
      <c r="D76" s="17"/>
      <c r="E76" s="13"/>
      <c r="F76" s="184"/>
      <c r="G76" s="50"/>
      <c r="H76" s="108"/>
      <c r="I76" s="13"/>
      <c r="K76" s="12"/>
    </row>
    <row r="77" spans="1:11" ht="15" customHeight="1" x14ac:dyDescent="0.35">
      <c r="A77" s="5"/>
      <c r="B77" s="13"/>
      <c r="C77" s="102"/>
      <c r="E77" s="13"/>
      <c r="F77" s="184"/>
      <c r="G77" s="50"/>
      <c r="H77" s="108"/>
      <c r="I77" s="13"/>
      <c r="K77" s="12"/>
    </row>
    <row r="78" spans="1:11" ht="15" customHeight="1" x14ac:dyDescent="0.35">
      <c r="A78" s="50"/>
      <c r="B78" s="111"/>
      <c r="C78" s="12"/>
      <c r="D78" s="17"/>
      <c r="E78" s="13"/>
      <c r="F78" s="184"/>
      <c r="G78" s="50"/>
      <c r="H78" s="108"/>
      <c r="I78" s="13"/>
      <c r="J78" s="13"/>
      <c r="K78" s="12"/>
    </row>
    <row r="79" spans="1:11" ht="15" customHeight="1" x14ac:dyDescent="0.35">
      <c r="A79" s="50"/>
      <c r="B79" s="13"/>
      <c r="C79" s="12"/>
      <c r="E79" s="29"/>
      <c r="F79" s="29"/>
      <c r="J79" s="13"/>
      <c r="K79" s="12"/>
    </row>
    <row r="80" spans="1:11" ht="15" customHeight="1" x14ac:dyDescent="0.35">
      <c r="A80" s="5"/>
      <c r="B80" s="13"/>
      <c r="C80" s="12"/>
      <c r="D80" s="17"/>
      <c r="J80" s="13"/>
      <c r="K80" s="12"/>
    </row>
    <row r="81" spans="1:12" ht="15" customHeight="1" x14ac:dyDescent="0.35">
      <c r="A81" s="50"/>
      <c r="B81" s="13"/>
      <c r="C81" s="12"/>
      <c r="D81" s="17"/>
      <c r="J81" s="112"/>
      <c r="K81" s="12"/>
    </row>
    <row r="82" spans="1:12" ht="15" customHeight="1" x14ac:dyDescent="0.35">
      <c r="A82" s="5"/>
      <c r="B82" s="38"/>
      <c r="J82" s="112"/>
      <c r="K82" s="12"/>
    </row>
    <row r="83" spans="1:12" ht="12.75" customHeight="1" x14ac:dyDescent="0.35">
      <c r="A83" s="50"/>
      <c r="B83" s="38"/>
      <c r="J83" s="112"/>
    </row>
    <row r="84" spans="1:12" ht="15" customHeight="1" x14ac:dyDescent="0.35">
      <c r="A84" s="5"/>
      <c r="B84" s="11"/>
      <c r="C84" s="10"/>
      <c r="D84" s="113"/>
      <c r="J84" s="13"/>
      <c r="K84" s="12"/>
    </row>
    <row r="85" spans="1:12" ht="15" customHeight="1" x14ac:dyDescent="0.35">
      <c r="A85" s="50"/>
      <c r="B85" s="109"/>
      <c r="C85" s="48"/>
      <c r="D85" s="48"/>
      <c r="J85" s="110"/>
      <c r="K85" s="48"/>
    </row>
    <row r="86" spans="1:12" ht="15" customHeight="1" x14ac:dyDescent="0.35">
      <c r="A86" s="5"/>
      <c r="B86" s="109"/>
      <c r="C86" s="48"/>
      <c r="D86" s="48"/>
      <c r="J86" s="110"/>
      <c r="K86" s="48"/>
    </row>
    <row r="87" spans="1:12" ht="15" customHeight="1" x14ac:dyDescent="0.35">
      <c r="A87" s="50"/>
      <c r="B87" s="109"/>
      <c r="C87" s="48"/>
      <c r="D87" s="48"/>
      <c r="J87" s="110"/>
      <c r="K87" s="48"/>
    </row>
    <row r="88" spans="1:12" ht="15" customHeight="1" x14ac:dyDescent="0.35">
      <c r="A88" s="5"/>
      <c r="B88" s="109"/>
      <c r="C88" s="48"/>
      <c r="D88" s="48"/>
      <c r="E88" s="109"/>
      <c r="F88" s="48"/>
      <c r="G88" s="109"/>
      <c r="H88" s="109"/>
      <c r="I88" s="109"/>
      <c r="J88" s="110"/>
      <c r="K88" s="48"/>
    </row>
    <row r="89" spans="1:12" ht="15" customHeight="1" x14ac:dyDescent="0.35">
      <c r="B89" s="109"/>
      <c r="C89" s="48"/>
      <c r="D89" s="48"/>
      <c r="E89" s="109"/>
      <c r="F89" s="48"/>
      <c r="G89" s="109"/>
      <c r="H89" s="109"/>
      <c r="I89" s="109"/>
      <c r="J89" s="110"/>
      <c r="K89" s="48"/>
    </row>
    <row r="90" spans="1:12" ht="15" customHeight="1" x14ac:dyDescent="0.35">
      <c r="B90" s="109"/>
      <c r="C90" s="48"/>
      <c r="D90" s="48"/>
      <c r="E90" s="109"/>
      <c r="F90" s="48"/>
      <c r="G90" s="109"/>
      <c r="H90" s="109"/>
      <c r="I90" s="109"/>
      <c r="J90" s="110"/>
      <c r="K90" s="48"/>
    </row>
    <row r="91" spans="1:12" ht="12.75" customHeight="1" x14ac:dyDescent="0.35">
      <c r="A91" s="235" t="str">
        <f>$A$1</f>
        <v>МКУ "Комитет по физической культуре и спорту"</v>
      </c>
      <c r="B91" s="235"/>
      <c r="C91" s="235"/>
      <c r="D91" s="235"/>
      <c r="E91" s="235"/>
      <c r="F91" s="235"/>
      <c r="G91" s="235"/>
      <c r="H91" s="235"/>
      <c r="I91" s="235"/>
      <c r="J91" s="235"/>
      <c r="K91" s="235"/>
    </row>
    <row r="92" spans="1:12" ht="12.75" customHeight="1" x14ac:dyDescent="0.35">
      <c r="A92" s="235" t="str">
        <f>$A$2</f>
        <v>Муниципальное бюджетное учреждение "Комплексная спортивная школа" города Ачинска</v>
      </c>
      <c r="B92" s="235"/>
      <c r="C92" s="235"/>
      <c r="D92" s="235"/>
      <c r="E92" s="235"/>
      <c r="F92" s="235"/>
      <c r="G92" s="235"/>
      <c r="H92" s="235"/>
      <c r="I92" s="235"/>
      <c r="J92" s="235"/>
      <c r="K92" s="235"/>
    </row>
    <row r="93" spans="1:12" ht="96.5" customHeight="1" x14ac:dyDescent="0.35">
      <c r="A93" s="236" t="str">
        <f>$A$21</f>
        <v xml:space="preserve">Открытое первенство Ачинского муниципального округа по подводному спорту (плавание в ластах) (1460008511Я)
посвященное "Дню Космонавтики"
юниоры и юниорки (14-17 лет), девушки и юноши (12-13 лет), 
</v>
      </c>
      <c r="B93" s="236"/>
      <c r="C93" s="236"/>
      <c r="D93" s="236"/>
      <c r="E93" s="236"/>
      <c r="F93" s="236"/>
      <c r="G93" s="236"/>
      <c r="H93" s="236"/>
      <c r="I93" s="236"/>
      <c r="J93" s="236"/>
      <c r="K93" s="236"/>
    </row>
    <row r="94" spans="1:12" ht="27" customHeight="1" x14ac:dyDescent="0.35">
      <c r="A94" s="3" t="str">
        <f>$A$49</f>
        <v>25-26 апреля 2026г.</v>
      </c>
      <c r="B94" s="4"/>
      <c r="C94" s="2"/>
      <c r="D94" s="4"/>
      <c r="E94" s="5"/>
      <c r="F94" s="2"/>
      <c r="G94" s="237" t="str">
        <f>$A$48</f>
        <v>г. Ачинск, плавательный бассейн "Нептун" МБУ "ГСК "Олимп", 25 м</v>
      </c>
      <c r="H94" s="237"/>
      <c r="I94" s="237"/>
      <c r="J94" s="237"/>
      <c r="K94" s="237"/>
    </row>
    <row r="95" spans="1:12" ht="20.25" customHeight="1" x14ac:dyDescent="0.35">
      <c r="A95" s="247" t="s">
        <v>16</v>
      </c>
      <c r="B95" s="247"/>
      <c r="C95" s="247"/>
      <c r="D95" s="247"/>
      <c r="E95" s="247"/>
      <c r="F95" s="247"/>
      <c r="G95" s="247"/>
      <c r="H95" s="247"/>
      <c r="I95" s="247"/>
      <c r="J95" s="248"/>
      <c r="K95" s="248"/>
    </row>
    <row r="96" spans="1:12" ht="27" customHeight="1" x14ac:dyDescent="0.35">
      <c r="A96" s="197" t="s">
        <v>1</v>
      </c>
      <c r="B96" s="15" t="s">
        <v>19</v>
      </c>
      <c r="C96" s="249" t="s">
        <v>17</v>
      </c>
      <c r="D96" s="250"/>
      <c r="E96" s="15" t="s">
        <v>18</v>
      </c>
      <c r="F96" s="249" t="s">
        <v>20</v>
      </c>
      <c r="G96" s="251"/>
      <c r="H96" s="250"/>
      <c r="I96" s="249" t="s">
        <v>21</v>
      </c>
      <c r="J96" s="250"/>
      <c r="K96" s="196"/>
      <c r="L96" s="30"/>
    </row>
    <row r="97" spans="1:12" ht="12.75" customHeight="1" x14ac:dyDescent="0.35">
      <c r="A97" s="5"/>
      <c r="B97" s="5"/>
      <c r="C97" s="2"/>
      <c r="D97" s="2"/>
      <c r="E97" s="4"/>
      <c r="F97" s="2"/>
      <c r="G97" s="2"/>
      <c r="H97" s="6"/>
      <c r="I97" s="118"/>
      <c r="J97" s="4"/>
      <c r="K97" s="16"/>
      <c r="L97" s="30"/>
    </row>
    <row r="98" spans="1:12" s="114" customFormat="1" ht="13" x14ac:dyDescent="0.3">
      <c r="A98" s="51"/>
      <c r="B98" s="220" t="s">
        <v>172</v>
      </c>
      <c r="C98" s="28"/>
      <c r="D98" s="3"/>
      <c r="E98" s="100"/>
      <c r="F98" s="28"/>
      <c r="G98" s="27"/>
      <c r="I98" s="5"/>
      <c r="J98" s="1"/>
      <c r="K98" s="20"/>
    </row>
    <row r="99" spans="1:12" s="127" customFormat="1" ht="12" x14ac:dyDescent="0.3">
      <c r="A99" s="128">
        <v>1</v>
      </c>
      <c r="B99" s="21" t="s">
        <v>24</v>
      </c>
      <c r="C99" s="28" t="s">
        <v>249</v>
      </c>
      <c r="E99" s="202">
        <v>40822</v>
      </c>
      <c r="F99" s="28" t="s">
        <v>172</v>
      </c>
      <c r="G99" s="27" t="s">
        <v>69</v>
      </c>
      <c r="H99" s="27"/>
      <c r="I99" s="52" t="s">
        <v>171</v>
      </c>
      <c r="J99" s="5"/>
      <c r="K99" s="1"/>
      <c r="L99" s="53"/>
    </row>
    <row r="100" spans="1:12" s="127" customFormat="1" ht="12" x14ac:dyDescent="0.3">
      <c r="A100" s="128">
        <v>2</v>
      </c>
      <c r="B100" s="21" t="s">
        <v>25</v>
      </c>
      <c r="C100" s="28" t="s">
        <v>250</v>
      </c>
      <c r="E100" s="202">
        <v>41666</v>
      </c>
      <c r="F100" s="28" t="s">
        <v>172</v>
      </c>
      <c r="G100" s="27" t="s">
        <v>69</v>
      </c>
      <c r="H100" s="27"/>
      <c r="I100" s="52" t="s">
        <v>171</v>
      </c>
      <c r="J100" s="5"/>
      <c r="K100" s="1"/>
      <c r="L100" s="53"/>
    </row>
    <row r="101" spans="1:12" s="127" customFormat="1" ht="12" x14ac:dyDescent="0.3">
      <c r="A101" s="128">
        <v>3</v>
      </c>
      <c r="B101" s="21" t="s">
        <v>25</v>
      </c>
      <c r="C101" s="28" t="s">
        <v>251</v>
      </c>
      <c r="E101" s="202">
        <v>41689</v>
      </c>
      <c r="F101" s="28" t="s">
        <v>172</v>
      </c>
      <c r="G101" s="27" t="s">
        <v>69</v>
      </c>
      <c r="H101" s="27"/>
      <c r="I101" s="52" t="s">
        <v>171</v>
      </c>
      <c r="J101" s="5"/>
      <c r="K101" s="1"/>
      <c r="L101" s="53"/>
    </row>
    <row r="102" spans="1:12" s="127" customFormat="1" ht="12" x14ac:dyDescent="0.3">
      <c r="A102" s="128">
        <v>4</v>
      </c>
      <c r="B102" s="14" t="s">
        <v>38</v>
      </c>
      <c r="C102" s="28" t="s">
        <v>252</v>
      </c>
      <c r="E102" s="202">
        <v>41773</v>
      </c>
      <c r="F102" s="28" t="s">
        <v>172</v>
      </c>
      <c r="G102" s="27" t="s">
        <v>69</v>
      </c>
      <c r="H102" s="27"/>
      <c r="I102" s="52" t="s">
        <v>171</v>
      </c>
      <c r="J102" s="5"/>
      <c r="K102" s="1"/>
      <c r="L102" s="53"/>
    </row>
    <row r="103" spans="1:12" s="127" customFormat="1" ht="12" x14ac:dyDescent="0.3">
      <c r="A103" s="128">
        <v>5</v>
      </c>
      <c r="B103" s="21" t="s">
        <v>25</v>
      </c>
      <c r="C103" s="28" t="s">
        <v>253</v>
      </c>
      <c r="E103" s="202">
        <v>41932</v>
      </c>
      <c r="F103" s="28" t="s">
        <v>172</v>
      </c>
      <c r="G103" s="27" t="s">
        <v>69</v>
      </c>
      <c r="H103" s="27"/>
      <c r="I103" s="52" t="s">
        <v>171</v>
      </c>
      <c r="J103" s="5"/>
      <c r="K103" s="1"/>
      <c r="L103" s="53"/>
    </row>
    <row r="104" spans="1:12" s="127" customFormat="1" ht="12" x14ac:dyDescent="0.3">
      <c r="A104" s="128">
        <v>6</v>
      </c>
      <c r="B104" s="21" t="s">
        <v>25</v>
      </c>
      <c r="C104" s="28" t="s">
        <v>254</v>
      </c>
      <c r="E104" s="202">
        <v>41737</v>
      </c>
      <c r="F104" s="28" t="s">
        <v>172</v>
      </c>
      <c r="G104" s="27" t="s">
        <v>69</v>
      </c>
      <c r="H104" s="27"/>
      <c r="I104" s="52" t="s">
        <v>171</v>
      </c>
      <c r="J104" s="5"/>
      <c r="K104" s="1"/>
      <c r="L104" s="53"/>
    </row>
    <row r="105" spans="1:12" s="127" customFormat="1" ht="12" x14ac:dyDescent="0.3">
      <c r="A105" s="128">
        <v>7</v>
      </c>
      <c r="B105" s="21" t="s">
        <v>25</v>
      </c>
      <c r="C105" s="28" t="s">
        <v>255</v>
      </c>
      <c r="E105" s="202">
        <v>41786</v>
      </c>
      <c r="F105" s="28" t="s">
        <v>172</v>
      </c>
      <c r="G105" s="27" t="s">
        <v>69</v>
      </c>
      <c r="H105" s="27"/>
      <c r="I105" s="52" t="s">
        <v>171</v>
      </c>
      <c r="J105" s="5"/>
      <c r="K105" s="1"/>
      <c r="L105" s="53"/>
    </row>
    <row r="106" spans="1:12" s="127" customFormat="1" ht="12" x14ac:dyDescent="0.3">
      <c r="A106" s="128">
        <v>8</v>
      </c>
      <c r="B106" s="21" t="s">
        <v>25</v>
      </c>
      <c r="C106" s="28" t="s">
        <v>256</v>
      </c>
      <c r="E106" s="206">
        <v>41711</v>
      </c>
      <c r="F106" s="28" t="s">
        <v>172</v>
      </c>
      <c r="G106" s="27" t="s">
        <v>69</v>
      </c>
      <c r="H106" s="27"/>
      <c r="I106" s="52" t="s">
        <v>171</v>
      </c>
      <c r="J106" s="5"/>
      <c r="K106" s="1"/>
      <c r="L106" s="53"/>
    </row>
    <row r="107" spans="1:12" s="127" customFormat="1" ht="12" x14ac:dyDescent="0.3">
      <c r="A107" s="128">
        <v>9</v>
      </c>
      <c r="B107" s="21" t="s">
        <v>24</v>
      </c>
      <c r="C107" s="28" t="s">
        <v>257</v>
      </c>
      <c r="E107" s="202">
        <v>40381</v>
      </c>
      <c r="F107" s="28" t="s">
        <v>172</v>
      </c>
      <c r="G107" s="27" t="s">
        <v>71</v>
      </c>
      <c r="H107" s="27"/>
      <c r="I107" s="52" t="s">
        <v>171</v>
      </c>
      <c r="J107" s="5"/>
      <c r="K107" s="1"/>
      <c r="L107" s="53"/>
    </row>
    <row r="108" spans="1:12" s="127" customFormat="1" ht="12" x14ac:dyDescent="0.3">
      <c r="A108" s="128">
        <v>10</v>
      </c>
      <c r="B108" s="21" t="s">
        <v>6</v>
      </c>
      <c r="C108" s="28" t="s">
        <v>258</v>
      </c>
      <c r="E108" s="205">
        <v>40652</v>
      </c>
      <c r="F108" s="28" t="s">
        <v>172</v>
      </c>
      <c r="G108" s="27" t="s">
        <v>71</v>
      </c>
      <c r="H108" s="27"/>
      <c r="I108" s="52" t="s">
        <v>171</v>
      </c>
      <c r="J108" s="5"/>
      <c r="K108" s="1"/>
      <c r="L108" s="53"/>
    </row>
    <row r="109" spans="1:12" s="127" customFormat="1" ht="12" x14ac:dyDescent="0.3">
      <c r="A109" s="128">
        <v>11</v>
      </c>
      <c r="B109" s="21" t="s">
        <v>6</v>
      </c>
      <c r="C109" s="28" t="s">
        <v>473</v>
      </c>
      <c r="E109" s="205">
        <v>40686</v>
      </c>
      <c r="F109" s="28" t="s">
        <v>172</v>
      </c>
      <c r="G109" s="27" t="s">
        <v>71</v>
      </c>
      <c r="H109" s="27"/>
      <c r="I109" s="52" t="s">
        <v>171</v>
      </c>
      <c r="J109" s="5"/>
      <c r="K109" s="1"/>
      <c r="L109" s="53"/>
    </row>
    <row r="110" spans="1:12" s="127" customFormat="1" ht="12" x14ac:dyDescent="0.3">
      <c r="A110" s="128">
        <v>12</v>
      </c>
      <c r="B110" s="21" t="s">
        <v>24</v>
      </c>
      <c r="C110" s="28" t="s">
        <v>259</v>
      </c>
      <c r="E110" s="206">
        <v>40745</v>
      </c>
      <c r="F110" s="28" t="s">
        <v>172</v>
      </c>
      <c r="G110" s="27" t="s">
        <v>71</v>
      </c>
      <c r="H110" s="27"/>
      <c r="I110" s="52" t="s">
        <v>171</v>
      </c>
      <c r="J110" s="5"/>
      <c r="K110" s="1"/>
      <c r="L110" s="53"/>
    </row>
    <row r="111" spans="1:12" s="127" customFormat="1" ht="12" x14ac:dyDescent="0.3">
      <c r="A111" s="128">
        <v>13</v>
      </c>
      <c r="B111" s="21" t="s">
        <v>24</v>
      </c>
      <c r="C111" s="28" t="s">
        <v>260</v>
      </c>
      <c r="E111" s="205">
        <v>40803</v>
      </c>
      <c r="F111" s="28" t="s">
        <v>172</v>
      </c>
      <c r="G111" s="27" t="s">
        <v>71</v>
      </c>
      <c r="H111" s="27"/>
      <c r="I111" s="52" t="s">
        <v>171</v>
      </c>
      <c r="J111" s="5"/>
      <c r="K111" s="1"/>
      <c r="L111" s="53"/>
    </row>
    <row r="112" spans="1:12" s="127" customFormat="1" ht="12" x14ac:dyDescent="0.3">
      <c r="A112" s="128">
        <v>14</v>
      </c>
      <c r="B112" s="21" t="s">
        <v>24</v>
      </c>
      <c r="C112" s="28" t="s">
        <v>261</v>
      </c>
      <c r="E112" s="202">
        <v>41061</v>
      </c>
      <c r="F112" s="28" t="s">
        <v>172</v>
      </c>
      <c r="G112" s="27" t="s">
        <v>71</v>
      </c>
      <c r="H112" s="27"/>
      <c r="I112" s="52" t="s">
        <v>171</v>
      </c>
      <c r="J112" s="5"/>
      <c r="K112" s="1"/>
      <c r="L112" s="53"/>
    </row>
    <row r="113" spans="1:24" s="127" customFormat="1" ht="12" x14ac:dyDescent="0.3">
      <c r="A113" s="128">
        <v>15</v>
      </c>
      <c r="B113" s="21" t="s">
        <v>24</v>
      </c>
      <c r="C113" s="28" t="s">
        <v>262</v>
      </c>
      <c r="E113" s="202">
        <v>41455</v>
      </c>
      <c r="F113" s="28" t="s">
        <v>172</v>
      </c>
      <c r="G113" s="27" t="s">
        <v>71</v>
      </c>
      <c r="H113" s="27"/>
      <c r="I113" s="52" t="s">
        <v>171</v>
      </c>
      <c r="J113" s="5"/>
      <c r="K113" s="1"/>
      <c r="L113" s="53"/>
    </row>
    <row r="114" spans="1:24" s="127" customFormat="1" ht="12" x14ac:dyDescent="0.3">
      <c r="A114" s="128">
        <v>16</v>
      </c>
      <c r="B114" s="21" t="s">
        <v>25</v>
      </c>
      <c r="C114" s="28" t="s">
        <v>263</v>
      </c>
      <c r="E114" s="206">
        <v>41488</v>
      </c>
      <c r="F114" s="28" t="s">
        <v>172</v>
      </c>
      <c r="G114" s="27" t="s">
        <v>71</v>
      </c>
      <c r="H114" s="27"/>
      <c r="I114" s="52" t="s">
        <v>171</v>
      </c>
      <c r="J114" s="5"/>
      <c r="K114" s="1"/>
      <c r="L114" s="53"/>
    </row>
    <row r="115" spans="1:24" s="127" customFormat="1" ht="12" x14ac:dyDescent="0.3">
      <c r="A115" s="128">
        <v>17</v>
      </c>
      <c r="B115" s="14" t="s">
        <v>22</v>
      </c>
      <c r="C115" s="28" t="s">
        <v>264</v>
      </c>
      <c r="E115" s="205">
        <v>41681</v>
      </c>
      <c r="F115" s="28" t="s">
        <v>172</v>
      </c>
      <c r="G115" s="27" t="s">
        <v>71</v>
      </c>
      <c r="H115" s="27"/>
      <c r="I115" s="52" t="s">
        <v>171</v>
      </c>
      <c r="J115" s="5"/>
      <c r="K115" s="1"/>
      <c r="L115" s="53"/>
      <c r="X115" s="114"/>
    </row>
    <row r="116" spans="1:24" s="127" customFormat="1" ht="12" x14ac:dyDescent="0.3">
      <c r="A116" s="128">
        <v>18</v>
      </c>
      <c r="B116" s="14" t="s">
        <v>38</v>
      </c>
      <c r="C116" s="28" t="s">
        <v>265</v>
      </c>
      <c r="E116" s="202">
        <v>41695</v>
      </c>
      <c r="F116" s="28" t="s">
        <v>172</v>
      </c>
      <c r="G116" s="27" t="s">
        <v>71</v>
      </c>
      <c r="H116" s="27"/>
      <c r="I116" s="52" t="s">
        <v>171</v>
      </c>
      <c r="J116" s="5"/>
      <c r="K116" s="1"/>
      <c r="L116" s="53"/>
      <c r="X116" s="114"/>
    </row>
    <row r="117" spans="1:24" s="127" customFormat="1" ht="12" x14ac:dyDescent="0.3">
      <c r="A117" s="128">
        <v>19</v>
      </c>
      <c r="B117" s="14" t="s">
        <v>22</v>
      </c>
      <c r="C117" s="28" t="s">
        <v>266</v>
      </c>
      <c r="E117" s="206">
        <v>41700</v>
      </c>
      <c r="F117" s="28" t="s">
        <v>172</v>
      </c>
      <c r="G117" s="27" t="s">
        <v>71</v>
      </c>
      <c r="H117" s="27"/>
      <c r="I117" s="52" t="s">
        <v>171</v>
      </c>
      <c r="J117" s="5"/>
      <c r="K117" s="1"/>
      <c r="L117" s="53"/>
      <c r="X117" s="219"/>
    </row>
    <row r="118" spans="1:24" s="127" customFormat="1" ht="12" x14ac:dyDescent="0.3">
      <c r="A118" s="128">
        <v>20</v>
      </c>
      <c r="B118" s="14" t="s">
        <v>22</v>
      </c>
      <c r="C118" s="28" t="s">
        <v>267</v>
      </c>
      <c r="E118" s="202">
        <v>41733</v>
      </c>
      <c r="F118" s="28" t="s">
        <v>172</v>
      </c>
      <c r="G118" s="27" t="s">
        <v>71</v>
      </c>
      <c r="H118" s="27"/>
      <c r="I118" s="52" t="s">
        <v>171</v>
      </c>
      <c r="J118" s="5"/>
      <c r="K118" s="1"/>
      <c r="L118" s="53"/>
      <c r="X118" s="219"/>
    </row>
    <row r="119" spans="1:24" s="127" customFormat="1" ht="12" x14ac:dyDescent="0.3">
      <c r="A119" s="128">
        <v>21</v>
      </c>
      <c r="B119" s="14" t="s">
        <v>22</v>
      </c>
      <c r="C119" s="28" t="s">
        <v>268</v>
      </c>
      <c r="E119" s="202">
        <v>41740</v>
      </c>
      <c r="F119" s="28" t="s">
        <v>172</v>
      </c>
      <c r="G119" s="27" t="s">
        <v>71</v>
      </c>
      <c r="H119" s="27"/>
      <c r="I119" s="52" t="s">
        <v>171</v>
      </c>
      <c r="J119" s="5"/>
      <c r="K119" s="1"/>
      <c r="L119" s="53"/>
      <c r="X119" s="219"/>
    </row>
    <row r="120" spans="1:24" s="127" customFormat="1" ht="12" x14ac:dyDescent="0.3">
      <c r="A120" s="128">
        <v>22</v>
      </c>
      <c r="B120" s="14" t="s">
        <v>22</v>
      </c>
      <c r="C120" s="28" t="s">
        <v>269</v>
      </c>
      <c r="E120" s="202">
        <v>41753</v>
      </c>
      <c r="F120" s="28" t="s">
        <v>172</v>
      </c>
      <c r="G120" s="27" t="s">
        <v>71</v>
      </c>
      <c r="H120" s="27"/>
      <c r="I120" s="52" t="s">
        <v>171</v>
      </c>
      <c r="J120" s="5"/>
      <c r="K120" s="1"/>
      <c r="L120" s="53"/>
      <c r="X120" s="219"/>
    </row>
    <row r="121" spans="1:24" s="127" customFormat="1" ht="12" x14ac:dyDescent="0.3">
      <c r="A121" s="128">
        <v>23</v>
      </c>
      <c r="B121" s="14" t="s">
        <v>38</v>
      </c>
      <c r="C121" s="28" t="s">
        <v>270</v>
      </c>
      <c r="E121" s="206">
        <v>41792</v>
      </c>
      <c r="F121" s="28" t="s">
        <v>172</v>
      </c>
      <c r="G121" s="27" t="s">
        <v>71</v>
      </c>
      <c r="H121" s="27"/>
      <c r="I121" s="52" t="s">
        <v>171</v>
      </c>
      <c r="J121" s="5"/>
      <c r="K121" s="1"/>
      <c r="L121" s="53"/>
    </row>
    <row r="122" spans="1:24" s="127" customFormat="1" ht="12" x14ac:dyDescent="0.3">
      <c r="A122" s="128">
        <v>24</v>
      </c>
      <c r="B122" s="14" t="s">
        <v>38</v>
      </c>
      <c r="C122" s="28" t="s">
        <v>271</v>
      </c>
      <c r="E122" s="202">
        <v>41835</v>
      </c>
      <c r="F122" s="28" t="s">
        <v>172</v>
      </c>
      <c r="G122" s="27" t="s">
        <v>71</v>
      </c>
      <c r="H122" s="27"/>
      <c r="I122" s="52" t="s">
        <v>171</v>
      </c>
      <c r="J122" s="5"/>
      <c r="K122" s="1"/>
      <c r="L122" s="53"/>
    </row>
    <row r="123" spans="1:24" s="127" customFormat="1" ht="12" x14ac:dyDescent="0.3">
      <c r="A123" s="128">
        <v>25</v>
      </c>
      <c r="B123" s="14" t="s">
        <v>38</v>
      </c>
      <c r="C123" s="28" t="s">
        <v>272</v>
      </c>
      <c r="E123" s="202">
        <v>41926</v>
      </c>
      <c r="F123" s="28" t="s">
        <v>172</v>
      </c>
      <c r="G123" s="27" t="s">
        <v>71</v>
      </c>
      <c r="H123" s="27"/>
      <c r="I123" s="52" t="s">
        <v>171</v>
      </c>
      <c r="J123" s="5"/>
      <c r="K123" s="1"/>
      <c r="L123" s="53"/>
    </row>
    <row r="124" spans="1:24" s="127" customFormat="1" ht="12" x14ac:dyDescent="0.3">
      <c r="A124" s="128"/>
      <c r="B124" s="115" t="s">
        <v>41</v>
      </c>
      <c r="C124" s="122"/>
      <c r="D124" s="3"/>
      <c r="E124" s="116"/>
      <c r="F124" s="115" t="s">
        <v>171</v>
      </c>
      <c r="G124" s="27"/>
      <c r="H124" s="27"/>
      <c r="I124" s="52"/>
      <c r="J124" s="5"/>
      <c r="K124" s="1"/>
      <c r="L124" s="53"/>
    </row>
    <row r="125" spans="1:24" s="127" customFormat="1" ht="12" x14ac:dyDescent="0.3">
      <c r="A125" s="128"/>
      <c r="B125" s="115" t="s">
        <v>41</v>
      </c>
      <c r="C125" s="3"/>
      <c r="D125" s="3"/>
      <c r="E125" s="123"/>
      <c r="F125" s="115" t="s">
        <v>503</v>
      </c>
      <c r="G125" s="27"/>
      <c r="H125" s="52"/>
      <c r="I125" s="52"/>
      <c r="J125" s="5"/>
      <c r="K125" s="1"/>
      <c r="L125" s="53"/>
      <c r="X125" s="114"/>
    </row>
    <row r="126" spans="1:24" s="127" customFormat="1" ht="12" x14ac:dyDescent="0.3">
      <c r="A126" s="128"/>
      <c r="G126" s="27"/>
      <c r="H126" s="27"/>
      <c r="I126" s="52"/>
      <c r="J126" s="5"/>
      <c r="K126" s="1"/>
      <c r="L126" s="53"/>
      <c r="X126" s="114"/>
    </row>
    <row r="127" spans="1:24" s="127" customFormat="1" ht="13" x14ac:dyDescent="0.3">
      <c r="A127" s="128"/>
      <c r="B127" s="220" t="s">
        <v>245</v>
      </c>
      <c r="C127" s="3"/>
      <c r="D127" s="3"/>
      <c r="E127" s="123"/>
      <c r="F127" s="52"/>
      <c r="G127" s="27"/>
      <c r="H127" s="27"/>
      <c r="I127" s="52"/>
      <c r="J127" s="5"/>
      <c r="K127" s="1"/>
      <c r="L127" s="53"/>
      <c r="X127" s="114"/>
    </row>
    <row r="128" spans="1:24" s="127" customFormat="1" ht="12" x14ac:dyDescent="0.3">
      <c r="A128" s="128">
        <v>1</v>
      </c>
      <c r="B128" s="14" t="s">
        <v>6</v>
      </c>
      <c r="C128" s="28" t="s">
        <v>461</v>
      </c>
      <c r="E128" s="202">
        <v>40816</v>
      </c>
      <c r="F128" s="28" t="s">
        <v>245</v>
      </c>
      <c r="G128" s="27" t="s">
        <v>69</v>
      </c>
      <c r="H128" s="27">
        <v>1</v>
      </c>
      <c r="I128" s="52" t="s">
        <v>472</v>
      </c>
      <c r="J128" s="5"/>
      <c r="K128" s="1"/>
      <c r="L128" s="53"/>
    </row>
    <row r="129" spans="1:24" s="127" customFormat="1" ht="12" x14ac:dyDescent="0.3">
      <c r="A129" s="128">
        <v>2</v>
      </c>
      <c r="B129" s="14" t="s">
        <v>38</v>
      </c>
      <c r="C129" s="28" t="s">
        <v>462</v>
      </c>
      <c r="E129" s="202">
        <v>41824</v>
      </c>
      <c r="F129" s="28" t="s">
        <v>245</v>
      </c>
      <c r="G129" s="27" t="s">
        <v>69</v>
      </c>
      <c r="H129" s="27">
        <v>2</v>
      </c>
      <c r="I129" s="52" t="s">
        <v>472</v>
      </c>
      <c r="J129" s="5"/>
      <c r="K129" s="1"/>
      <c r="L129" s="53"/>
    </row>
    <row r="130" spans="1:24" s="127" customFormat="1" ht="12" x14ac:dyDescent="0.3">
      <c r="A130" s="128">
        <v>3</v>
      </c>
      <c r="B130" s="14" t="s">
        <v>6</v>
      </c>
      <c r="C130" s="28" t="s">
        <v>463</v>
      </c>
      <c r="E130" s="202">
        <v>41302</v>
      </c>
      <c r="F130" s="28" t="s">
        <v>245</v>
      </c>
      <c r="G130" s="27" t="s">
        <v>69</v>
      </c>
      <c r="H130" s="27">
        <v>2</v>
      </c>
      <c r="I130" s="52" t="s">
        <v>472</v>
      </c>
      <c r="J130" s="5"/>
      <c r="K130" s="1"/>
      <c r="L130" s="53"/>
    </row>
    <row r="131" spans="1:24" s="127" customFormat="1" ht="12" x14ac:dyDescent="0.3">
      <c r="A131" s="128">
        <v>4</v>
      </c>
      <c r="B131" s="14" t="s">
        <v>25</v>
      </c>
      <c r="C131" s="28" t="s">
        <v>464</v>
      </c>
      <c r="E131" s="202">
        <v>41733</v>
      </c>
      <c r="F131" s="28" t="s">
        <v>245</v>
      </c>
      <c r="G131" s="27" t="s">
        <v>69</v>
      </c>
      <c r="H131" s="27">
        <v>2</v>
      </c>
      <c r="I131" s="52" t="s">
        <v>472</v>
      </c>
      <c r="J131" s="5"/>
      <c r="K131" s="1"/>
      <c r="L131" s="53"/>
    </row>
    <row r="132" spans="1:24" s="127" customFormat="1" ht="12" x14ac:dyDescent="0.3">
      <c r="A132" s="128">
        <v>5</v>
      </c>
      <c r="B132" s="14" t="s">
        <v>24</v>
      </c>
      <c r="C132" s="28" t="s">
        <v>465</v>
      </c>
      <c r="E132" s="202">
        <v>41347</v>
      </c>
      <c r="F132" s="28" t="s">
        <v>245</v>
      </c>
      <c r="G132" s="27" t="s">
        <v>69</v>
      </c>
      <c r="H132" s="27">
        <v>2</v>
      </c>
      <c r="I132" s="52" t="s">
        <v>472</v>
      </c>
      <c r="J132" s="5"/>
      <c r="K132" s="1"/>
      <c r="L132" s="53"/>
    </row>
    <row r="133" spans="1:24" s="127" customFormat="1" ht="12" x14ac:dyDescent="0.3">
      <c r="A133" s="128">
        <v>6</v>
      </c>
      <c r="B133" s="14" t="s">
        <v>25</v>
      </c>
      <c r="C133" s="28" t="s">
        <v>466</v>
      </c>
      <c r="E133" s="202">
        <v>41113</v>
      </c>
      <c r="F133" s="28" t="s">
        <v>245</v>
      </c>
      <c r="G133" s="27" t="s">
        <v>71</v>
      </c>
      <c r="H133" s="27">
        <v>1</v>
      </c>
      <c r="I133" s="52" t="s">
        <v>472</v>
      </c>
      <c r="J133" s="5"/>
      <c r="K133" s="1"/>
      <c r="L133" s="53"/>
    </row>
    <row r="134" spans="1:24" s="127" customFormat="1" ht="12" x14ac:dyDescent="0.3">
      <c r="A134" s="128">
        <v>7</v>
      </c>
      <c r="B134" s="14" t="s">
        <v>38</v>
      </c>
      <c r="C134" s="28" t="s">
        <v>467</v>
      </c>
      <c r="E134" s="202">
        <v>41200</v>
      </c>
      <c r="F134" s="28" t="s">
        <v>245</v>
      </c>
      <c r="G134" s="27" t="s">
        <v>71</v>
      </c>
      <c r="H134" s="27">
        <v>1</v>
      </c>
      <c r="I134" s="52" t="s">
        <v>472</v>
      </c>
      <c r="J134" s="5"/>
      <c r="K134" s="1"/>
      <c r="L134" s="53"/>
    </row>
    <row r="135" spans="1:24" s="127" customFormat="1" ht="12" x14ac:dyDescent="0.3">
      <c r="A135" s="128">
        <v>8</v>
      </c>
      <c r="B135" s="14" t="s">
        <v>38</v>
      </c>
      <c r="C135" s="28" t="s">
        <v>468</v>
      </c>
      <c r="E135" s="202">
        <v>41462</v>
      </c>
      <c r="F135" s="28" t="s">
        <v>245</v>
      </c>
      <c r="G135" s="27" t="s">
        <v>71</v>
      </c>
      <c r="H135" s="27">
        <v>2</v>
      </c>
      <c r="I135" s="52" t="s">
        <v>472</v>
      </c>
      <c r="J135" s="5"/>
      <c r="K135" s="1"/>
      <c r="L135" s="53"/>
    </row>
    <row r="136" spans="1:24" s="127" customFormat="1" ht="12" x14ac:dyDescent="0.3">
      <c r="A136" s="128">
        <v>9</v>
      </c>
      <c r="B136" s="14" t="s">
        <v>24</v>
      </c>
      <c r="C136" s="28" t="s">
        <v>469</v>
      </c>
      <c r="E136" s="202">
        <v>41376</v>
      </c>
      <c r="F136" s="28" t="s">
        <v>245</v>
      </c>
      <c r="G136" s="27" t="s">
        <v>71</v>
      </c>
      <c r="H136" s="27">
        <v>2</v>
      </c>
      <c r="I136" s="52" t="s">
        <v>472</v>
      </c>
      <c r="J136" s="5"/>
      <c r="K136" s="1"/>
      <c r="L136" s="53"/>
    </row>
    <row r="137" spans="1:24" s="127" customFormat="1" ht="12" x14ac:dyDescent="0.3">
      <c r="A137" s="128">
        <v>10</v>
      </c>
      <c r="B137" s="14" t="s">
        <v>38</v>
      </c>
      <c r="C137" s="28" t="s">
        <v>470</v>
      </c>
      <c r="E137" s="202">
        <v>41061</v>
      </c>
      <c r="F137" s="28" t="s">
        <v>245</v>
      </c>
      <c r="G137" s="27" t="s">
        <v>71</v>
      </c>
      <c r="H137" s="27">
        <v>1</v>
      </c>
      <c r="I137" s="52" t="s">
        <v>472</v>
      </c>
      <c r="J137" s="5"/>
      <c r="K137" s="1"/>
      <c r="L137" s="53"/>
    </row>
    <row r="138" spans="1:24" s="127" customFormat="1" ht="12" x14ac:dyDescent="0.3">
      <c r="A138" s="128">
        <v>11</v>
      </c>
      <c r="B138" s="14" t="s">
        <v>22</v>
      </c>
      <c r="C138" s="28" t="s">
        <v>471</v>
      </c>
      <c r="E138" s="202">
        <v>41626</v>
      </c>
      <c r="F138" s="28" t="s">
        <v>245</v>
      </c>
      <c r="G138" s="27" t="s">
        <v>71</v>
      </c>
      <c r="H138" s="27">
        <v>2</v>
      </c>
      <c r="I138" s="52" t="s">
        <v>472</v>
      </c>
      <c r="J138" s="5"/>
      <c r="K138" s="1"/>
      <c r="L138" s="53"/>
    </row>
    <row r="139" spans="1:24" s="127" customFormat="1" ht="12" x14ac:dyDescent="0.3">
      <c r="A139" s="128"/>
      <c r="B139" s="115" t="s">
        <v>41</v>
      </c>
      <c r="C139" s="3"/>
      <c r="D139" s="3"/>
      <c r="E139" s="123"/>
      <c r="F139" s="115" t="s">
        <v>472</v>
      </c>
      <c r="G139" s="27"/>
      <c r="H139" s="27"/>
      <c r="I139" s="52"/>
      <c r="J139" s="5"/>
      <c r="K139" s="1"/>
      <c r="L139" s="53"/>
      <c r="X139" s="114"/>
    </row>
    <row r="140" spans="1:24" s="127" customFormat="1" ht="12" x14ac:dyDescent="0.3">
      <c r="A140" s="128"/>
      <c r="B140" s="115"/>
      <c r="C140" s="3"/>
      <c r="D140" s="3"/>
      <c r="E140" s="123"/>
      <c r="F140" s="115"/>
      <c r="G140" s="27"/>
      <c r="H140" s="27"/>
      <c r="I140" s="52"/>
      <c r="J140" s="5"/>
      <c r="K140" s="1"/>
      <c r="L140" s="53"/>
      <c r="X140" s="114"/>
    </row>
    <row r="141" spans="1:24" s="127" customFormat="1" ht="12" x14ac:dyDescent="0.3">
      <c r="A141" s="128"/>
      <c r="B141" s="27"/>
      <c r="C141" s="3"/>
      <c r="D141" s="3"/>
      <c r="E141" s="123"/>
      <c r="F141" s="52"/>
      <c r="G141" s="27"/>
      <c r="H141" s="27"/>
      <c r="I141" s="52"/>
      <c r="J141" s="5"/>
      <c r="K141" s="1"/>
      <c r="L141" s="53"/>
      <c r="X141" s="114"/>
    </row>
    <row r="142" spans="1:24" s="127" customFormat="1" ht="13" x14ac:dyDescent="0.3">
      <c r="A142" s="128"/>
      <c r="B142" s="220" t="s">
        <v>176</v>
      </c>
      <c r="C142" s="3"/>
      <c r="D142" s="3"/>
      <c r="E142" s="123"/>
      <c r="F142" s="52"/>
      <c r="G142" s="27"/>
      <c r="H142" s="27"/>
      <c r="I142" s="52"/>
      <c r="J142" s="5"/>
      <c r="K142" s="1"/>
      <c r="L142" s="53"/>
      <c r="X142" s="114"/>
    </row>
    <row r="143" spans="1:24" s="127" customFormat="1" ht="12" x14ac:dyDescent="0.3">
      <c r="A143" s="128">
        <v>1</v>
      </c>
      <c r="B143" s="14" t="s">
        <v>22</v>
      </c>
      <c r="C143" s="28" t="s">
        <v>415</v>
      </c>
      <c r="D143" s="28"/>
      <c r="E143" s="205">
        <v>41124</v>
      </c>
      <c r="F143" s="28" t="s">
        <v>176</v>
      </c>
      <c r="G143" s="27" t="s">
        <v>71</v>
      </c>
      <c r="H143" s="27"/>
      <c r="I143" s="52" t="s">
        <v>199</v>
      </c>
      <c r="J143" s="114"/>
      <c r="K143" s="1"/>
      <c r="L143" s="53"/>
      <c r="X143" s="114"/>
    </row>
    <row r="144" spans="1:24" s="127" customFormat="1" ht="12" x14ac:dyDescent="0.3">
      <c r="A144" s="128">
        <v>2</v>
      </c>
      <c r="B144" s="14" t="s">
        <v>38</v>
      </c>
      <c r="C144" s="28" t="s">
        <v>416</v>
      </c>
      <c r="D144" s="28"/>
      <c r="E144" s="205">
        <v>41562</v>
      </c>
      <c r="F144" s="28" t="s">
        <v>176</v>
      </c>
      <c r="G144" s="27" t="s">
        <v>71</v>
      </c>
      <c r="H144" s="27"/>
      <c r="I144" s="52" t="s">
        <v>199</v>
      </c>
      <c r="J144" s="114"/>
      <c r="K144" s="1"/>
      <c r="L144" s="53"/>
      <c r="X144" s="114"/>
    </row>
    <row r="145" spans="1:24" s="127" customFormat="1" ht="12" x14ac:dyDescent="0.3">
      <c r="A145" s="128">
        <v>3</v>
      </c>
      <c r="B145" s="21" t="s">
        <v>25</v>
      </c>
      <c r="C145" s="28" t="s">
        <v>417</v>
      </c>
      <c r="D145" s="28"/>
      <c r="E145" s="205">
        <v>40551</v>
      </c>
      <c r="F145" s="28" t="s">
        <v>176</v>
      </c>
      <c r="G145" s="27" t="s">
        <v>71</v>
      </c>
      <c r="H145" s="27"/>
      <c r="I145" s="52" t="s">
        <v>199</v>
      </c>
      <c r="J145" s="114"/>
      <c r="K145" s="1"/>
      <c r="L145" s="53"/>
      <c r="X145" s="114"/>
    </row>
    <row r="146" spans="1:24" s="127" customFormat="1" ht="12" x14ac:dyDescent="0.3">
      <c r="A146" s="128">
        <v>4</v>
      </c>
      <c r="B146" s="14" t="s">
        <v>38</v>
      </c>
      <c r="C146" s="28" t="s">
        <v>418</v>
      </c>
      <c r="D146" s="28"/>
      <c r="E146" s="205">
        <v>40818</v>
      </c>
      <c r="F146" s="28" t="s">
        <v>176</v>
      </c>
      <c r="G146" s="27" t="s">
        <v>71</v>
      </c>
      <c r="H146" s="27"/>
      <c r="I146" s="52" t="s">
        <v>199</v>
      </c>
      <c r="J146" s="114"/>
      <c r="K146" s="1"/>
      <c r="L146" s="53"/>
      <c r="X146" s="114"/>
    </row>
    <row r="147" spans="1:24" s="127" customFormat="1" ht="12" x14ac:dyDescent="0.3">
      <c r="A147" s="128">
        <v>5</v>
      </c>
      <c r="B147" s="14" t="s">
        <v>38</v>
      </c>
      <c r="C147" s="28" t="s">
        <v>419</v>
      </c>
      <c r="D147" s="28"/>
      <c r="E147" s="205">
        <v>41338</v>
      </c>
      <c r="F147" s="28" t="s">
        <v>176</v>
      </c>
      <c r="G147" s="27" t="s">
        <v>71</v>
      </c>
      <c r="H147" s="27"/>
      <c r="I147" s="52" t="s">
        <v>199</v>
      </c>
      <c r="J147" s="114"/>
      <c r="K147" s="1"/>
      <c r="L147" s="53"/>
      <c r="X147" s="114"/>
    </row>
    <row r="148" spans="1:24" s="127" customFormat="1" ht="12" x14ac:dyDescent="0.3">
      <c r="A148" s="128">
        <v>6</v>
      </c>
      <c r="B148" s="21" t="s">
        <v>25</v>
      </c>
      <c r="C148" s="28" t="s">
        <v>420</v>
      </c>
      <c r="D148" s="28"/>
      <c r="E148" s="205">
        <v>40697</v>
      </c>
      <c r="F148" s="28" t="s">
        <v>176</v>
      </c>
      <c r="G148" s="27" t="s">
        <v>71</v>
      </c>
      <c r="H148" s="27"/>
      <c r="I148" s="52" t="s">
        <v>199</v>
      </c>
      <c r="J148" s="114"/>
      <c r="K148" s="1"/>
      <c r="L148" s="53"/>
      <c r="X148" s="114"/>
    </row>
    <row r="149" spans="1:24" s="127" customFormat="1" ht="12" x14ac:dyDescent="0.3">
      <c r="A149" s="128">
        <v>7</v>
      </c>
      <c r="B149" s="21" t="s">
        <v>25</v>
      </c>
      <c r="C149" s="28" t="s">
        <v>421</v>
      </c>
      <c r="D149" s="28"/>
      <c r="E149" s="205">
        <v>40502</v>
      </c>
      <c r="F149" s="28" t="s">
        <v>176</v>
      </c>
      <c r="G149" s="27" t="s">
        <v>71</v>
      </c>
      <c r="H149" s="27"/>
      <c r="I149" s="52" t="s">
        <v>199</v>
      </c>
      <c r="J149" s="114"/>
      <c r="K149" s="1"/>
      <c r="L149" s="53"/>
      <c r="X149" s="114"/>
    </row>
    <row r="150" spans="1:24" s="127" customFormat="1" ht="12" x14ac:dyDescent="0.3">
      <c r="A150" s="128">
        <v>8</v>
      </c>
      <c r="B150" s="14" t="s">
        <v>38</v>
      </c>
      <c r="C150" s="28" t="s">
        <v>422</v>
      </c>
      <c r="D150" s="28"/>
      <c r="E150" s="205">
        <v>41335</v>
      </c>
      <c r="F150" s="28" t="s">
        <v>176</v>
      </c>
      <c r="G150" s="27" t="s">
        <v>71</v>
      </c>
      <c r="H150" s="27"/>
      <c r="I150" s="52" t="s">
        <v>199</v>
      </c>
      <c r="J150" s="114"/>
      <c r="K150" s="1"/>
      <c r="L150" s="53"/>
      <c r="X150" s="114"/>
    </row>
    <row r="151" spans="1:24" s="127" customFormat="1" ht="12" x14ac:dyDescent="0.3">
      <c r="A151" s="128">
        <v>9</v>
      </c>
      <c r="B151" s="21" t="s">
        <v>25</v>
      </c>
      <c r="C151" s="28" t="s">
        <v>423</v>
      </c>
      <c r="D151" s="28"/>
      <c r="E151" s="205">
        <v>40874</v>
      </c>
      <c r="F151" s="28" t="s">
        <v>176</v>
      </c>
      <c r="G151" s="27" t="s">
        <v>71</v>
      </c>
      <c r="H151" s="27"/>
      <c r="I151" s="52" t="s">
        <v>199</v>
      </c>
      <c r="J151" s="114"/>
      <c r="K151" s="1"/>
      <c r="L151" s="53"/>
      <c r="X151" s="114"/>
    </row>
    <row r="152" spans="1:24" s="127" customFormat="1" ht="12" x14ac:dyDescent="0.3">
      <c r="A152" s="128">
        <v>10</v>
      </c>
      <c r="B152" s="14" t="s">
        <v>38</v>
      </c>
      <c r="C152" s="28" t="s">
        <v>424</v>
      </c>
      <c r="D152" s="28"/>
      <c r="E152" s="205">
        <v>41139</v>
      </c>
      <c r="F152" s="28" t="s">
        <v>176</v>
      </c>
      <c r="G152" s="27" t="s">
        <v>71</v>
      </c>
      <c r="H152" s="27"/>
      <c r="I152" s="52" t="s">
        <v>199</v>
      </c>
      <c r="J152" s="114"/>
      <c r="K152" s="1"/>
      <c r="L152" s="53"/>
      <c r="X152" s="114"/>
    </row>
    <row r="153" spans="1:24" s="127" customFormat="1" ht="12" x14ac:dyDescent="0.3">
      <c r="A153" s="128">
        <v>11</v>
      </c>
      <c r="C153" s="28" t="s">
        <v>508</v>
      </c>
      <c r="D153" s="28"/>
      <c r="E153" s="205">
        <v>41499</v>
      </c>
      <c r="F153" s="28" t="s">
        <v>176</v>
      </c>
      <c r="G153" s="27" t="s">
        <v>71</v>
      </c>
      <c r="H153" s="27"/>
      <c r="I153" s="52" t="s">
        <v>199</v>
      </c>
      <c r="J153" s="114"/>
      <c r="K153" s="1"/>
      <c r="L153" s="53"/>
      <c r="P153" s="14"/>
    </row>
    <row r="154" spans="1:24" s="127" customFormat="1" ht="12" x14ac:dyDescent="0.3">
      <c r="A154" s="128"/>
      <c r="B154" s="115" t="s">
        <v>41</v>
      </c>
      <c r="C154" s="3"/>
      <c r="D154" s="3"/>
      <c r="E154" s="123"/>
      <c r="F154" s="115" t="s">
        <v>506</v>
      </c>
      <c r="J154" s="219"/>
      <c r="K154" s="1"/>
      <c r="L154" s="53"/>
    </row>
    <row r="155" spans="1:24" s="127" customFormat="1" ht="12" x14ac:dyDescent="0.3">
      <c r="A155" s="128"/>
      <c r="B155" s="115" t="s">
        <v>41</v>
      </c>
      <c r="C155" s="3"/>
      <c r="D155" s="3"/>
      <c r="E155" s="123"/>
      <c r="F155" s="115" t="s">
        <v>505</v>
      </c>
      <c r="I155" s="52"/>
      <c r="J155" s="5"/>
      <c r="K155" s="1"/>
      <c r="L155" s="53"/>
    </row>
    <row r="156" spans="1:24" s="127" customFormat="1" ht="12" x14ac:dyDescent="0.3">
      <c r="A156" s="128"/>
      <c r="B156" s="27"/>
      <c r="C156" s="3"/>
      <c r="D156" s="3"/>
      <c r="E156" s="123"/>
      <c r="F156" s="52"/>
      <c r="G156" s="27"/>
      <c r="H156" s="27"/>
      <c r="I156" s="52"/>
      <c r="J156" s="5"/>
      <c r="K156" s="1"/>
      <c r="L156" s="53"/>
      <c r="P156" s="14"/>
      <c r="Q156" s="28"/>
      <c r="R156" s="28"/>
      <c r="S156" s="202"/>
      <c r="T156" s="28"/>
      <c r="U156" s="27"/>
      <c r="V156" s="27"/>
      <c r="W156" s="52"/>
    </row>
    <row r="157" spans="1:24" s="127" customFormat="1" ht="13" x14ac:dyDescent="0.3">
      <c r="A157" s="128"/>
      <c r="B157" s="220" t="s">
        <v>193</v>
      </c>
      <c r="C157" s="3"/>
      <c r="D157" s="3"/>
      <c r="E157" s="123"/>
      <c r="F157" s="52"/>
      <c r="G157" s="27"/>
      <c r="H157" s="27"/>
      <c r="I157" s="52"/>
      <c r="J157" s="5"/>
      <c r="K157" s="1"/>
      <c r="L157" s="53"/>
      <c r="P157" s="14"/>
      <c r="Q157" s="28"/>
      <c r="R157" s="28"/>
      <c r="S157" s="202"/>
      <c r="T157" s="28"/>
      <c r="U157" s="27"/>
      <c r="V157" s="27"/>
      <c r="W157" s="52"/>
    </row>
    <row r="158" spans="1:24" s="127" customFormat="1" ht="12" x14ac:dyDescent="0.3">
      <c r="A158" s="128">
        <v>1</v>
      </c>
      <c r="B158" s="207" t="s">
        <v>25</v>
      </c>
      <c r="C158" s="28" t="s">
        <v>412</v>
      </c>
      <c r="D158" s="28"/>
      <c r="E158" s="205">
        <v>41284</v>
      </c>
      <c r="F158" s="28" t="s">
        <v>193</v>
      </c>
      <c r="G158" s="27" t="s">
        <v>69</v>
      </c>
      <c r="H158" s="27"/>
      <c r="I158" s="52" t="s">
        <v>248</v>
      </c>
      <c r="J158" s="5"/>
      <c r="K158" s="1"/>
      <c r="L158" s="53"/>
      <c r="P158" s="14"/>
      <c r="Q158" s="28"/>
      <c r="R158" s="28"/>
      <c r="S158" s="202"/>
      <c r="T158" s="28"/>
      <c r="U158" s="27"/>
      <c r="V158" s="27"/>
      <c r="W158" s="52"/>
    </row>
    <row r="159" spans="1:24" s="127" customFormat="1" ht="12" x14ac:dyDescent="0.3">
      <c r="A159" s="128">
        <v>2</v>
      </c>
      <c r="B159" s="207" t="s">
        <v>6</v>
      </c>
      <c r="C159" s="28" t="s">
        <v>413</v>
      </c>
      <c r="D159" s="28"/>
      <c r="E159" s="205">
        <v>40456</v>
      </c>
      <c r="F159" s="28" t="s">
        <v>193</v>
      </c>
      <c r="G159" s="27" t="s">
        <v>71</v>
      </c>
      <c r="H159" s="27"/>
      <c r="I159" s="52" t="s">
        <v>248</v>
      </c>
      <c r="J159" s="5"/>
      <c r="K159" s="1"/>
      <c r="L159" s="53"/>
      <c r="P159" s="14"/>
      <c r="Q159" s="28"/>
      <c r="R159" s="28"/>
      <c r="S159" s="202"/>
      <c r="T159" s="28"/>
      <c r="U159" s="27"/>
      <c r="V159" s="27"/>
      <c r="W159" s="52"/>
    </row>
    <row r="160" spans="1:24" s="127" customFormat="1" ht="12" x14ac:dyDescent="0.3">
      <c r="A160" s="128">
        <v>3</v>
      </c>
      <c r="B160" s="14" t="s">
        <v>38</v>
      </c>
      <c r="C160" s="28" t="s">
        <v>414</v>
      </c>
      <c r="D160" s="28"/>
      <c r="E160" s="205">
        <v>41920</v>
      </c>
      <c r="F160" s="28" t="s">
        <v>193</v>
      </c>
      <c r="G160" s="27" t="s">
        <v>71</v>
      </c>
      <c r="H160" s="27"/>
      <c r="I160" s="52" t="s">
        <v>248</v>
      </c>
      <c r="J160" s="5"/>
      <c r="K160" s="1"/>
      <c r="L160" s="53"/>
      <c r="P160" s="14"/>
      <c r="Q160" s="28"/>
      <c r="R160" s="28"/>
      <c r="S160" s="202"/>
      <c r="T160" s="28"/>
      <c r="U160" s="27"/>
      <c r="V160" s="27"/>
      <c r="W160" s="52"/>
    </row>
    <row r="161" spans="1:24" s="127" customFormat="1" ht="12" x14ac:dyDescent="0.3">
      <c r="A161" s="128"/>
      <c r="B161" s="115" t="s">
        <v>41</v>
      </c>
      <c r="C161" s="3"/>
      <c r="D161" s="3"/>
      <c r="E161" s="123"/>
      <c r="F161" s="115" t="s">
        <v>248</v>
      </c>
      <c r="G161" s="27"/>
      <c r="H161" s="27"/>
      <c r="I161" s="52"/>
      <c r="J161" s="5"/>
      <c r="K161" s="1"/>
      <c r="L161" s="53"/>
      <c r="X161" s="114"/>
    </row>
    <row r="162" spans="1:24" s="127" customFormat="1" ht="12" x14ac:dyDescent="0.3">
      <c r="A162" s="128"/>
      <c r="K162" s="1"/>
      <c r="L162" s="53"/>
      <c r="P162" s="14"/>
      <c r="Q162" s="28"/>
      <c r="R162" s="28"/>
      <c r="S162" s="202"/>
      <c r="T162" s="28"/>
      <c r="U162" s="27"/>
      <c r="V162" s="27"/>
      <c r="W162" s="52"/>
    </row>
    <row r="163" spans="1:24" s="127" customFormat="1" ht="13" x14ac:dyDescent="0.3">
      <c r="A163" s="128"/>
      <c r="B163" s="220" t="s">
        <v>193</v>
      </c>
      <c r="K163" s="1"/>
      <c r="L163" s="53"/>
      <c r="P163" s="14"/>
      <c r="Q163" s="28"/>
      <c r="R163" s="28"/>
      <c r="S163" s="202"/>
      <c r="T163" s="28"/>
      <c r="U163" s="27"/>
      <c r="V163" s="27"/>
      <c r="W163" s="52"/>
    </row>
    <row r="164" spans="1:24" s="127" customFormat="1" ht="12" x14ac:dyDescent="0.3">
      <c r="A164" s="128">
        <v>1</v>
      </c>
      <c r="B164" s="21" t="s">
        <v>24</v>
      </c>
      <c r="C164" s="28" t="s">
        <v>399</v>
      </c>
      <c r="D164" s="28"/>
      <c r="E164" s="202">
        <v>41969</v>
      </c>
      <c r="F164" s="28" t="s">
        <v>193</v>
      </c>
      <c r="G164" s="27" t="s">
        <v>69</v>
      </c>
      <c r="H164" s="27"/>
      <c r="I164" s="52" t="s">
        <v>246</v>
      </c>
      <c r="J164" s="219"/>
      <c r="K164" s="1"/>
      <c r="L164" s="53"/>
      <c r="P164" s="14"/>
      <c r="Q164" s="28"/>
      <c r="R164" s="28"/>
      <c r="S164" s="202"/>
      <c r="T164" s="28"/>
      <c r="U164" s="27"/>
      <c r="V164" s="27"/>
      <c r="W164" s="52"/>
    </row>
    <row r="165" spans="1:24" s="127" customFormat="1" ht="12" x14ac:dyDescent="0.3">
      <c r="A165" s="128">
        <v>2</v>
      </c>
      <c r="B165" s="21" t="s">
        <v>24</v>
      </c>
      <c r="C165" s="28" t="s">
        <v>400</v>
      </c>
      <c r="D165" s="28"/>
      <c r="E165" s="202">
        <v>41186</v>
      </c>
      <c r="F165" s="28" t="s">
        <v>193</v>
      </c>
      <c r="G165" s="27" t="s">
        <v>69</v>
      </c>
      <c r="H165" s="27"/>
      <c r="I165" s="52" t="s">
        <v>246</v>
      </c>
      <c r="J165" s="219"/>
      <c r="K165" s="1"/>
      <c r="L165" s="53"/>
      <c r="P165" s="14"/>
      <c r="Q165" s="28"/>
      <c r="R165" s="28"/>
      <c r="S165" s="202"/>
      <c r="T165" s="28"/>
      <c r="U165" s="27"/>
      <c r="V165" s="27"/>
      <c r="W165" s="52"/>
    </row>
    <row r="166" spans="1:24" s="127" customFormat="1" ht="12" x14ac:dyDescent="0.3">
      <c r="A166" s="128">
        <v>3</v>
      </c>
      <c r="B166" s="21" t="s">
        <v>25</v>
      </c>
      <c r="C166" s="28" t="s">
        <v>401</v>
      </c>
      <c r="D166" s="28"/>
      <c r="E166" s="202">
        <v>40801</v>
      </c>
      <c r="F166" s="28" t="s">
        <v>193</v>
      </c>
      <c r="G166" s="27" t="s">
        <v>69</v>
      </c>
      <c r="H166" s="27"/>
      <c r="I166" s="52" t="s">
        <v>246</v>
      </c>
      <c r="J166" s="219"/>
      <c r="K166" s="1"/>
      <c r="L166" s="53"/>
      <c r="P166" s="14"/>
      <c r="Q166" s="28"/>
      <c r="R166" s="28"/>
      <c r="S166" s="202"/>
      <c r="T166" s="28"/>
      <c r="U166" s="27"/>
      <c r="V166" s="27"/>
      <c r="W166" s="52"/>
    </row>
    <row r="167" spans="1:24" s="127" customFormat="1" ht="12" x14ac:dyDescent="0.3">
      <c r="A167" s="128">
        <v>4</v>
      </c>
      <c r="B167" s="21" t="s">
        <v>24</v>
      </c>
      <c r="C167" s="28" t="s">
        <v>402</v>
      </c>
      <c r="D167" s="28"/>
      <c r="E167" s="202">
        <v>40654</v>
      </c>
      <c r="F167" s="28" t="s">
        <v>193</v>
      </c>
      <c r="G167" s="27" t="s">
        <v>69</v>
      </c>
      <c r="H167" s="27"/>
      <c r="I167" s="52" t="s">
        <v>246</v>
      </c>
      <c r="J167" s="219"/>
      <c r="K167" s="1"/>
      <c r="L167" s="53"/>
      <c r="P167" s="14"/>
      <c r="Q167" s="28"/>
      <c r="R167" s="28"/>
      <c r="S167" s="202"/>
      <c r="T167" s="28"/>
      <c r="U167" s="27"/>
      <c r="V167" s="27"/>
      <c r="W167" s="52"/>
    </row>
    <row r="168" spans="1:24" s="127" customFormat="1" ht="12" x14ac:dyDescent="0.3">
      <c r="A168" s="128">
        <v>5</v>
      </c>
      <c r="B168" s="203" t="s">
        <v>25</v>
      </c>
      <c r="C168" s="28" t="s">
        <v>403</v>
      </c>
      <c r="D168" s="28"/>
      <c r="E168" s="202">
        <v>40575</v>
      </c>
      <c r="F168" s="28" t="s">
        <v>193</v>
      </c>
      <c r="G168" s="27" t="s">
        <v>69</v>
      </c>
      <c r="H168" s="27"/>
      <c r="I168" s="52" t="s">
        <v>246</v>
      </c>
      <c r="J168" s="219"/>
      <c r="K168" s="1"/>
      <c r="L168" s="53"/>
      <c r="P168" s="14"/>
      <c r="Q168" s="28"/>
      <c r="R168" s="28"/>
      <c r="S168" s="202"/>
      <c r="T168" s="28"/>
      <c r="U168" s="27"/>
      <c r="V168" s="27"/>
      <c r="W168" s="52"/>
    </row>
    <row r="169" spans="1:24" s="127" customFormat="1" ht="12" x14ac:dyDescent="0.3">
      <c r="A169" s="128">
        <v>6</v>
      </c>
      <c r="B169" s="21" t="s">
        <v>24</v>
      </c>
      <c r="C169" s="28" t="s">
        <v>404</v>
      </c>
      <c r="D169" s="28"/>
      <c r="E169" s="202">
        <v>40340</v>
      </c>
      <c r="F169" s="28" t="s">
        <v>193</v>
      </c>
      <c r="G169" s="27" t="s">
        <v>71</v>
      </c>
      <c r="H169" s="27"/>
      <c r="I169" s="52" t="s">
        <v>246</v>
      </c>
      <c r="J169" s="219"/>
      <c r="K169" s="1"/>
      <c r="L169" s="53"/>
      <c r="P169" s="14"/>
      <c r="Q169" s="28"/>
      <c r="R169" s="28"/>
      <c r="S169" s="202"/>
      <c r="T169" s="28"/>
      <c r="U169" s="27"/>
      <c r="V169" s="27"/>
      <c r="W169" s="52"/>
    </row>
    <row r="170" spans="1:24" s="127" customFormat="1" ht="12" x14ac:dyDescent="0.3">
      <c r="A170" s="128">
        <v>7</v>
      </c>
      <c r="B170" s="203" t="s">
        <v>25</v>
      </c>
      <c r="C170" s="28" t="s">
        <v>405</v>
      </c>
      <c r="D170" s="28"/>
      <c r="E170" s="202">
        <v>41452</v>
      </c>
      <c r="F170" s="28" t="s">
        <v>193</v>
      </c>
      <c r="G170" s="27" t="s">
        <v>71</v>
      </c>
      <c r="H170" s="27"/>
      <c r="I170" s="52" t="s">
        <v>246</v>
      </c>
      <c r="J170" s="219"/>
      <c r="K170" s="1"/>
      <c r="L170" s="53"/>
      <c r="P170" s="14"/>
      <c r="Q170" s="28"/>
      <c r="R170" s="28"/>
      <c r="S170" s="202"/>
      <c r="T170" s="28"/>
      <c r="U170" s="27"/>
      <c r="V170" s="27"/>
      <c r="W170" s="52"/>
    </row>
    <row r="171" spans="1:24" s="127" customFormat="1" ht="12" x14ac:dyDescent="0.3">
      <c r="A171" s="128">
        <v>8</v>
      </c>
      <c r="B171" s="203" t="s">
        <v>25</v>
      </c>
      <c r="C171" s="28" t="s">
        <v>406</v>
      </c>
      <c r="D171" s="28"/>
      <c r="E171" s="202">
        <v>41363</v>
      </c>
      <c r="F171" s="28" t="s">
        <v>193</v>
      </c>
      <c r="G171" s="27" t="s">
        <v>71</v>
      </c>
      <c r="H171" s="27"/>
      <c r="I171" s="52" t="s">
        <v>246</v>
      </c>
      <c r="J171" s="219"/>
      <c r="K171" s="1"/>
      <c r="L171" s="53"/>
      <c r="P171" s="14"/>
      <c r="Q171" s="28"/>
      <c r="R171" s="28"/>
      <c r="S171" s="202"/>
      <c r="T171" s="28"/>
      <c r="U171" s="27"/>
      <c r="V171" s="27"/>
      <c r="W171" s="52"/>
    </row>
    <row r="172" spans="1:24" s="127" customFormat="1" ht="12" x14ac:dyDescent="0.3">
      <c r="A172" s="128"/>
      <c r="B172" s="115" t="s">
        <v>41</v>
      </c>
      <c r="C172" s="3"/>
      <c r="D172" s="3"/>
      <c r="E172" s="123"/>
      <c r="F172" s="115" t="s">
        <v>246</v>
      </c>
      <c r="G172" s="27"/>
      <c r="H172" s="27"/>
      <c r="I172" s="52"/>
      <c r="J172" s="5"/>
      <c r="K172" s="1"/>
      <c r="L172" s="53"/>
      <c r="X172" s="114"/>
    </row>
    <row r="173" spans="1:24" s="127" customFormat="1" ht="12" x14ac:dyDescent="0.3">
      <c r="A173" s="128"/>
      <c r="J173" s="219"/>
      <c r="K173" s="1"/>
      <c r="L173" s="53"/>
      <c r="P173" s="14"/>
      <c r="Q173" s="28"/>
      <c r="R173" s="28"/>
      <c r="S173" s="202"/>
      <c r="T173" s="28"/>
      <c r="U173" s="27"/>
      <c r="V173" s="27"/>
      <c r="W173" s="52"/>
    </row>
    <row r="174" spans="1:24" s="127" customFormat="1" ht="13" x14ac:dyDescent="0.3">
      <c r="A174" s="128"/>
      <c r="B174" s="220" t="s">
        <v>193</v>
      </c>
      <c r="J174" s="114"/>
      <c r="K174" s="1"/>
      <c r="L174" s="53"/>
      <c r="P174" s="14"/>
      <c r="Q174" s="28"/>
      <c r="R174" s="28"/>
      <c r="S174" s="202"/>
      <c r="T174" s="28"/>
      <c r="U174" s="27"/>
      <c r="V174" s="27"/>
      <c r="W174" s="52"/>
    </row>
    <row r="175" spans="1:24" s="127" customFormat="1" ht="12" x14ac:dyDescent="0.3">
      <c r="A175" s="128">
        <v>1</v>
      </c>
      <c r="B175" s="204" t="s">
        <v>37</v>
      </c>
      <c r="C175" s="28" t="s">
        <v>407</v>
      </c>
      <c r="D175" s="28"/>
      <c r="E175" s="200">
        <v>40297</v>
      </c>
      <c r="F175" s="28" t="s">
        <v>193</v>
      </c>
      <c r="G175" s="27" t="s">
        <v>69</v>
      </c>
      <c r="H175" s="27"/>
      <c r="I175" s="52" t="s">
        <v>175</v>
      </c>
      <c r="J175" s="114"/>
      <c r="K175" s="1"/>
      <c r="L175" s="53"/>
      <c r="P175" s="14"/>
      <c r="Q175" s="28"/>
      <c r="R175" s="28"/>
      <c r="S175" s="202"/>
      <c r="T175" s="28"/>
      <c r="U175" s="27"/>
      <c r="V175" s="27"/>
      <c r="W175" s="52"/>
    </row>
    <row r="176" spans="1:24" s="127" customFormat="1" ht="12" x14ac:dyDescent="0.3">
      <c r="A176" s="128">
        <v>2</v>
      </c>
      <c r="B176" s="21" t="s">
        <v>25</v>
      </c>
      <c r="C176" s="28" t="s">
        <v>408</v>
      </c>
      <c r="D176" s="28"/>
      <c r="E176" s="200">
        <v>40604</v>
      </c>
      <c r="F176" s="28" t="s">
        <v>193</v>
      </c>
      <c r="G176" s="27" t="s">
        <v>69</v>
      </c>
      <c r="H176" s="27"/>
      <c r="I176" s="52" t="s">
        <v>175</v>
      </c>
      <c r="J176" s="114"/>
      <c r="K176" s="1"/>
      <c r="L176" s="53"/>
      <c r="P176" s="14"/>
      <c r="Q176" s="28"/>
      <c r="R176" s="28"/>
      <c r="S176" s="202"/>
      <c r="T176" s="28"/>
      <c r="U176" s="27"/>
      <c r="V176" s="27"/>
      <c r="W176" s="52"/>
    </row>
    <row r="177" spans="1:27" s="127" customFormat="1" ht="12" x14ac:dyDescent="0.3">
      <c r="A177" s="128">
        <v>3</v>
      </c>
      <c r="B177" s="14" t="s">
        <v>22</v>
      </c>
      <c r="C177" s="28" t="s">
        <v>409</v>
      </c>
      <c r="D177" s="28"/>
      <c r="E177" s="200">
        <v>40941</v>
      </c>
      <c r="F177" s="28" t="s">
        <v>193</v>
      </c>
      <c r="G177" s="27" t="s">
        <v>71</v>
      </c>
      <c r="H177" s="27"/>
      <c r="I177" s="52" t="s">
        <v>175</v>
      </c>
      <c r="J177" s="114"/>
      <c r="K177" s="1"/>
      <c r="L177" s="53"/>
      <c r="P177" s="14"/>
      <c r="Q177" s="28"/>
      <c r="R177" s="28"/>
      <c r="S177" s="202"/>
      <c r="T177" s="28"/>
      <c r="U177" s="27"/>
      <c r="V177" s="27"/>
      <c r="W177" s="52"/>
    </row>
    <row r="178" spans="1:27" s="127" customFormat="1" ht="12" x14ac:dyDescent="0.3">
      <c r="A178" s="128">
        <v>4</v>
      </c>
      <c r="B178" s="204" t="s">
        <v>24</v>
      </c>
      <c r="C178" s="28" t="s">
        <v>410</v>
      </c>
      <c r="D178" s="28"/>
      <c r="E178" s="200">
        <v>41478</v>
      </c>
      <c r="F178" s="28" t="s">
        <v>193</v>
      </c>
      <c r="G178" s="27" t="s">
        <v>71</v>
      </c>
      <c r="H178" s="27"/>
      <c r="I178" s="52" t="s">
        <v>175</v>
      </c>
      <c r="J178" s="114"/>
      <c r="K178" s="1"/>
      <c r="L178" s="53"/>
      <c r="P178" s="14"/>
      <c r="Q178" s="28"/>
      <c r="R178" s="28"/>
      <c r="S178" s="202"/>
      <c r="T178" s="28"/>
      <c r="U178" s="27"/>
      <c r="V178" s="27"/>
      <c r="W178" s="52"/>
    </row>
    <row r="179" spans="1:27" s="127" customFormat="1" ht="12" x14ac:dyDescent="0.3">
      <c r="A179" s="128">
        <v>5</v>
      </c>
      <c r="B179" s="14" t="s">
        <v>22</v>
      </c>
      <c r="C179" s="28" t="s">
        <v>411</v>
      </c>
      <c r="D179" s="28"/>
      <c r="E179" s="200">
        <v>41784</v>
      </c>
      <c r="F179" s="28" t="s">
        <v>193</v>
      </c>
      <c r="G179" s="27" t="s">
        <v>71</v>
      </c>
      <c r="H179" s="27"/>
      <c r="I179" s="52" t="s">
        <v>175</v>
      </c>
      <c r="J179" s="114"/>
      <c r="K179" s="1"/>
      <c r="L179" s="53"/>
      <c r="P179" s="14"/>
      <c r="Q179" s="28"/>
      <c r="R179" s="28"/>
      <c r="S179" s="202"/>
      <c r="T179" s="28"/>
      <c r="U179" s="27"/>
      <c r="V179" s="27"/>
      <c r="W179" s="52"/>
    </row>
    <row r="180" spans="1:27" s="127" customFormat="1" ht="12" x14ac:dyDescent="0.3">
      <c r="A180" s="128"/>
      <c r="B180" s="115" t="s">
        <v>41</v>
      </c>
      <c r="C180" s="3"/>
      <c r="D180" s="3"/>
      <c r="E180" s="123"/>
      <c r="F180" s="115" t="s">
        <v>175</v>
      </c>
      <c r="G180" s="27"/>
      <c r="H180" s="27"/>
      <c r="I180" s="52"/>
      <c r="J180" s="5"/>
      <c r="K180" s="1"/>
      <c r="L180" s="53"/>
      <c r="X180" s="114"/>
    </row>
    <row r="181" spans="1:27" s="127" customFormat="1" ht="12" x14ac:dyDescent="0.3">
      <c r="A181" s="128"/>
      <c r="B181" s="27"/>
      <c r="C181" s="3"/>
      <c r="D181" s="3"/>
      <c r="E181" s="123"/>
      <c r="F181" s="52"/>
      <c r="G181" s="27"/>
      <c r="H181" s="27"/>
      <c r="I181" s="52"/>
      <c r="J181" s="5"/>
      <c r="K181" s="1"/>
      <c r="L181" s="53"/>
    </row>
    <row r="182" spans="1:27" s="114" customFormat="1" ht="13" x14ac:dyDescent="0.3">
      <c r="A182" s="128"/>
      <c r="B182" s="220" t="s">
        <v>198</v>
      </c>
      <c r="C182" s="3"/>
      <c r="D182" s="3"/>
      <c r="E182" s="123"/>
      <c r="F182" s="52"/>
      <c r="G182" s="27"/>
      <c r="H182" s="27"/>
      <c r="I182" s="52"/>
      <c r="J182" s="5"/>
      <c r="K182" s="1"/>
      <c r="L182" s="53"/>
      <c r="M182" s="127"/>
      <c r="N182" s="127"/>
      <c r="O182" s="127"/>
      <c r="Y182" s="5"/>
      <c r="Z182" s="5"/>
      <c r="AA182" s="1"/>
    </row>
    <row r="183" spans="1:27" s="114" customFormat="1" ht="12" x14ac:dyDescent="0.3">
      <c r="A183" s="128">
        <v>1</v>
      </c>
      <c r="B183" s="14" t="s">
        <v>6</v>
      </c>
      <c r="C183" s="28" t="s">
        <v>315</v>
      </c>
      <c r="D183" s="28"/>
      <c r="E183" s="202">
        <v>40897</v>
      </c>
      <c r="F183" s="28" t="s">
        <v>198</v>
      </c>
      <c r="G183" s="27" t="s">
        <v>69</v>
      </c>
      <c r="H183" s="27"/>
      <c r="I183" s="52" t="s">
        <v>202</v>
      </c>
      <c r="J183" s="5"/>
      <c r="K183" s="1"/>
      <c r="L183" s="53"/>
      <c r="M183" s="127"/>
      <c r="N183" s="127"/>
      <c r="O183" s="127"/>
      <c r="Y183" s="5"/>
      <c r="Z183" s="5"/>
      <c r="AA183" s="1"/>
    </row>
    <row r="184" spans="1:27" s="114" customFormat="1" ht="12" x14ac:dyDescent="0.3">
      <c r="A184" s="128">
        <v>2</v>
      </c>
      <c r="B184" s="21" t="s">
        <v>26</v>
      </c>
      <c r="C184" s="28" t="s">
        <v>316</v>
      </c>
      <c r="D184" s="28"/>
      <c r="E184" s="202">
        <v>40772</v>
      </c>
      <c r="F184" s="28" t="s">
        <v>198</v>
      </c>
      <c r="G184" s="27" t="s">
        <v>69</v>
      </c>
      <c r="H184" s="27"/>
      <c r="I184" s="52" t="s">
        <v>202</v>
      </c>
      <c r="J184" s="5"/>
      <c r="K184" s="1"/>
      <c r="L184" s="53"/>
      <c r="M184" s="127"/>
      <c r="N184" s="127"/>
      <c r="O184" s="127"/>
    </row>
    <row r="185" spans="1:27" s="127" customFormat="1" ht="12" x14ac:dyDescent="0.3">
      <c r="A185" s="128">
        <v>3</v>
      </c>
      <c r="B185" s="21" t="s">
        <v>26</v>
      </c>
      <c r="C185" s="28" t="s">
        <v>351</v>
      </c>
      <c r="D185" s="28"/>
      <c r="E185" s="202">
        <v>41177</v>
      </c>
      <c r="F185" s="28" t="s">
        <v>198</v>
      </c>
      <c r="G185" s="27" t="s">
        <v>71</v>
      </c>
      <c r="H185" s="27"/>
      <c r="I185" s="52" t="s">
        <v>202</v>
      </c>
      <c r="J185" s="5"/>
      <c r="K185" s="1"/>
      <c r="L185" s="53"/>
    </row>
    <row r="186" spans="1:27" s="127" customFormat="1" ht="12" x14ac:dyDescent="0.3">
      <c r="A186" s="128">
        <v>4</v>
      </c>
      <c r="B186" s="21" t="s">
        <v>26</v>
      </c>
      <c r="C186" s="28" t="s">
        <v>352</v>
      </c>
      <c r="D186" s="28"/>
      <c r="E186" s="202">
        <v>41089</v>
      </c>
      <c r="F186" s="28" t="s">
        <v>198</v>
      </c>
      <c r="G186" s="27" t="s">
        <v>71</v>
      </c>
      <c r="H186" s="27"/>
      <c r="I186" s="52" t="s">
        <v>202</v>
      </c>
      <c r="J186" s="5"/>
      <c r="K186" s="1"/>
      <c r="L186" s="53"/>
    </row>
    <row r="187" spans="1:27" s="127" customFormat="1" ht="12" x14ac:dyDescent="0.3">
      <c r="A187" s="128">
        <v>5</v>
      </c>
      <c r="B187" s="21" t="s">
        <v>26</v>
      </c>
      <c r="C187" s="28" t="s">
        <v>353</v>
      </c>
      <c r="D187" s="28"/>
      <c r="E187" s="202">
        <v>41108</v>
      </c>
      <c r="F187" s="28" t="s">
        <v>198</v>
      </c>
      <c r="G187" s="27" t="s">
        <v>71</v>
      </c>
      <c r="H187" s="27"/>
      <c r="I187" s="52" t="s">
        <v>202</v>
      </c>
      <c r="J187" s="5"/>
      <c r="K187" s="1"/>
      <c r="L187" s="53"/>
    </row>
    <row r="188" spans="1:27" s="127" customFormat="1" ht="12" x14ac:dyDescent="0.3">
      <c r="A188" s="128">
        <v>6</v>
      </c>
      <c r="B188" s="14" t="s">
        <v>24</v>
      </c>
      <c r="C188" s="28" t="s">
        <v>354</v>
      </c>
      <c r="D188" s="28"/>
      <c r="E188" s="202">
        <v>40396</v>
      </c>
      <c r="F188" s="28" t="s">
        <v>198</v>
      </c>
      <c r="G188" s="27" t="s">
        <v>71</v>
      </c>
      <c r="H188" s="27"/>
      <c r="I188" s="52" t="s">
        <v>202</v>
      </c>
      <c r="J188" s="5"/>
      <c r="K188" s="1"/>
      <c r="L188" s="53"/>
    </row>
    <row r="189" spans="1:27" s="127" customFormat="1" ht="12" x14ac:dyDescent="0.3">
      <c r="A189" s="128">
        <v>7</v>
      </c>
      <c r="B189" s="21" t="s">
        <v>26</v>
      </c>
      <c r="C189" s="28" t="s">
        <v>311</v>
      </c>
      <c r="D189" s="28"/>
      <c r="E189" s="202">
        <v>41915</v>
      </c>
      <c r="F189" s="28" t="s">
        <v>198</v>
      </c>
      <c r="G189" s="27" t="s">
        <v>69</v>
      </c>
      <c r="H189" s="27"/>
      <c r="I189" s="52" t="s">
        <v>202</v>
      </c>
      <c r="J189" s="5"/>
      <c r="K189" s="1"/>
      <c r="L189" s="53"/>
    </row>
    <row r="190" spans="1:27" s="127" customFormat="1" ht="12" x14ac:dyDescent="0.3">
      <c r="A190" s="128">
        <v>8</v>
      </c>
      <c r="B190" s="14" t="s">
        <v>22</v>
      </c>
      <c r="C190" s="28" t="s">
        <v>312</v>
      </c>
      <c r="D190" s="28"/>
      <c r="E190" s="202">
        <v>41882</v>
      </c>
      <c r="F190" s="28" t="s">
        <v>198</v>
      </c>
      <c r="G190" s="27" t="s">
        <v>69</v>
      </c>
      <c r="H190" s="27"/>
      <c r="I190" s="52" t="s">
        <v>202</v>
      </c>
      <c r="J190" s="5"/>
      <c r="K190" s="1"/>
      <c r="L190" s="53"/>
    </row>
    <row r="191" spans="1:27" s="127" customFormat="1" ht="12" x14ac:dyDescent="0.3">
      <c r="A191" s="128">
        <v>9</v>
      </c>
      <c r="B191" s="14" t="s">
        <v>38</v>
      </c>
      <c r="C191" s="28" t="s">
        <v>313</v>
      </c>
      <c r="D191" s="28"/>
      <c r="E191" s="202">
        <v>41464</v>
      </c>
      <c r="F191" s="28" t="s">
        <v>198</v>
      </c>
      <c r="G191" s="27" t="s">
        <v>69</v>
      </c>
      <c r="H191" s="27"/>
      <c r="I191" s="52" t="s">
        <v>202</v>
      </c>
      <c r="J191" s="5"/>
      <c r="K191" s="1"/>
      <c r="L191" s="53"/>
    </row>
    <row r="192" spans="1:27" s="127" customFormat="1" ht="12" x14ac:dyDescent="0.3">
      <c r="A192" s="128">
        <v>10</v>
      </c>
      <c r="B192" s="14" t="s">
        <v>25</v>
      </c>
      <c r="C192" s="28" t="s">
        <v>314</v>
      </c>
      <c r="D192" s="28"/>
      <c r="E192" s="202">
        <v>41409</v>
      </c>
      <c r="F192" s="28" t="s">
        <v>198</v>
      </c>
      <c r="G192" s="27" t="s">
        <v>69</v>
      </c>
      <c r="H192" s="27"/>
      <c r="I192" s="52" t="s">
        <v>202</v>
      </c>
      <c r="J192" s="5"/>
      <c r="K192" s="1"/>
      <c r="L192" s="53"/>
    </row>
    <row r="193" spans="1:24" s="127" customFormat="1" ht="12" x14ac:dyDescent="0.3">
      <c r="A193" s="128">
        <v>11</v>
      </c>
      <c r="B193" s="14" t="s">
        <v>22</v>
      </c>
      <c r="C193" s="28" t="s">
        <v>322</v>
      </c>
      <c r="D193" s="28"/>
      <c r="E193" s="202">
        <v>41584</v>
      </c>
      <c r="F193" s="28" t="s">
        <v>198</v>
      </c>
      <c r="G193" s="27" t="s">
        <v>69</v>
      </c>
      <c r="H193" s="27"/>
      <c r="I193" s="52" t="s">
        <v>202</v>
      </c>
      <c r="J193" s="5"/>
      <c r="K193" s="1"/>
      <c r="L193" s="53"/>
    </row>
    <row r="194" spans="1:24" s="127" customFormat="1" ht="12" x14ac:dyDescent="0.3">
      <c r="A194" s="128">
        <v>12</v>
      </c>
      <c r="B194" s="14" t="s">
        <v>26</v>
      </c>
      <c r="C194" s="28" t="s">
        <v>323</v>
      </c>
      <c r="D194" s="28"/>
      <c r="E194" s="202">
        <v>41852</v>
      </c>
      <c r="F194" s="28" t="s">
        <v>198</v>
      </c>
      <c r="G194" s="27" t="s">
        <v>69</v>
      </c>
      <c r="H194" s="27"/>
      <c r="I194" s="52" t="s">
        <v>202</v>
      </c>
      <c r="J194" s="5"/>
      <c r="K194" s="1"/>
      <c r="L194" s="53"/>
    </row>
    <row r="195" spans="1:24" s="127" customFormat="1" ht="12" x14ac:dyDescent="0.3">
      <c r="A195" s="128">
        <v>13</v>
      </c>
      <c r="B195" s="21" t="s">
        <v>26</v>
      </c>
      <c r="C195" s="28" t="s">
        <v>339</v>
      </c>
      <c r="D195" s="28"/>
      <c r="E195" s="202">
        <v>41999</v>
      </c>
      <c r="F195" s="28" t="s">
        <v>198</v>
      </c>
      <c r="G195" s="27" t="s">
        <v>71</v>
      </c>
      <c r="H195" s="27"/>
      <c r="I195" s="52" t="s">
        <v>202</v>
      </c>
      <c r="J195" s="5"/>
      <c r="K195" s="1"/>
      <c r="L195" s="53"/>
    </row>
    <row r="196" spans="1:24" s="127" customFormat="1" ht="12" x14ac:dyDescent="0.3">
      <c r="A196" s="128">
        <v>14</v>
      </c>
      <c r="B196" s="21" t="s">
        <v>23</v>
      </c>
      <c r="C196" s="28" t="s">
        <v>340</v>
      </c>
      <c r="D196" s="28"/>
      <c r="E196" s="202">
        <v>41744</v>
      </c>
      <c r="F196" s="28" t="s">
        <v>198</v>
      </c>
      <c r="G196" s="27" t="s">
        <v>71</v>
      </c>
      <c r="H196" s="27"/>
      <c r="I196" s="52" t="s">
        <v>202</v>
      </c>
      <c r="J196" s="5"/>
      <c r="K196" s="1"/>
      <c r="L196" s="53"/>
    </row>
    <row r="197" spans="1:24" s="127" customFormat="1" ht="12" x14ac:dyDescent="0.3">
      <c r="A197" s="128">
        <v>15</v>
      </c>
      <c r="B197" s="21" t="s">
        <v>26</v>
      </c>
      <c r="C197" s="28" t="s">
        <v>341</v>
      </c>
      <c r="D197" s="28"/>
      <c r="E197" s="202">
        <v>41996</v>
      </c>
      <c r="F197" s="28" t="s">
        <v>198</v>
      </c>
      <c r="G197" s="27" t="s">
        <v>71</v>
      </c>
      <c r="H197" s="27"/>
      <c r="I197" s="52" t="s">
        <v>202</v>
      </c>
      <c r="J197" s="5"/>
      <c r="K197" s="1"/>
      <c r="L197" s="53"/>
    </row>
    <row r="198" spans="1:24" s="127" customFormat="1" ht="12" x14ac:dyDescent="0.3">
      <c r="A198" s="128"/>
      <c r="B198" s="115" t="s">
        <v>41</v>
      </c>
      <c r="C198" s="3"/>
      <c r="D198" s="3"/>
      <c r="E198" s="123"/>
      <c r="F198" s="115" t="s">
        <v>202</v>
      </c>
      <c r="G198" s="27"/>
      <c r="H198" s="27"/>
      <c r="I198" s="52"/>
      <c r="J198" s="5"/>
      <c r="K198" s="1"/>
      <c r="L198" s="53"/>
      <c r="X198" s="114"/>
    </row>
    <row r="199" spans="1:24" s="127" customFormat="1" ht="12" x14ac:dyDescent="0.3">
      <c r="A199" s="128"/>
      <c r="B199" s="27"/>
      <c r="C199" s="3"/>
      <c r="D199" s="3"/>
      <c r="E199" s="123"/>
      <c r="F199" s="52"/>
      <c r="G199" s="27"/>
      <c r="H199" s="27"/>
      <c r="I199" s="52"/>
      <c r="J199" s="5"/>
      <c r="K199" s="1"/>
      <c r="L199" s="53"/>
    </row>
    <row r="200" spans="1:24" s="127" customFormat="1" ht="12" x14ac:dyDescent="0.3">
      <c r="A200" s="128"/>
      <c r="B200" s="27"/>
      <c r="C200" s="3"/>
      <c r="D200" s="3"/>
      <c r="E200" s="123"/>
      <c r="F200" s="52"/>
      <c r="G200" s="27"/>
      <c r="H200" s="27"/>
      <c r="I200" s="52"/>
      <c r="J200" s="5"/>
      <c r="K200" s="1"/>
      <c r="L200" s="53"/>
    </row>
    <row r="201" spans="1:24" s="127" customFormat="1" ht="12" x14ac:dyDescent="0.3">
      <c r="A201" s="128"/>
      <c r="B201" s="27"/>
      <c r="C201" s="3"/>
      <c r="D201" s="3"/>
      <c r="E201" s="123"/>
      <c r="F201" s="52"/>
      <c r="G201" s="27"/>
      <c r="H201" s="27"/>
      <c r="I201" s="52"/>
      <c r="J201" s="5"/>
      <c r="K201" s="1"/>
      <c r="L201" s="53"/>
    </row>
    <row r="202" spans="1:24" s="127" customFormat="1" ht="12" x14ac:dyDescent="0.3">
      <c r="A202" s="128"/>
      <c r="B202" s="27"/>
      <c r="C202" s="3"/>
      <c r="D202" s="3"/>
      <c r="E202" s="123"/>
      <c r="F202" s="52"/>
      <c r="G202" s="27"/>
      <c r="H202" s="27"/>
      <c r="I202" s="52"/>
      <c r="J202" s="5"/>
      <c r="K202" s="1"/>
      <c r="L202" s="53"/>
    </row>
    <row r="203" spans="1:24" s="127" customFormat="1" ht="13" x14ac:dyDescent="0.3">
      <c r="A203" s="128"/>
      <c r="B203" s="220" t="s">
        <v>198</v>
      </c>
      <c r="C203" s="3"/>
      <c r="D203" s="3"/>
      <c r="E203" s="123"/>
      <c r="F203" s="52"/>
      <c r="G203" s="27"/>
      <c r="H203" s="27"/>
      <c r="I203" s="52"/>
      <c r="J203" s="5"/>
      <c r="K203" s="1"/>
      <c r="L203" s="53"/>
    </row>
    <row r="204" spans="1:24" s="127" customFormat="1" ht="12" x14ac:dyDescent="0.3">
      <c r="A204" s="128">
        <v>1</v>
      </c>
      <c r="B204" s="14" t="s">
        <v>24</v>
      </c>
      <c r="C204" s="28" t="s">
        <v>324</v>
      </c>
      <c r="D204" s="28"/>
      <c r="E204" s="202">
        <v>40742</v>
      </c>
      <c r="F204" s="28" t="s">
        <v>198</v>
      </c>
      <c r="G204" s="27" t="s">
        <v>69</v>
      </c>
      <c r="H204" s="27"/>
      <c r="I204" s="52" t="s">
        <v>178</v>
      </c>
      <c r="K204" s="1"/>
      <c r="L204" s="53"/>
    </row>
    <row r="205" spans="1:24" s="127" customFormat="1" ht="12" x14ac:dyDescent="0.3">
      <c r="A205" s="128">
        <v>2</v>
      </c>
      <c r="B205" s="14" t="s">
        <v>22</v>
      </c>
      <c r="C205" s="28" t="s">
        <v>363</v>
      </c>
      <c r="D205" s="28"/>
      <c r="E205" s="202">
        <v>41261</v>
      </c>
      <c r="F205" s="28" t="s">
        <v>198</v>
      </c>
      <c r="G205" s="27" t="s">
        <v>71</v>
      </c>
      <c r="H205" s="27"/>
      <c r="I205" s="52" t="s">
        <v>178</v>
      </c>
      <c r="J205" s="114"/>
      <c r="K205" s="1"/>
      <c r="L205" s="53"/>
    </row>
    <row r="206" spans="1:24" s="127" customFormat="1" ht="12" x14ac:dyDescent="0.3">
      <c r="A206" s="128">
        <v>3</v>
      </c>
      <c r="B206" s="14" t="s">
        <v>24</v>
      </c>
      <c r="C206" s="28" t="s">
        <v>364</v>
      </c>
      <c r="D206" s="28"/>
      <c r="E206" s="202">
        <v>41027</v>
      </c>
      <c r="F206" s="28" t="s">
        <v>198</v>
      </c>
      <c r="G206" s="27" t="s">
        <v>71</v>
      </c>
      <c r="H206" s="27"/>
      <c r="I206" s="52" t="s">
        <v>178</v>
      </c>
      <c r="J206" s="114"/>
      <c r="K206" s="1"/>
      <c r="L206" s="53"/>
    </row>
    <row r="207" spans="1:24" s="127" customFormat="1" ht="12" x14ac:dyDescent="0.3">
      <c r="A207" s="128">
        <v>4</v>
      </c>
      <c r="B207" s="14" t="s">
        <v>24</v>
      </c>
      <c r="C207" s="28" t="s">
        <v>367</v>
      </c>
      <c r="D207" s="28"/>
      <c r="E207" s="202">
        <v>40306</v>
      </c>
      <c r="F207" s="28" t="s">
        <v>198</v>
      </c>
      <c r="G207" s="27" t="s">
        <v>71</v>
      </c>
      <c r="H207" s="27"/>
      <c r="I207" s="52" t="s">
        <v>178</v>
      </c>
      <c r="K207" s="1"/>
      <c r="L207" s="53"/>
    </row>
    <row r="208" spans="1:24" s="127" customFormat="1" ht="12" x14ac:dyDescent="0.3">
      <c r="A208" s="128">
        <v>5</v>
      </c>
      <c r="B208" s="14" t="s">
        <v>24</v>
      </c>
      <c r="C208" s="28" t="s">
        <v>368</v>
      </c>
      <c r="D208" s="28"/>
      <c r="E208" s="202">
        <v>40593</v>
      </c>
      <c r="F208" s="28" t="s">
        <v>198</v>
      </c>
      <c r="G208" s="27" t="s">
        <v>71</v>
      </c>
      <c r="H208" s="27"/>
      <c r="I208" s="52" t="s">
        <v>178</v>
      </c>
      <c r="K208" s="1"/>
      <c r="L208" s="53"/>
    </row>
    <row r="209" spans="1:27" s="127" customFormat="1" ht="12" x14ac:dyDescent="0.3">
      <c r="A209" s="128">
        <v>6</v>
      </c>
      <c r="B209" s="14" t="s">
        <v>24</v>
      </c>
      <c r="C209" s="28" t="s">
        <v>369</v>
      </c>
      <c r="D209" s="28"/>
      <c r="E209" s="202">
        <v>40384</v>
      </c>
      <c r="F209" s="28" t="s">
        <v>198</v>
      </c>
      <c r="G209" s="27" t="s">
        <v>71</v>
      </c>
      <c r="H209" s="27"/>
      <c r="I209" s="52" t="s">
        <v>178</v>
      </c>
      <c r="K209" s="1"/>
      <c r="L209" s="53"/>
    </row>
    <row r="210" spans="1:27" s="127" customFormat="1" ht="12" x14ac:dyDescent="0.3">
      <c r="A210" s="128">
        <v>7</v>
      </c>
      <c r="B210" s="14" t="s">
        <v>24</v>
      </c>
      <c r="C210" s="28" t="s">
        <v>370</v>
      </c>
      <c r="D210" s="28"/>
      <c r="E210" s="202">
        <v>40718</v>
      </c>
      <c r="F210" s="28" t="s">
        <v>198</v>
      </c>
      <c r="G210" s="27" t="s">
        <v>71</v>
      </c>
      <c r="H210" s="27"/>
      <c r="I210" s="52" t="s">
        <v>178</v>
      </c>
      <c r="K210" s="1"/>
      <c r="L210" s="53"/>
    </row>
    <row r="211" spans="1:27" s="127" customFormat="1" ht="12" x14ac:dyDescent="0.3">
      <c r="A211" s="128">
        <v>8</v>
      </c>
      <c r="B211" s="14" t="s">
        <v>6</v>
      </c>
      <c r="C211" s="28" t="s">
        <v>371</v>
      </c>
      <c r="D211" s="28"/>
      <c r="E211" s="202">
        <v>40458</v>
      </c>
      <c r="F211" s="28" t="s">
        <v>198</v>
      </c>
      <c r="G211" s="27" t="s">
        <v>71</v>
      </c>
      <c r="H211" s="27"/>
      <c r="I211" s="52" t="s">
        <v>178</v>
      </c>
      <c r="K211" s="1"/>
      <c r="L211" s="53"/>
    </row>
    <row r="212" spans="1:27" s="127" customFormat="1" ht="12" x14ac:dyDescent="0.3">
      <c r="A212" s="128">
        <v>9</v>
      </c>
      <c r="B212" s="14" t="s">
        <v>6</v>
      </c>
      <c r="C212" s="28" t="s">
        <v>372</v>
      </c>
      <c r="D212" s="28"/>
      <c r="E212" s="202">
        <v>40419</v>
      </c>
      <c r="F212" s="28" t="s">
        <v>198</v>
      </c>
      <c r="G212" s="27" t="s">
        <v>71</v>
      </c>
      <c r="H212" s="27"/>
      <c r="I212" s="52" t="s">
        <v>178</v>
      </c>
      <c r="K212" s="1"/>
      <c r="L212" s="53"/>
    </row>
    <row r="213" spans="1:27" s="127" customFormat="1" ht="12" x14ac:dyDescent="0.3">
      <c r="A213" s="128">
        <v>10</v>
      </c>
      <c r="B213" s="14" t="s">
        <v>24</v>
      </c>
      <c r="C213" s="28" t="s">
        <v>373</v>
      </c>
      <c r="D213" s="28"/>
      <c r="E213" s="202">
        <v>40725</v>
      </c>
      <c r="F213" s="28" t="s">
        <v>198</v>
      </c>
      <c r="G213" s="27" t="s">
        <v>71</v>
      </c>
      <c r="H213" s="27"/>
      <c r="I213" s="52" t="s">
        <v>178</v>
      </c>
      <c r="K213" s="1"/>
      <c r="L213" s="53"/>
    </row>
    <row r="214" spans="1:27" s="127" customFormat="1" ht="12" x14ac:dyDescent="0.3">
      <c r="A214" s="128">
        <v>11</v>
      </c>
      <c r="B214" s="21" t="s">
        <v>26</v>
      </c>
      <c r="C214" s="28" t="s">
        <v>325</v>
      </c>
      <c r="D214" s="28"/>
      <c r="E214" s="202">
        <v>41688</v>
      </c>
      <c r="F214" s="28" t="s">
        <v>198</v>
      </c>
      <c r="G214" s="27" t="s">
        <v>69</v>
      </c>
      <c r="H214" s="27"/>
      <c r="I214" s="52" t="s">
        <v>178</v>
      </c>
      <c r="K214" s="1"/>
      <c r="L214" s="53"/>
    </row>
    <row r="215" spans="1:27" s="127" customFormat="1" ht="12" x14ac:dyDescent="0.3">
      <c r="A215" s="128">
        <v>12</v>
      </c>
      <c r="B215" s="14" t="s">
        <v>38</v>
      </c>
      <c r="C215" s="28" t="s">
        <v>326</v>
      </c>
      <c r="D215" s="28"/>
      <c r="E215" s="202">
        <v>41502</v>
      </c>
      <c r="F215" s="28" t="s">
        <v>198</v>
      </c>
      <c r="G215" s="27" t="s">
        <v>69</v>
      </c>
      <c r="H215" s="27"/>
      <c r="I215" s="52" t="s">
        <v>178</v>
      </c>
      <c r="K215" s="1"/>
      <c r="L215" s="53"/>
    </row>
    <row r="216" spans="1:27" s="127" customFormat="1" ht="12" x14ac:dyDescent="0.3">
      <c r="A216" s="128">
        <v>13</v>
      </c>
      <c r="B216" s="21" t="s">
        <v>26</v>
      </c>
      <c r="C216" s="28" t="s">
        <v>327</v>
      </c>
      <c r="D216" s="28"/>
      <c r="E216" s="202">
        <v>41887</v>
      </c>
      <c r="F216" s="28" t="s">
        <v>198</v>
      </c>
      <c r="G216" s="27" t="s">
        <v>69</v>
      </c>
      <c r="H216" s="27"/>
      <c r="I216" s="52" t="s">
        <v>178</v>
      </c>
      <c r="K216" s="1"/>
      <c r="L216" s="53"/>
    </row>
    <row r="217" spans="1:27" s="127" customFormat="1" ht="12" x14ac:dyDescent="0.3">
      <c r="A217" s="128">
        <v>14</v>
      </c>
      <c r="B217" s="14" t="s">
        <v>38</v>
      </c>
      <c r="C217" s="28" t="s">
        <v>328</v>
      </c>
      <c r="D217" s="28"/>
      <c r="E217" s="202">
        <v>41504</v>
      </c>
      <c r="F217" s="28" t="s">
        <v>198</v>
      </c>
      <c r="G217" s="27" t="s">
        <v>69</v>
      </c>
      <c r="H217" s="27"/>
      <c r="I217" s="52" t="s">
        <v>178</v>
      </c>
      <c r="K217" s="1"/>
      <c r="L217" s="53"/>
    </row>
    <row r="218" spans="1:27" s="127" customFormat="1" ht="12" x14ac:dyDescent="0.3">
      <c r="A218" s="128">
        <v>15</v>
      </c>
      <c r="B218" s="14" t="s">
        <v>38</v>
      </c>
      <c r="C218" s="28" t="s">
        <v>329</v>
      </c>
      <c r="D218" s="28"/>
      <c r="E218" s="202">
        <v>41767</v>
      </c>
      <c r="F218" s="28" t="s">
        <v>198</v>
      </c>
      <c r="G218" s="27" t="s">
        <v>69</v>
      </c>
      <c r="H218" s="27"/>
      <c r="I218" s="52" t="s">
        <v>178</v>
      </c>
      <c r="K218" s="1"/>
      <c r="L218" s="53"/>
    </row>
    <row r="219" spans="1:27" s="127" customFormat="1" ht="12" x14ac:dyDescent="0.3">
      <c r="A219" s="128">
        <v>16</v>
      </c>
      <c r="B219" s="14" t="s">
        <v>38</v>
      </c>
      <c r="C219" s="28" t="s">
        <v>330</v>
      </c>
      <c r="D219" s="28"/>
      <c r="E219" s="202">
        <v>41354</v>
      </c>
      <c r="F219" s="28" t="s">
        <v>198</v>
      </c>
      <c r="G219" s="27" t="s">
        <v>69</v>
      </c>
      <c r="H219" s="27"/>
      <c r="I219" s="52" t="s">
        <v>178</v>
      </c>
      <c r="K219" s="1"/>
      <c r="L219" s="53"/>
    </row>
    <row r="220" spans="1:27" s="127" customFormat="1" ht="12" x14ac:dyDescent="0.3">
      <c r="A220" s="128">
        <v>17</v>
      </c>
      <c r="B220" s="14" t="s">
        <v>37</v>
      </c>
      <c r="C220" s="28" t="s">
        <v>333</v>
      </c>
      <c r="D220" s="28"/>
      <c r="E220" s="202">
        <v>41326</v>
      </c>
      <c r="F220" s="28" t="s">
        <v>198</v>
      </c>
      <c r="G220" s="27" t="s">
        <v>69</v>
      </c>
      <c r="H220" s="27"/>
      <c r="I220" s="52" t="s">
        <v>178</v>
      </c>
      <c r="K220" s="1"/>
      <c r="L220" s="53"/>
    </row>
    <row r="221" spans="1:27" s="127" customFormat="1" ht="12" x14ac:dyDescent="0.3">
      <c r="A221" s="128">
        <v>18</v>
      </c>
      <c r="B221" s="14" t="s">
        <v>22</v>
      </c>
      <c r="C221" s="28" t="s">
        <v>361</v>
      </c>
      <c r="D221" s="28"/>
      <c r="E221" s="202">
        <v>41739</v>
      </c>
      <c r="F221" s="28" t="s">
        <v>198</v>
      </c>
      <c r="G221" s="27" t="s">
        <v>71</v>
      </c>
      <c r="H221" s="27"/>
      <c r="I221" s="52" t="s">
        <v>178</v>
      </c>
      <c r="J221" s="114"/>
      <c r="K221" s="1"/>
      <c r="L221" s="53"/>
    </row>
    <row r="222" spans="1:27" s="114" customFormat="1" ht="12" x14ac:dyDescent="0.3">
      <c r="A222" s="128">
        <v>19</v>
      </c>
      <c r="B222" s="21" t="s">
        <v>23</v>
      </c>
      <c r="C222" s="28" t="s">
        <v>362</v>
      </c>
      <c r="D222" s="28"/>
      <c r="E222" s="202">
        <v>41964</v>
      </c>
      <c r="F222" s="28" t="s">
        <v>198</v>
      </c>
      <c r="G222" s="27" t="s">
        <v>71</v>
      </c>
      <c r="H222" s="27"/>
      <c r="I222" s="52" t="s">
        <v>178</v>
      </c>
      <c r="K222" s="1"/>
      <c r="L222" s="20"/>
    </row>
    <row r="223" spans="1:27" s="114" customFormat="1" ht="12" x14ac:dyDescent="0.3">
      <c r="A223" s="128">
        <v>20</v>
      </c>
      <c r="B223" s="21" t="s">
        <v>26</v>
      </c>
      <c r="C223" s="28" t="s">
        <v>365</v>
      </c>
      <c r="D223" s="28"/>
      <c r="E223" s="202">
        <v>41304</v>
      </c>
      <c r="F223" s="28" t="s">
        <v>198</v>
      </c>
      <c r="G223" s="27" t="s">
        <v>71</v>
      </c>
      <c r="H223" s="27"/>
      <c r="I223" s="52" t="s">
        <v>178</v>
      </c>
      <c r="J223" s="127"/>
      <c r="K223" s="1"/>
      <c r="L223" s="20"/>
      <c r="Y223" s="5"/>
      <c r="Z223" s="5"/>
      <c r="AA223" s="1"/>
    </row>
    <row r="224" spans="1:27" s="114" customFormat="1" ht="12" x14ac:dyDescent="0.3">
      <c r="A224" s="128">
        <v>21</v>
      </c>
      <c r="B224" s="14" t="s">
        <v>22</v>
      </c>
      <c r="C224" s="28" t="s">
        <v>366</v>
      </c>
      <c r="D224" s="28"/>
      <c r="E224" s="202">
        <v>41484</v>
      </c>
      <c r="F224" s="28" t="s">
        <v>198</v>
      </c>
      <c r="G224" s="27" t="s">
        <v>71</v>
      </c>
      <c r="H224" s="27"/>
      <c r="I224" s="52" t="s">
        <v>178</v>
      </c>
      <c r="J224" s="127"/>
      <c r="K224" s="1"/>
      <c r="L224" s="20"/>
    </row>
    <row r="225" spans="1:24" s="114" customFormat="1" ht="12" x14ac:dyDescent="0.3">
      <c r="A225" s="128">
        <v>22</v>
      </c>
      <c r="B225" s="21" t="s">
        <v>26</v>
      </c>
      <c r="C225" s="28" t="s">
        <v>374</v>
      </c>
      <c r="D225" s="28"/>
      <c r="E225" s="202">
        <v>41603</v>
      </c>
      <c r="F225" s="28" t="s">
        <v>198</v>
      </c>
      <c r="G225" s="27" t="s">
        <v>71</v>
      </c>
      <c r="H225" s="27"/>
      <c r="I225" s="52" t="s">
        <v>178</v>
      </c>
      <c r="J225" s="127"/>
      <c r="K225" s="1"/>
      <c r="L225" s="53"/>
      <c r="M225" s="127"/>
      <c r="N225" s="127"/>
      <c r="O225" s="127"/>
    </row>
    <row r="226" spans="1:24" s="127" customFormat="1" ht="12" x14ac:dyDescent="0.3">
      <c r="A226" s="128"/>
      <c r="B226" s="115" t="s">
        <v>41</v>
      </c>
      <c r="C226" s="3"/>
      <c r="D226" s="3"/>
      <c r="E226" s="123"/>
      <c r="F226" s="115" t="s">
        <v>178</v>
      </c>
      <c r="G226" s="27"/>
      <c r="H226" s="27"/>
      <c r="I226" s="52"/>
      <c r="J226" s="5"/>
      <c r="K226" s="1"/>
      <c r="L226" s="53"/>
      <c r="X226" s="114"/>
    </row>
    <row r="227" spans="1:24" s="127" customFormat="1" ht="12" x14ac:dyDescent="0.3">
      <c r="A227" s="128"/>
      <c r="B227" s="21"/>
      <c r="C227" s="28"/>
      <c r="D227" s="28"/>
      <c r="E227" s="202"/>
      <c r="F227" s="28"/>
      <c r="G227" s="27"/>
      <c r="H227" s="27"/>
      <c r="I227" s="52"/>
      <c r="K227" s="1"/>
      <c r="L227" s="53"/>
    </row>
    <row r="228" spans="1:24" s="127" customFormat="1" ht="13" x14ac:dyDescent="0.3">
      <c r="A228" s="128"/>
      <c r="B228" s="220" t="s">
        <v>198</v>
      </c>
      <c r="C228" s="28"/>
      <c r="D228" s="28"/>
      <c r="E228" s="202"/>
      <c r="F228" s="28"/>
      <c r="G228" s="27"/>
      <c r="H228" s="27"/>
      <c r="I228" s="52"/>
      <c r="K228" s="1"/>
      <c r="L228" s="53"/>
      <c r="X228" s="114"/>
    </row>
    <row r="229" spans="1:24" s="127" customFormat="1" ht="12" x14ac:dyDescent="0.3">
      <c r="A229" s="128">
        <v>1</v>
      </c>
      <c r="B229" s="21" t="s">
        <v>25</v>
      </c>
      <c r="C229" s="28" t="s">
        <v>285</v>
      </c>
      <c r="D229" s="28"/>
      <c r="E229" s="202">
        <v>41075</v>
      </c>
      <c r="F229" s="28" t="s">
        <v>198</v>
      </c>
      <c r="G229" s="27" t="s">
        <v>69</v>
      </c>
      <c r="H229" s="27"/>
      <c r="I229" s="52" t="s">
        <v>179</v>
      </c>
      <c r="K229" s="1"/>
      <c r="L229" s="53"/>
    </row>
    <row r="230" spans="1:24" s="127" customFormat="1" ht="12" x14ac:dyDescent="0.3">
      <c r="A230" s="128">
        <v>2</v>
      </c>
      <c r="B230" s="14" t="s">
        <v>6</v>
      </c>
      <c r="C230" s="28" t="s">
        <v>241</v>
      </c>
      <c r="D230" s="28"/>
      <c r="E230" s="202">
        <v>41127</v>
      </c>
      <c r="F230" s="28" t="s">
        <v>198</v>
      </c>
      <c r="G230" s="27" t="s">
        <v>71</v>
      </c>
      <c r="H230" s="27"/>
      <c r="I230" s="52" t="s">
        <v>179</v>
      </c>
      <c r="K230" s="1"/>
      <c r="L230" s="53"/>
    </row>
    <row r="231" spans="1:24" s="127" customFormat="1" ht="12" x14ac:dyDescent="0.3">
      <c r="A231" s="128">
        <v>3</v>
      </c>
      <c r="B231" s="14" t="s">
        <v>22</v>
      </c>
      <c r="C231" s="28" t="s">
        <v>288</v>
      </c>
      <c r="D231" s="28"/>
      <c r="E231" s="202">
        <v>41170</v>
      </c>
      <c r="F231" s="28" t="s">
        <v>198</v>
      </c>
      <c r="G231" s="27" t="s">
        <v>71</v>
      </c>
      <c r="H231" s="27"/>
      <c r="I231" s="52" t="s">
        <v>179</v>
      </c>
      <c r="K231" s="1"/>
      <c r="L231" s="53"/>
    </row>
    <row r="232" spans="1:24" s="127" customFormat="1" ht="12" x14ac:dyDescent="0.3">
      <c r="A232" s="128">
        <v>4</v>
      </c>
      <c r="B232" s="14" t="s">
        <v>22</v>
      </c>
      <c r="C232" s="28" t="s">
        <v>290</v>
      </c>
      <c r="D232" s="28"/>
      <c r="E232" s="202">
        <v>41117</v>
      </c>
      <c r="F232" s="28" t="s">
        <v>198</v>
      </c>
      <c r="G232" s="27" t="s">
        <v>71</v>
      </c>
      <c r="H232" s="27"/>
      <c r="I232" s="52" t="s">
        <v>179</v>
      </c>
      <c r="K232" s="1"/>
      <c r="L232" s="53"/>
    </row>
    <row r="233" spans="1:24" s="127" customFormat="1" ht="12" x14ac:dyDescent="0.3">
      <c r="A233" s="128">
        <v>5</v>
      </c>
      <c r="B233" s="21" t="s">
        <v>26</v>
      </c>
      <c r="C233" s="28" t="s">
        <v>294</v>
      </c>
      <c r="D233" s="28"/>
      <c r="E233" s="202">
        <v>41152</v>
      </c>
      <c r="F233" s="28" t="s">
        <v>198</v>
      </c>
      <c r="G233" s="27" t="s">
        <v>71</v>
      </c>
      <c r="H233" s="27"/>
      <c r="I233" s="52" t="s">
        <v>179</v>
      </c>
      <c r="K233" s="1"/>
      <c r="L233" s="53"/>
    </row>
    <row r="234" spans="1:24" s="127" customFormat="1" ht="12" x14ac:dyDescent="0.3">
      <c r="A234" s="128">
        <v>6</v>
      </c>
      <c r="B234" s="14" t="s">
        <v>38</v>
      </c>
      <c r="C234" s="28" t="s">
        <v>295</v>
      </c>
      <c r="D234" s="28"/>
      <c r="E234" s="202">
        <v>41062</v>
      </c>
      <c r="F234" s="28" t="s">
        <v>198</v>
      </c>
      <c r="G234" s="27" t="s">
        <v>71</v>
      </c>
      <c r="H234" s="27"/>
      <c r="I234" s="52" t="s">
        <v>179</v>
      </c>
      <c r="K234" s="1"/>
      <c r="L234" s="53"/>
    </row>
    <row r="235" spans="1:24" s="127" customFormat="1" ht="12" x14ac:dyDescent="0.3">
      <c r="A235" s="128">
        <v>7</v>
      </c>
      <c r="B235" s="21" t="s">
        <v>25</v>
      </c>
      <c r="C235" s="28" t="s">
        <v>298</v>
      </c>
      <c r="D235" s="28"/>
      <c r="E235" s="202">
        <v>40884</v>
      </c>
      <c r="F235" s="28" t="s">
        <v>198</v>
      </c>
      <c r="G235" s="27" t="s">
        <v>71</v>
      </c>
      <c r="H235" s="27"/>
      <c r="I235" s="52" t="s">
        <v>179</v>
      </c>
      <c r="K235" s="1"/>
      <c r="L235" s="53"/>
    </row>
    <row r="236" spans="1:24" s="127" customFormat="1" ht="12" x14ac:dyDescent="0.3">
      <c r="A236" s="128">
        <v>8</v>
      </c>
      <c r="B236" s="21" t="s">
        <v>24</v>
      </c>
      <c r="C236" s="28" t="s">
        <v>299</v>
      </c>
      <c r="D236" s="28"/>
      <c r="E236" s="202">
        <v>40529</v>
      </c>
      <c r="F236" s="28" t="s">
        <v>198</v>
      </c>
      <c r="G236" s="27" t="s">
        <v>71</v>
      </c>
      <c r="H236" s="27"/>
      <c r="I236" s="52" t="s">
        <v>179</v>
      </c>
      <c r="K236" s="1"/>
      <c r="L236" s="53"/>
    </row>
    <row r="237" spans="1:24" s="127" customFormat="1" ht="12" x14ac:dyDescent="0.3">
      <c r="A237" s="128">
        <v>9</v>
      </c>
      <c r="B237" s="14" t="s">
        <v>25</v>
      </c>
      <c r="C237" s="28" t="s">
        <v>300</v>
      </c>
      <c r="D237" s="28"/>
      <c r="E237" s="202">
        <v>40480</v>
      </c>
      <c r="F237" s="28" t="s">
        <v>198</v>
      </c>
      <c r="G237" s="27" t="s">
        <v>71</v>
      </c>
      <c r="H237" s="27"/>
      <c r="I237" s="52" t="s">
        <v>179</v>
      </c>
      <c r="K237" s="1"/>
      <c r="L237" s="53"/>
    </row>
    <row r="238" spans="1:24" s="127" customFormat="1" ht="12" x14ac:dyDescent="0.3">
      <c r="A238" s="128">
        <v>10</v>
      </c>
      <c r="B238" s="14" t="s">
        <v>6</v>
      </c>
      <c r="C238" s="28" t="s">
        <v>301</v>
      </c>
      <c r="D238" s="28"/>
      <c r="E238" s="202">
        <v>40526</v>
      </c>
      <c r="F238" s="28" t="s">
        <v>198</v>
      </c>
      <c r="G238" s="27" t="s">
        <v>71</v>
      </c>
      <c r="H238" s="27"/>
      <c r="I238" s="52" t="s">
        <v>179</v>
      </c>
      <c r="K238" s="1"/>
      <c r="L238" s="53"/>
    </row>
    <row r="239" spans="1:24" s="127" customFormat="1" ht="12" x14ac:dyDescent="0.3">
      <c r="A239" s="128">
        <v>11</v>
      </c>
      <c r="B239" s="14" t="s">
        <v>24</v>
      </c>
      <c r="C239" s="28" t="s">
        <v>302</v>
      </c>
      <c r="D239" s="28"/>
      <c r="E239" s="202">
        <v>41145</v>
      </c>
      <c r="F239" s="28" t="s">
        <v>198</v>
      </c>
      <c r="G239" s="27" t="s">
        <v>71</v>
      </c>
      <c r="H239" s="27"/>
      <c r="I239" s="52" t="s">
        <v>179</v>
      </c>
      <c r="K239" s="1"/>
      <c r="L239" s="53"/>
    </row>
    <row r="240" spans="1:24" s="127" customFormat="1" ht="12" x14ac:dyDescent="0.3">
      <c r="A240" s="128">
        <v>12</v>
      </c>
      <c r="B240" s="14" t="s">
        <v>6</v>
      </c>
      <c r="C240" s="28" t="s">
        <v>307</v>
      </c>
      <c r="D240" s="28"/>
      <c r="E240" s="202">
        <v>40679</v>
      </c>
      <c r="F240" s="28" t="s">
        <v>198</v>
      </c>
      <c r="G240" s="27" t="s">
        <v>71</v>
      </c>
      <c r="H240" s="27"/>
      <c r="I240" s="52" t="s">
        <v>179</v>
      </c>
      <c r="K240" s="1"/>
      <c r="L240" s="53"/>
    </row>
    <row r="241" spans="1:12" s="127" customFormat="1" ht="12" x14ac:dyDescent="0.3">
      <c r="A241" s="128">
        <v>13</v>
      </c>
      <c r="B241" s="21" t="s">
        <v>38</v>
      </c>
      <c r="C241" s="28" t="s">
        <v>497</v>
      </c>
      <c r="D241" s="28"/>
      <c r="E241" s="202">
        <v>40653</v>
      </c>
      <c r="F241" s="28" t="s">
        <v>198</v>
      </c>
      <c r="G241" s="27" t="s">
        <v>71</v>
      </c>
      <c r="H241" s="27"/>
      <c r="I241" s="52" t="s">
        <v>179</v>
      </c>
      <c r="J241" s="5"/>
      <c r="K241" s="1"/>
      <c r="L241" s="53"/>
    </row>
    <row r="242" spans="1:12" s="127" customFormat="1" ht="12" x14ac:dyDescent="0.3">
      <c r="A242" s="128">
        <v>14</v>
      </c>
      <c r="B242" s="21" t="s">
        <v>6</v>
      </c>
      <c r="C242" s="28" t="s">
        <v>273</v>
      </c>
      <c r="D242" s="28"/>
      <c r="E242" s="202">
        <v>41302</v>
      </c>
      <c r="F242" s="28" t="s">
        <v>198</v>
      </c>
      <c r="G242" s="27" t="s">
        <v>69</v>
      </c>
      <c r="H242" s="27"/>
      <c r="I242" s="52" t="s">
        <v>179</v>
      </c>
      <c r="K242" s="1"/>
      <c r="L242" s="53"/>
    </row>
    <row r="243" spans="1:12" s="127" customFormat="1" ht="12" x14ac:dyDescent="0.3">
      <c r="A243" s="128">
        <v>15</v>
      </c>
      <c r="B243" s="14" t="s">
        <v>22</v>
      </c>
      <c r="C243" s="28" t="s">
        <v>275</v>
      </c>
      <c r="D243" s="28"/>
      <c r="E243" s="202">
        <v>41466</v>
      </c>
      <c r="F243" s="28" t="s">
        <v>198</v>
      </c>
      <c r="G243" s="27" t="s">
        <v>69</v>
      </c>
      <c r="H243" s="27"/>
      <c r="I243" s="52" t="s">
        <v>179</v>
      </c>
      <c r="K243" s="1"/>
      <c r="L243" s="53"/>
    </row>
    <row r="244" spans="1:12" s="127" customFormat="1" ht="12" x14ac:dyDescent="0.3">
      <c r="A244" s="128">
        <v>16</v>
      </c>
      <c r="B244" s="14" t="s">
        <v>38</v>
      </c>
      <c r="C244" s="28" t="s">
        <v>276</v>
      </c>
      <c r="D244" s="28"/>
      <c r="E244" s="202">
        <v>41394</v>
      </c>
      <c r="F244" s="28" t="s">
        <v>198</v>
      </c>
      <c r="G244" s="27" t="s">
        <v>69</v>
      </c>
      <c r="H244" s="27"/>
      <c r="I244" s="52" t="s">
        <v>179</v>
      </c>
      <c r="K244" s="1"/>
      <c r="L244" s="53"/>
    </row>
    <row r="245" spans="1:12" s="127" customFormat="1" ht="12" x14ac:dyDescent="0.3">
      <c r="A245" s="128">
        <v>17</v>
      </c>
      <c r="B245" s="14" t="s">
        <v>25</v>
      </c>
      <c r="C245" s="28" t="s">
        <v>277</v>
      </c>
      <c r="D245" s="28"/>
      <c r="E245" s="202">
        <v>41624</v>
      </c>
      <c r="F245" s="28" t="s">
        <v>198</v>
      </c>
      <c r="G245" s="27" t="s">
        <v>69</v>
      </c>
      <c r="H245" s="27"/>
      <c r="I245" s="52" t="s">
        <v>179</v>
      </c>
      <c r="K245" s="1"/>
      <c r="L245" s="53"/>
    </row>
    <row r="246" spans="1:12" s="127" customFormat="1" ht="12" x14ac:dyDescent="0.3">
      <c r="A246" s="128">
        <v>18</v>
      </c>
      <c r="B246" s="14" t="s">
        <v>25</v>
      </c>
      <c r="C246" s="28" t="s">
        <v>278</v>
      </c>
      <c r="D246" s="28"/>
      <c r="E246" s="202">
        <v>41889</v>
      </c>
      <c r="F246" s="28" t="s">
        <v>198</v>
      </c>
      <c r="G246" s="27" t="s">
        <v>69</v>
      </c>
      <c r="H246" s="27"/>
      <c r="I246" s="52" t="s">
        <v>179</v>
      </c>
      <c r="K246" s="1"/>
      <c r="L246" s="53"/>
    </row>
    <row r="247" spans="1:12" s="127" customFormat="1" ht="12" x14ac:dyDescent="0.3">
      <c r="A247" s="128">
        <v>19</v>
      </c>
      <c r="B247" s="14" t="s">
        <v>38</v>
      </c>
      <c r="C247" s="28" t="s">
        <v>279</v>
      </c>
      <c r="D247" s="28"/>
      <c r="E247" s="202">
        <v>41781</v>
      </c>
      <c r="F247" s="28" t="s">
        <v>198</v>
      </c>
      <c r="G247" s="27" t="s">
        <v>69</v>
      </c>
      <c r="H247" s="27"/>
      <c r="I247" s="52" t="s">
        <v>179</v>
      </c>
      <c r="K247" s="1"/>
      <c r="L247" s="53"/>
    </row>
    <row r="248" spans="1:12" s="127" customFormat="1" ht="12" x14ac:dyDescent="0.3">
      <c r="A248" s="128">
        <v>20</v>
      </c>
      <c r="B248" s="21" t="s">
        <v>25</v>
      </c>
      <c r="C248" s="28" t="s">
        <v>280</v>
      </c>
      <c r="D248" s="28"/>
      <c r="E248" s="202">
        <v>41726</v>
      </c>
      <c r="F248" s="28" t="s">
        <v>198</v>
      </c>
      <c r="G248" s="27" t="s">
        <v>69</v>
      </c>
      <c r="H248" s="27"/>
      <c r="I248" s="52" t="s">
        <v>179</v>
      </c>
      <c r="K248" s="1"/>
      <c r="L248" s="53"/>
    </row>
    <row r="249" spans="1:12" s="127" customFormat="1" ht="12" x14ac:dyDescent="0.3">
      <c r="A249" s="128">
        <v>21</v>
      </c>
      <c r="B249" s="14" t="s">
        <v>38</v>
      </c>
      <c r="C249" s="28" t="s">
        <v>284</v>
      </c>
      <c r="D249" s="28"/>
      <c r="E249" s="202">
        <v>41388</v>
      </c>
      <c r="F249" s="28" t="s">
        <v>198</v>
      </c>
      <c r="G249" s="27" t="s">
        <v>69</v>
      </c>
      <c r="H249" s="27"/>
      <c r="I249" s="52" t="s">
        <v>179</v>
      </c>
      <c r="K249" s="1"/>
      <c r="L249" s="53"/>
    </row>
    <row r="250" spans="1:12" s="127" customFormat="1" ht="12" x14ac:dyDescent="0.3">
      <c r="A250" s="128">
        <v>22</v>
      </c>
      <c r="B250" s="14" t="s">
        <v>22</v>
      </c>
      <c r="C250" s="28" t="s">
        <v>286</v>
      </c>
      <c r="D250" s="28"/>
      <c r="E250" s="202">
        <v>41810</v>
      </c>
      <c r="F250" s="28" t="s">
        <v>198</v>
      </c>
      <c r="G250" s="27" t="s">
        <v>69</v>
      </c>
      <c r="H250" s="27"/>
      <c r="I250" s="52" t="s">
        <v>179</v>
      </c>
      <c r="K250" s="1"/>
      <c r="L250" s="53"/>
    </row>
    <row r="251" spans="1:12" s="127" customFormat="1" ht="12" x14ac:dyDescent="0.3">
      <c r="A251" s="128">
        <v>23</v>
      </c>
      <c r="B251" s="14" t="s">
        <v>38</v>
      </c>
      <c r="C251" s="28" t="s">
        <v>287</v>
      </c>
      <c r="D251" s="28"/>
      <c r="E251" s="202">
        <v>41402</v>
      </c>
      <c r="F251" s="28" t="s">
        <v>198</v>
      </c>
      <c r="G251" s="27" t="s">
        <v>69</v>
      </c>
      <c r="H251" s="27"/>
      <c r="I251" s="52" t="s">
        <v>179</v>
      </c>
      <c r="K251" s="1"/>
      <c r="L251" s="53"/>
    </row>
    <row r="252" spans="1:12" s="127" customFormat="1" ht="12" x14ac:dyDescent="0.3">
      <c r="A252" s="128">
        <v>24</v>
      </c>
      <c r="B252" s="14" t="s">
        <v>22</v>
      </c>
      <c r="C252" s="28" t="s">
        <v>289</v>
      </c>
      <c r="D252" s="28"/>
      <c r="E252" s="202">
        <v>41953</v>
      </c>
      <c r="F252" s="28" t="s">
        <v>198</v>
      </c>
      <c r="G252" s="27" t="s">
        <v>71</v>
      </c>
      <c r="H252" s="27"/>
      <c r="I252" s="52" t="s">
        <v>179</v>
      </c>
      <c r="K252" s="1"/>
      <c r="L252" s="53"/>
    </row>
    <row r="253" spans="1:12" s="127" customFormat="1" ht="12" x14ac:dyDescent="0.3">
      <c r="A253" s="128">
        <v>25</v>
      </c>
      <c r="B253" s="21" t="s">
        <v>23</v>
      </c>
      <c r="C253" s="28" t="s">
        <v>291</v>
      </c>
      <c r="D253" s="28"/>
      <c r="E253" s="202">
        <v>41935</v>
      </c>
      <c r="F253" s="28" t="s">
        <v>198</v>
      </c>
      <c r="G253" s="27" t="s">
        <v>71</v>
      </c>
      <c r="H253" s="27"/>
      <c r="I253" s="52" t="s">
        <v>179</v>
      </c>
      <c r="K253" s="1"/>
      <c r="L253" s="53"/>
    </row>
    <row r="254" spans="1:12" s="127" customFormat="1" ht="12" x14ac:dyDescent="0.3">
      <c r="A254" s="128">
        <v>26</v>
      </c>
      <c r="B254" s="21" t="s">
        <v>23</v>
      </c>
      <c r="C254" s="28" t="s">
        <v>296</v>
      </c>
      <c r="D254" s="28"/>
      <c r="E254" s="202">
        <v>41327</v>
      </c>
      <c r="F254" s="28" t="s">
        <v>198</v>
      </c>
      <c r="G254" s="27" t="s">
        <v>71</v>
      </c>
      <c r="H254" s="27"/>
      <c r="I254" s="52" t="s">
        <v>179</v>
      </c>
      <c r="K254" s="1"/>
      <c r="L254" s="53"/>
    </row>
    <row r="255" spans="1:12" s="127" customFormat="1" ht="12" x14ac:dyDescent="0.3">
      <c r="A255" s="128">
        <v>27</v>
      </c>
      <c r="B255" s="21" t="s">
        <v>23</v>
      </c>
      <c r="C255" s="28" t="s">
        <v>305</v>
      </c>
      <c r="D255" s="28"/>
      <c r="E255" s="202">
        <v>41829</v>
      </c>
      <c r="F255" s="28" t="s">
        <v>198</v>
      </c>
      <c r="G255" s="27" t="s">
        <v>71</v>
      </c>
      <c r="H255" s="27"/>
      <c r="I255" s="52" t="s">
        <v>179</v>
      </c>
      <c r="K255" s="1"/>
      <c r="L255" s="53"/>
    </row>
    <row r="256" spans="1:12" s="127" customFormat="1" ht="12" x14ac:dyDescent="0.3">
      <c r="A256" s="128">
        <v>28</v>
      </c>
      <c r="B256" s="14" t="s">
        <v>38</v>
      </c>
      <c r="C256" s="28" t="s">
        <v>306</v>
      </c>
      <c r="D256" s="28"/>
      <c r="E256" s="202">
        <v>41528</v>
      </c>
      <c r="F256" s="28" t="s">
        <v>198</v>
      </c>
      <c r="G256" s="27" t="s">
        <v>71</v>
      </c>
      <c r="H256" s="27"/>
      <c r="I256" s="52" t="s">
        <v>179</v>
      </c>
      <c r="K256" s="1"/>
      <c r="L256" s="53"/>
    </row>
    <row r="257" spans="1:25" s="127" customFormat="1" ht="12" x14ac:dyDescent="0.3">
      <c r="A257" s="128">
        <v>29</v>
      </c>
      <c r="B257" s="21" t="s">
        <v>26</v>
      </c>
      <c r="C257" s="28" t="s">
        <v>308</v>
      </c>
      <c r="D257" s="28"/>
      <c r="E257" s="202">
        <v>41738</v>
      </c>
      <c r="F257" s="28" t="s">
        <v>198</v>
      </c>
      <c r="G257" s="27" t="s">
        <v>71</v>
      </c>
      <c r="H257" s="27"/>
      <c r="I257" s="52" t="s">
        <v>179</v>
      </c>
      <c r="K257" s="1"/>
      <c r="L257" s="20"/>
      <c r="M257" s="114"/>
      <c r="N257" s="114"/>
      <c r="O257" s="114"/>
    </row>
    <row r="258" spans="1:25" s="127" customFormat="1" ht="12" x14ac:dyDescent="0.3">
      <c r="A258" s="128"/>
      <c r="B258" s="115" t="s">
        <v>41</v>
      </c>
      <c r="C258" s="3"/>
      <c r="D258" s="3"/>
      <c r="E258" s="123"/>
      <c r="F258" s="115" t="s">
        <v>179</v>
      </c>
      <c r="G258" s="27"/>
      <c r="H258" s="27"/>
      <c r="I258" s="52"/>
      <c r="J258" s="5"/>
      <c r="K258" s="1"/>
      <c r="L258" s="53"/>
      <c r="X258" s="114"/>
    </row>
    <row r="259" spans="1:25" s="127" customFormat="1" ht="12" x14ac:dyDescent="0.3">
      <c r="A259" s="128"/>
      <c r="B259" s="115"/>
      <c r="C259" s="3"/>
      <c r="D259" s="3"/>
      <c r="E259" s="123"/>
      <c r="F259" s="115"/>
      <c r="G259" s="27"/>
      <c r="H259" s="27"/>
      <c r="I259" s="52"/>
      <c r="J259" s="5"/>
      <c r="K259" s="1"/>
      <c r="L259" s="53"/>
      <c r="X259" s="114"/>
    </row>
    <row r="260" spans="1:25" s="127" customFormat="1" ht="12" x14ac:dyDescent="0.3">
      <c r="A260" s="128"/>
      <c r="B260" s="115"/>
      <c r="C260" s="3"/>
      <c r="D260" s="3"/>
      <c r="E260" s="123"/>
      <c r="F260" s="115"/>
      <c r="G260" s="27"/>
      <c r="H260" s="27"/>
      <c r="I260" s="52"/>
      <c r="J260" s="5"/>
      <c r="K260" s="1"/>
      <c r="L260" s="53"/>
      <c r="X260" s="114"/>
    </row>
    <row r="261" spans="1:25" s="127" customFormat="1" ht="12" x14ac:dyDescent="0.3">
      <c r="A261" s="128"/>
      <c r="B261" s="115"/>
      <c r="C261" s="3"/>
      <c r="D261" s="3"/>
      <c r="E261" s="123"/>
      <c r="F261" s="115"/>
      <c r="G261" s="27"/>
      <c r="H261" s="27"/>
      <c r="I261" s="52"/>
      <c r="J261" s="5"/>
      <c r="K261" s="1"/>
      <c r="L261" s="53"/>
      <c r="X261" s="114"/>
    </row>
    <row r="262" spans="1:25" s="127" customFormat="1" ht="12" x14ac:dyDescent="0.3">
      <c r="A262" s="128"/>
      <c r="B262" s="115"/>
      <c r="C262" s="3"/>
      <c r="D262" s="3"/>
      <c r="E262" s="123"/>
      <c r="F262" s="115"/>
      <c r="G262" s="27"/>
      <c r="H262" s="27"/>
      <c r="I262" s="52"/>
      <c r="J262" s="5"/>
      <c r="K262" s="1"/>
      <c r="L262" s="53"/>
      <c r="X262" s="114"/>
    </row>
    <row r="263" spans="1:25" s="37" customFormat="1" x14ac:dyDescent="0.35">
      <c r="A263" s="5"/>
      <c r="B263" s="5"/>
      <c r="C263" s="2"/>
      <c r="D263" s="2"/>
      <c r="E263" s="4"/>
      <c r="F263" s="2"/>
      <c r="G263" s="2"/>
      <c r="H263" s="6"/>
      <c r="I263" s="118"/>
      <c r="J263" s="4"/>
      <c r="K263" s="16"/>
      <c r="L263" s="30"/>
      <c r="M263" s="121"/>
      <c r="N263" s="121"/>
      <c r="O263" s="121"/>
    </row>
    <row r="264" spans="1:25" s="37" customFormat="1" ht="13.5" thickBot="1" x14ac:dyDescent="0.35">
      <c r="A264" s="131"/>
      <c r="B264" s="132"/>
      <c r="C264" s="133" t="s">
        <v>163</v>
      </c>
      <c r="D264" s="134">
        <f>COUNTIF(B98:B263,"*г.*")+COUNTIF(B263:B263,"*обл*")+COUNTIF(B263:B263,"*края*")+COUNTIF(B263:B263,"*город*")+COUNTIF(B263:B263,"*респ*")+COUNTIF(B263:B263,"*край*")</f>
        <v>9</v>
      </c>
      <c r="E264" s="135"/>
      <c r="F264" s="136"/>
      <c r="G264" s="131"/>
      <c r="H264" s="137"/>
      <c r="I264" s="138"/>
      <c r="J264" s="139"/>
      <c r="K264" s="19"/>
      <c r="L264" s="140"/>
      <c r="M264" s="141"/>
      <c r="N264" s="141"/>
      <c r="O264" s="141"/>
    </row>
    <row r="265" spans="1:25" s="37" customFormat="1" ht="13" x14ac:dyDescent="0.3">
      <c r="A265" s="142"/>
      <c r="B265" s="143"/>
      <c r="C265" s="144"/>
      <c r="D265" s="145"/>
      <c r="E265" s="146"/>
      <c r="F265" s="147"/>
      <c r="G265" s="147"/>
      <c r="H265" s="148"/>
      <c r="I265" s="149"/>
      <c r="J265" s="150"/>
      <c r="K265" s="31"/>
      <c r="L265" s="140"/>
      <c r="M265" s="141"/>
      <c r="N265" s="141"/>
      <c r="O265" s="141"/>
    </row>
    <row r="266" spans="1:25" s="37" customFormat="1" ht="13" x14ac:dyDescent="0.3">
      <c r="A266" s="151"/>
      <c r="B266" s="22"/>
      <c r="C266" s="22"/>
      <c r="D266" s="22"/>
      <c r="E266" s="22"/>
      <c r="F266" s="22"/>
      <c r="G266" s="22"/>
      <c r="H266" s="22"/>
      <c r="I266" s="22"/>
      <c r="J266" s="22"/>
      <c r="K266" s="32" t="s">
        <v>26</v>
      </c>
      <c r="L266" s="140"/>
      <c r="M266" s="141"/>
      <c r="N266" s="141"/>
      <c r="O266" s="141"/>
    </row>
    <row r="267" spans="1:25" s="37" customFormat="1" ht="13" x14ac:dyDescent="0.3">
      <c r="A267" s="151"/>
      <c r="B267" s="22"/>
      <c r="C267" s="22"/>
      <c r="D267" s="22"/>
      <c r="E267" s="22"/>
      <c r="F267" s="22"/>
      <c r="G267" s="22"/>
      <c r="H267" s="22"/>
      <c r="I267" s="152"/>
      <c r="J267" s="153" t="s">
        <v>69</v>
      </c>
      <c r="K267" s="22">
        <f>COUNTIFS($B$95:$B$257,K266,$G$95:$G$257,"М")</f>
        <v>9</v>
      </c>
      <c r="L267" s="140"/>
      <c r="M267" s="141"/>
      <c r="N267" s="141"/>
      <c r="O267" s="141"/>
    </row>
    <row r="268" spans="1:25" s="101" customFormat="1" x14ac:dyDescent="0.35">
      <c r="A268" s="151"/>
      <c r="B268" s="22"/>
      <c r="C268" s="22"/>
      <c r="D268" s="22"/>
      <c r="E268" s="22"/>
      <c r="F268" s="22"/>
      <c r="G268" s="22"/>
      <c r="H268" s="22"/>
      <c r="I268" s="22"/>
      <c r="J268" s="153" t="s">
        <v>71</v>
      </c>
      <c r="K268" s="22">
        <f>COUNTIFS($B$95:$B$257,K266,$G$95:$G$257,"Ж")</f>
        <v>5</v>
      </c>
      <c r="L268" s="140"/>
      <c r="M268" s="141"/>
      <c r="N268" s="141"/>
      <c r="O268" s="141"/>
      <c r="Y268" s="121"/>
    </row>
    <row r="269" spans="1:25" s="101" customFormat="1" x14ac:dyDescent="0.35">
      <c r="A269" s="151"/>
      <c r="B269" s="22"/>
      <c r="C269" s="22"/>
      <c r="D269" s="22"/>
      <c r="E269" s="22"/>
      <c r="F269" s="22"/>
      <c r="G269" s="22"/>
      <c r="H269" s="22"/>
      <c r="I269" s="22"/>
      <c r="J269" s="154" t="s">
        <v>125</v>
      </c>
      <c r="K269" s="22">
        <f>SUM(K267:K268)</f>
        <v>14</v>
      </c>
      <c r="L269" s="140"/>
      <c r="M269" s="141"/>
      <c r="N269" s="141"/>
      <c r="O269" s="141"/>
      <c r="Y269" s="121"/>
    </row>
    <row r="270" spans="1:25" s="101" customFormat="1" x14ac:dyDescent="0.35">
      <c r="A270" s="131"/>
      <c r="B270" s="155" t="s">
        <v>34</v>
      </c>
      <c r="C270" s="155" t="s">
        <v>35</v>
      </c>
      <c r="D270" s="32" t="s">
        <v>36</v>
      </c>
      <c r="E270" s="32" t="s">
        <v>37</v>
      </c>
      <c r="F270" s="32" t="s">
        <v>6</v>
      </c>
      <c r="G270" s="156" t="s">
        <v>24</v>
      </c>
      <c r="H270" s="157" t="s">
        <v>25</v>
      </c>
      <c r="I270" s="158" t="s">
        <v>38</v>
      </c>
      <c r="J270" s="159" t="s">
        <v>22</v>
      </c>
      <c r="K270" s="160" t="s">
        <v>23</v>
      </c>
      <c r="L270" s="161"/>
      <c r="M270" s="161"/>
      <c r="N270" s="161"/>
      <c r="O270" s="161"/>
      <c r="Y270" s="121"/>
    </row>
    <row r="271" spans="1:25" s="101" customFormat="1" x14ac:dyDescent="0.35">
      <c r="A271" s="151" t="s">
        <v>69</v>
      </c>
      <c r="B271" s="22">
        <f>COUNTIFS($B$95:$B$257,B270,$G$95:$G$257,"Ж")</f>
        <v>0</v>
      </c>
      <c r="C271" s="22">
        <f>COUNTIFS($B$95:$B$257,C270,$G$95:$G$257,"Ж")</f>
        <v>0</v>
      </c>
      <c r="D271" s="22">
        <f>COUNTIFS($B$95:$B$257,D270,$G$95:$G$257,"Ж")</f>
        <v>0</v>
      </c>
      <c r="E271" s="22">
        <f>COUNTIFS($B$95:$B$257,E270,$G$95:$G$257,"Ж")</f>
        <v>2</v>
      </c>
      <c r="F271" s="22">
        <f>COUNTIFS($B$95:$B$257,F270,$G$95:$G$257,"Ж")</f>
        <v>4</v>
      </c>
      <c r="G271" s="22">
        <f>COUNTIFS($B$95:$B$257,G270,$G$95:$G$257,"Ж")</f>
        <v>6</v>
      </c>
      <c r="H271" s="22">
        <f>COUNTIFS($B$95:$B$257,H270,$G$95:$G$257,"Ж")</f>
        <v>16</v>
      </c>
      <c r="I271" s="22">
        <f>COUNTIFS($B$95:$B$257,I270,$G$95:$G$257,"Ж")</f>
        <v>11</v>
      </c>
      <c r="J271" s="22">
        <f>COUNTIFS($B$95:$B$257,J270,$G$95:$G$257,"Ж")</f>
        <v>4</v>
      </c>
      <c r="K271" s="22">
        <f>COUNTIFS($B$95:$B$257,K270,$G$95:$G$257,"Ж")</f>
        <v>0</v>
      </c>
      <c r="L271" s="140"/>
      <c r="M271" s="141"/>
      <c r="N271" s="141"/>
      <c r="O271" s="141"/>
      <c r="Y271" s="121"/>
    </row>
    <row r="272" spans="1:25" s="101" customFormat="1" x14ac:dyDescent="0.35">
      <c r="A272" s="151" t="s">
        <v>71</v>
      </c>
      <c r="B272" s="22">
        <f>COUNTIFS($B$95:$B$257,B270,$G$95:$G$257,"М")</f>
        <v>0</v>
      </c>
      <c r="C272" s="22">
        <f>COUNTIFS($B$95:$B$257,C270,$G$95:$G$257,"М")</f>
        <v>0</v>
      </c>
      <c r="D272" s="22">
        <f>COUNTIFS($B$95:$B$257,D270,$G$95:$G$257,"М")</f>
        <v>0</v>
      </c>
      <c r="E272" s="22">
        <f>COUNTIFS($B$95:$B$257,E270,$G$95:$G$257,"М")</f>
        <v>0</v>
      </c>
      <c r="F272" s="22">
        <f>COUNTIFS($B$95:$B$257,F270,$G$95:$G$257,"М")</f>
        <v>8</v>
      </c>
      <c r="G272" s="22">
        <f>COUNTIFS($B$95:$B$257,G270,$G$95:$G$257,"М")</f>
        <v>17</v>
      </c>
      <c r="H272" s="22">
        <f>COUNTIFS($B$95:$B$257,H270,$G$95:$G$257,"М")</f>
        <v>10</v>
      </c>
      <c r="I272" s="22">
        <f>COUNTIFS($B$95:$B$257,I270,$G$95:$G$257,"М")</f>
        <v>16</v>
      </c>
      <c r="J272" s="22">
        <f>COUNTIFS($B$95:$B$257,J270,$G$95:$G$257,"М")</f>
        <v>15</v>
      </c>
      <c r="K272" s="22">
        <f>COUNTIFS($B$95:$B$257,K270,$G$95:$G$257,"М")</f>
        <v>5</v>
      </c>
      <c r="L272" s="140"/>
      <c r="M272" s="141"/>
      <c r="N272" s="141"/>
      <c r="O272" s="141"/>
      <c r="Y272" s="121"/>
    </row>
    <row r="273" spans="1:25" s="101" customFormat="1" x14ac:dyDescent="0.35">
      <c r="A273" s="151" t="s">
        <v>125</v>
      </c>
      <c r="B273" s="22">
        <f>SUM(B271:B272)</f>
        <v>0</v>
      </c>
      <c r="C273" s="22">
        <f t="shared" ref="C273:K273" si="0">SUM(C271:C272)</f>
        <v>0</v>
      </c>
      <c r="D273" s="22">
        <f t="shared" si="0"/>
        <v>0</v>
      </c>
      <c r="E273" s="22">
        <f t="shared" si="0"/>
        <v>2</v>
      </c>
      <c r="F273" s="22">
        <f t="shared" si="0"/>
        <v>12</v>
      </c>
      <c r="G273" s="22">
        <f t="shared" si="0"/>
        <v>23</v>
      </c>
      <c r="H273" s="22">
        <f>SUM(H271:H272)</f>
        <v>26</v>
      </c>
      <c r="I273" s="22">
        <f t="shared" si="0"/>
        <v>27</v>
      </c>
      <c r="J273" s="22">
        <f t="shared" si="0"/>
        <v>19</v>
      </c>
      <c r="K273" s="22">
        <f t="shared" si="0"/>
        <v>5</v>
      </c>
      <c r="L273" s="140"/>
      <c r="M273" s="141"/>
      <c r="N273" s="141"/>
      <c r="O273" s="141"/>
      <c r="Y273" s="121"/>
    </row>
    <row r="274" spans="1:25" s="101" customFormat="1" x14ac:dyDescent="0.35">
      <c r="A274" s="151"/>
      <c r="B274" s="22"/>
      <c r="C274" s="22"/>
      <c r="D274" s="22"/>
      <c r="E274" s="22"/>
      <c r="F274" s="22"/>
      <c r="G274" s="22"/>
      <c r="H274" s="22"/>
      <c r="I274" s="22"/>
      <c r="J274" s="154"/>
      <c r="K274" s="22"/>
      <c r="L274" s="141"/>
      <c r="M274" s="141"/>
      <c r="N274" s="141"/>
      <c r="O274" s="141"/>
      <c r="Y274" s="121"/>
    </row>
    <row r="275" spans="1:25" s="101" customFormat="1" x14ac:dyDescent="0.35">
      <c r="A275" s="151"/>
      <c r="B275" s="162" t="s">
        <v>127</v>
      </c>
      <c r="C275" s="22"/>
      <c r="D275" s="22"/>
      <c r="E275" s="22"/>
      <c r="F275" s="22"/>
      <c r="G275" s="22"/>
      <c r="H275" s="22"/>
      <c r="I275" s="22"/>
      <c r="J275" s="22"/>
      <c r="K275" s="22"/>
      <c r="L275" s="141"/>
      <c r="M275" s="141"/>
      <c r="N275" s="141"/>
      <c r="O275" s="141"/>
      <c r="Y275" s="121"/>
    </row>
    <row r="276" spans="1:25" s="101" customFormat="1" x14ac:dyDescent="0.35">
      <c r="A276" s="151"/>
      <c r="B276" s="162" t="s">
        <v>126</v>
      </c>
      <c r="C276" s="22"/>
      <c r="D276" s="22"/>
      <c r="E276" s="22"/>
      <c r="F276" s="22"/>
      <c r="G276" s="22"/>
      <c r="H276" s="22"/>
      <c r="I276" s="22"/>
      <c r="J276" s="22"/>
      <c r="K276" s="22"/>
      <c r="L276" s="141"/>
      <c r="M276" s="141"/>
      <c r="N276" s="141"/>
      <c r="O276" s="141"/>
      <c r="Y276" s="121"/>
    </row>
    <row r="277" spans="1:25" s="101" customFormat="1" ht="15" thickBot="1" x14ac:dyDescent="0.4">
      <c r="A277" s="151"/>
      <c r="B277" s="162" t="s">
        <v>70</v>
      </c>
      <c r="C277" s="22">
        <f>C276+C275</f>
        <v>0</v>
      </c>
      <c r="D277" s="22">
        <f t="shared" ref="D277:K277" si="1">D276+D275</f>
        <v>0</v>
      </c>
      <c r="E277" s="22">
        <f t="shared" si="1"/>
        <v>0</v>
      </c>
      <c r="F277" s="22">
        <f t="shared" si="1"/>
        <v>0</v>
      </c>
      <c r="G277" s="22">
        <f t="shared" si="1"/>
        <v>0</v>
      </c>
      <c r="H277" s="22">
        <f t="shared" si="1"/>
        <v>0</v>
      </c>
      <c r="I277" s="22">
        <f t="shared" si="1"/>
        <v>0</v>
      </c>
      <c r="J277" s="22">
        <f t="shared" si="1"/>
        <v>0</v>
      </c>
      <c r="K277" s="22">
        <f t="shared" si="1"/>
        <v>0</v>
      </c>
      <c r="L277" s="141"/>
      <c r="M277" s="141"/>
      <c r="N277" s="141"/>
      <c r="O277" s="141"/>
      <c r="Y277" s="121"/>
    </row>
    <row r="278" spans="1:25" s="101" customFormat="1" x14ac:dyDescent="0.35">
      <c r="A278" s="163"/>
      <c r="B278" s="164"/>
      <c r="C278" s="165"/>
      <c r="D278" s="166"/>
      <c r="E278" s="166"/>
      <c r="F278" s="166"/>
      <c r="G278" s="166"/>
      <c r="H278" s="166"/>
      <c r="I278" s="167"/>
      <c r="J278" s="168"/>
      <c r="K278" s="35"/>
      <c r="L278" s="141"/>
      <c r="M278" s="141"/>
      <c r="N278" s="141"/>
      <c r="O278" s="141"/>
      <c r="Y278" s="121"/>
    </row>
    <row r="279" spans="1:25" s="101" customFormat="1" x14ac:dyDescent="0.35">
      <c r="A279" s="22"/>
      <c r="B279" s="169"/>
      <c r="C279" s="18"/>
      <c r="D279" s="170"/>
      <c r="E279" s="170"/>
      <c r="F279" s="170"/>
      <c r="G279" s="170"/>
      <c r="H279" s="170"/>
      <c r="I279" s="160"/>
      <c r="J279" s="158"/>
      <c r="K279" s="32"/>
      <c r="L279" s="141"/>
      <c r="M279" s="141"/>
      <c r="N279" s="141"/>
      <c r="O279" s="141"/>
      <c r="Y279" s="121"/>
    </row>
    <row r="280" spans="1:25" s="101" customFormat="1" x14ac:dyDescent="0.35">
      <c r="A280" s="22"/>
      <c r="B280" s="133" t="s">
        <v>70</v>
      </c>
      <c r="C280" s="32">
        <f>C281+C282</f>
        <v>129</v>
      </c>
      <c r="D280" s="171"/>
      <c r="E280" s="172"/>
      <c r="F280" s="172"/>
      <c r="G280" s="172"/>
      <c r="H280" s="173"/>
      <c r="I280" s="22"/>
      <c r="J280" s="22"/>
      <c r="K280" s="169"/>
      <c r="L280" s="174"/>
      <c r="M280" s="174"/>
      <c r="N280" s="174"/>
      <c r="O280" s="174"/>
      <c r="Y280" s="121"/>
    </row>
    <row r="281" spans="1:25" s="101" customFormat="1" x14ac:dyDescent="0.35">
      <c r="A281" s="131"/>
      <c r="B281" s="175" t="s">
        <v>67</v>
      </c>
      <c r="C281" s="32">
        <f>COUNTIF(G98:G263,"Ж")</f>
        <v>48</v>
      </c>
      <c r="D281" s="22"/>
      <c r="E281" s="22"/>
      <c r="F281" s="22"/>
      <c r="G281" s="22"/>
      <c r="H281" s="22"/>
      <c r="I281" s="138"/>
      <c r="J281" s="139"/>
      <c r="K281" s="19"/>
      <c r="L281" s="174"/>
      <c r="M281" s="174"/>
      <c r="N281" s="174"/>
      <c r="O281" s="174"/>
      <c r="Y281" s="121"/>
    </row>
    <row r="282" spans="1:25" s="101" customFormat="1" x14ac:dyDescent="0.35">
      <c r="A282" s="22"/>
      <c r="B282" s="133" t="s">
        <v>68</v>
      </c>
      <c r="C282" s="32">
        <f>COUNTIF(G98:G264,"М")</f>
        <v>81</v>
      </c>
      <c r="D282" s="176"/>
      <c r="E282" s="22"/>
      <c r="F282" s="22"/>
      <c r="G282" s="22"/>
      <c r="H282" s="176"/>
      <c r="I282" s="177"/>
      <c r="J282" s="22"/>
      <c r="K282" s="18"/>
      <c r="L282" s="141"/>
      <c r="M282" s="141"/>
      <c r="N282" s="141"/>
      <c r="O282" s="141"/>
      <c r="Y282" s="121"/>
    </row>
    <row r="283" spans="1:25" s="101" customFormat="1" x14ac:dyDescent="0.35">
      <c r="A283" s="22"/>
      <c r="B283" s="178" t="s">
        <v>70</v>
      </c>
      <c r="C283" s="179">
        <f>C280</f>
        <v>129</v>
      </c>
      <c r="D283" s="179"/>
      <c r="E283" s="179"/>
      <c r="F283" s="179"/>
      <c r="G283" s="179"/>
      <c r="H283" s="179"/>
      <c r="I283" s="177"/>
      <c r="J283" s="22"/>
      <c r="K283" s="18"/>
      <c r="L283" s="174"/>
      <c r="M283" s="174"/>
      <c r="N283" s="174"/>
      <c r="O283" s="174"/>
      <c r="Y283" s="121"/>
    </row>
    <row r="284" spans="1:25" s="101" customFormat="1" ht="15" thickBot="1" x14ac:dyDescent="0.4">
      <c r="A284" s="180"/>
      <c r="B284" s="181"/>
      <c r="C284" s="181"/>
      <c r="D284" s="180"/>
      <c r="E284" s="180"/>
      <c r="F284" s="181"/>
      <c r="G284" s="181"/>
      <c r="H284" s="182"/>
      <c r="I284" s="183"/>
      <c r="J284" s="180"/>
      <c r="K284" s="34"/>
      <c r="L284" s="174"/>
      <c r="M284" s="174"/>
      <c r="N284" s="174"/>
      <c r="O284" s="174"/>
      <c r="Y284" s="121"/>
    </row>
    <row r="285" spans="1:25" s="37" customFormat="1" x14ac:dyDescent="0.35">
      <c r="A285" s="235" t="str">
        <f>$A$1</f>
        <v>МКУ "Комитет по физической культуре и спорту"</v>
      </c>
      <c r="B285" s="235"/>
      <c r="C285" s="235"/>
      <c r="D285" s="235"/>
      <c r="E285" s="235"/>
      <c r="F285" s="235"/>
      <c r="G285" s="235"/>
      <c r="H285" s="235"/>
      <c r="I285" s="235"/>
      <c r="J285" s="235"/>
      <c r="K285" s="235"/>
      <c r="L285" s="121"/>
      <c r="M285" s="121"/>
      <c r="N285" s="121"/>
      <c r="O285" s="121"/>
    </row>
    <row r="286" spans="1:25" s="37" customFormat="1" x14ac:dyDescent="0.35">
      <c r="A286" s="235" t="str">
        <f>$A$2</f>
        <v>Муниципальное бюджетное учреждение "Комплексная спортивная школа" города Ачинска</v>
      </c>
      <c r="B286" s="235"/>
      <c r="C286" s="235"/>
      <c r="D286" s="235"/>
      <c r="E286" s="235"/>
      <c r="F286" s="235"/>
      <c r="G286" s="235"/>
      <c r="H286" s="235"/>
      <c r="I286" s="235"/>
      <c r="J286" s="235"/>
      <c r="K286" s="235"/>
      <c r="L286" s="121"/>
      <c r="M286" s="121"/>
      <c r="N286" s="121"/>
      <c r="O286" s="121"/>
    </row>
    <row r="287" spans="1:25" s="37" customFormat="1" ht="84.5" customHeight="1" x14ac:dyDescent="0.35">
      <c r="A287" s="268" t="str">
        <f>$A$21</f>
        <v xml:space="preserve">Открытое первенство Ачинского муниципального округа по подводному спорту (плавание в ластах) (1460008511Я)
посвященное "Дню Космонавтики"
юниоры и юниорки (14-17 лет), девушки и юноши (12-13 лет), 
</v>
      </c>
      <c r="B287" s="268"/>
      <c r="C287" s="268"/>
      <c r="D287" s="268"/>
      <c r="E287" s="268"/>
      <c r="F287" s="268"/>
      <c r="G287" s="268"/>
      <c r="H287" s="268"/>
      <c r="I287" s="268"/>
      <c r="J287" s="268"/>
      <c r="K287" s="268"/>
      <c r="L287" s="121"/>
      <c r="M287" s="121"/>
      <c r="N287" s="121"/>
      <c r="O287" s="121"/>
    </row>
    <row r="288" spans="1:25" s="37" customFormat="1" ht="26.5" customHeight="1" x14ac:dyDescent="0.35">
      <c r="A288" s="3" t="str">
        <f>$A$49</f>
        <v>25-26 апреля 2026г.</v>
      </c>
      <c r="B288" s="125"/>
      <c r="C288" s="2"/>
      <c r="D288" s="4"/>
      <c r="E288" s="5"/>
      <c r="F288" s="2"/>
      <c r="G288" s="237" t="str">
        <f>$A$48</f>
        <v>г. Ачинск, плавательный бассейн "Нептун" МБУ "ГСК "Олимп", 25 м</v>
      </c>
      <c r="H288" s="237"/>
      <c r="I288" s="237"/>
      <c r="J288" s="237"/>
      <c r="K288" s="237"/>
      <c r="L288" s="121"/>
      <c r="M288" s="121"/>
      <c r="N288" s="121"/>
      <c r="O288" s="121"/>
    </row>
    <row r="289" spans="1:15" s="37" customFormat="1" ht="22.5" x14ac:dyDescent="0.35">
      <c r="A289" s="246" t="s">
        <v>135</v>
      </c>
      <c r="B289" s="246"/>
      <c r="C289" s="246"/>
      <c r="D289" s="246"/>
      <c r="E289" s="246"/>
      <c r="F289" s="246"/>
      <c r="G289" s="246"/>
      <c r="H289" s="246"/>
      <c r="I289" s="246"/>
      <c r="J289" s="246"/>
      <c r="K289" s="246"/>
      <c r="L289" s="121"/>
      <c r="M289" s="121"/>
      <c r="N289" s="121"/>
      <c r="O289" s="121"/>
    </row>
    <row r="290" spans="1:15" s="37" customFormat="1" ht="20" x14ac:dyDescent="0.35">
      <c r="A290" s="252" t="s">
        <v>134</v>
      </c>
      <c r="B290" s="252"/>
      <c r="C290" s="252"/>
      <c r="D290" s="252"/>
      <c r="E290" s="252"/>
      <c r="F290" s="252"/>
      <c r="G290" s="252"/>
      <c r="H290" s="252"/>
      <c r="I290" s="252"/>
      <c r="J290" s="252"/>
      <c r="K290" s="252"/>
      <c r="L290" s="121"/>
      <c r="M290" s="121"/>
      <c r="N290" s="121"/>
      <c r="O290" s="121"/>
    </row>
    <row r="291" spans="1:15" s="37" customFormat="1" x14ac:dyDescent="0.35">
      <c r="A291" s="253" t="s">
        <v>27</v>
      </c>
      <c r="B291" s="255" t="s">
        <v>19</v>
      </c>
      <c r="C291" s="257" t="s">
        <v>28</v>
      </c>
      <c r="D291" s="258"/>
      <c r="E291" s="255" t="s">
        <v>18</v>
      </c>
      <c r="F291" s="257" t="s">
        <v>20</v>
      </c>
      <c r="G291" s="258"/>
      <c r="H291" s="261" t="s">
        <v>29</v>
      </c>
      <c r="I291" s="262"/>
      <c r="J291" s="263" t="s">
        <v>30</v>
      </c>
      <c r="K291" s="257" t="s">
        <v>31</v>
      </c>
      <c r="L291" s="121"/>
      <c r="M291" s="121"/>
      <c r="N291" s="121"/>
      <c r="O291" s="121"/>
    </row>
    <row r="292" spans="1:15" s="37" customFormat="1" x14ac:dyDescent="0.35">
      <c r="A292" s="254"/>
      <c r="B292" s="256"/>
      <c r="C292" s="259"/>
      <c r="D292" s="260"/>
      <c r="E292" s="256"/>
      <c r="F292" s="259"/>
      <c r="G292" s="260"/>
      <c r="H292" s="234"/>
      <c r="I292" s="234" t="s">
        <v>33</v>
      </c>
      <c r="J292" s="264"/>
      <c r="K292" s="259"/>
      <c r="L292" s="121"/>
      <c r="M292" s="121"/>
      <c r="N292" s="121"/>
      <c r="O292" s="121"/>
    </row>
    <row r="293" spans="1:15" s="37" customFormat="1" x14ac:dyDescent="0.35">
      <c r="A293" s="5"/>
      <c r="B293" s="2"/>
      <c r="C293" s="2"/>
      <c r="D293" s="4"/>
      <c r="E293" s="5"/>
      <c r="F293" s="2"/>
      <c r="G293" s="2"/>
      <c r="H293" s="23"/>
      <c r="I293" s="120"/>
      <c r="J293" s="4"/>
      <c r="K293" s="198"/>
      <c r="L293" s="121"/>
      <c r="M293" s="121"/>
      <c r="N293" s="121"/>
      <c r="O293" s="121"/>
    </row>
    <row r="294" spans="1:15" x14ac:dyDescent="0.35">
      <c r="A294" s="221" t="s">
        <v>480</v>
      </c>
      <c r="B294" s="114"/>
      <c r="C294" s="53"/>
      <c r="E294" s="122"/>
      <c r="F294" s="129"/>
      <c r="G294" s="33"/>
      <c r="H294" s="114"/>
      <c r="I294" s="114"/>
      <c r="J294" s="185"/>
      <c r="K294" s="184"/>
      <c r="L294" s="184"/>
      <c r="M294" s="184"/>
      <c r="N294" s="184"/>
      <c r="O294" s="184"/>
    </row>
    <row r="295" spans="1:15" x14ac:dyDescent="0.35">
      <c r="A295" s="14">
        <v>1</v>
      </c>
      <c r="B295" s="204" t="s">
        <v>37</v>
      </c>
      <c r="C295" s="28" t="s">
        <v>407</v>
      </c>
      <c r="E295" s="200">
        <v>40297</v>
      </c>
      <c r="F295" s="28" t="s">
        <v>193</v>
      </c>
      <c r="G295" s="33"/>
      <c r="H295" s="27"/>
      <c r="I295" s="201">
        <v>23.91</v>
      </c>
      <c r="J295" s="59" t="str">
        <f>IF(ISBLANK(I295)," ",IF(ISTEXT(I295)," ",IF(I295&lt;=[1]Нормативы!$H$27,"КМС",IF(I295&lt;=[1]Нормативы!$H$28,"КМС",IF(I295&lt;=[1]Нормативы!$L$29,"КМС",IF(I295&lt;=[1]Нормативы!$L$30,"I",IF(I295&lt;=[1]Нормативы!$L$31,"II",IF(I295&lt;=[1]Нормативы!$L$32,"III",IF(I295&lt;=[1]Нормативы!$L$33,"I юн",IF(I295&lt;=[1]Нормативы!$L$34,"II юн",IF(I295&lt;=[1]Нормативы!$L$35,"III юн","б/р")))))))))))</f>
        <v>КМС</v>
      </c>
    </row>
    <row r="296" spans="1:15" x14ac:dyDescent="0.35">
      <c r="A296" s="14">
        <v>2</v>
      </c>
      <c r="B296" s="14" t="s">
        <v>6</v>
      </c>
      <c r="C296" s="28" t="s">
        <v>315</v>
      </c>
      <c r="E296" s="202">
        <v>40897</v>
      </c>
      <c r="F296" s="28" t="s">
        <v>198</v>
      </c>
      <c r="G296" s="33"/>
      <c r="H296" s="27"/>
      <c r="I296" s="201">
        <v>24.81</v>
      </c>
      <c r="J296" s="59" t="str">
        <f>IF(ISBLANK(I296)," ",IF(ISTEXT(I296)," ",IF(I296&lt;=[1]Нормативы!$H$27,"КМС",IF(I296&lt;=[1]Нормативы!$H$28,"КМС",IF(I296&lt;=[1]Нормативы!$L$29,"КМС",IF(I296&lt;=[1]Нормативы!$L$30,"I",IF(I296&lt;=[1]Нормативы!$L$31,"II",IF(I296&lt;=[1]Нормативы!$L$32,"III",IF(I296&lt;=[1]Нормативы!$L$33,"I юн",IF(I296&lt;=[1]Нормативы!$L$34,"II юн",IF(I296&lt;=[1]Нормативы!$L$35,"III юн","б/р")))))))))))</f>
        <v>I</v>
      </c>
    </row>
    <row r="297" spans="1:15" x14ac:dyDescent="0.35">
      <c r="A297" s="14">
        <v>3</v>
      </c>
      <c r="B297" s="21" t="s">
        <v>24</v>
      </c>
      <c r="C297" s="28" t="s">
        <v>400</v>
      </c>
      <c r="E297" s="202">
        <v>41186</v>
      </c>
      <c r="F297" s="28" t="s">
        <v>193</v>
      </c>
      <c r="G297" s="33"/>
      <c r="H297" s="27"/>
      <c r="I297" s="201">
        <v>26.51</v>
      </c>
      <c r="J297" s="59" t="str">
        <f>IF(ISBLANK(I297)," ",IF(ISTEXT(I297)," ",IF(I297&lt;=[1]Нормативы!$H$27,"КМС",IF(I297&lt;=[1]Нормативы!$H$28,"КМС",IF(I297&lt;=[1]Нормативы!$L$29,"КМС",IF(I297&lt;=[1]Нормативы!$L$30,"I",IF(I297&lt;=[1]Нормативы!$L$31,"II",IF(I297&lt;=[1]Нормативы!$L$32,"III",IF(I297&lt;=[1]Нормативы!$L$33,"I юн",IF(I297&lt;=[1]Нормативы!$L$34,"II юн",IF(I297&lt;=[1]Нормативы!$L$35,"III юн","б/р")))))))))))</f>
        <v>II</v>
      </c>
    </row>
    <row r="298" spans="1:15" x14ac:dyDescent="0.35">
      <c r="A298" s="14">
        <v>4</v>
      </c>
      <c r="B298" s="21" t="s">
        <v>24</v>
      </c>
      <c r="C298" s="28" t="s">
        <v>402</v>
      </c>
      <c r="E298" s="202">
        <v>40654</v>
      </c>
      <c r="F298" s="28" t="s">
        <v>193</v>
      </c>
      <c r="G298" s="33"/>
      <c r="H298" s="27"/>
      <c r="I298" s="201">
        <v>27.86</v>
      </c>
      <c r="J298" s="59" t="str">
        <f>IF(ISBLANK(I298)," ",IF(ISTEXT(I298)," ",IF(I298&lt;=[1]Нормативы!$H$27,"КМС",IF(I298&lt;=[1]Нормативы!$H$28,"КМС",IF(I298&lt;=[1]Нормативы!$L$29,"КМС",IF(I298&lt;=[1]Нормативы!$L$30,"I",IF(I298&lt;=[1]Нормативы!$L$31,"II",IF(I298&lt;=[1]Нормативы!$L$32,"III",IF(I298&lt;=[1]Нормативы!$L$33,"I юн",IF(I298&lt;=[1]Нормативы!$L$34,"II юн",IF(I298&lt;=[1]Нормативы!$L$35,"III юн","б/р")))))))))))</f>
        <v>III</v>
      </c>
    </row>
    <row r="299" spans="1:15" x14ac:dyDescent="0.35">
      <c r="A299" s="14">
        <v>5</v>
      </c>
      <c r="B299" s="21" t="s">
        <v>25</v>
      </c>
      <c r="C299" s="28" t="s">
        <v>401</v>
      </c>
      <c r="E299" s="202">
        <v>40801</v>
      </c>
      <c r="F299" s="28" t="s">
        <v>193</v>
      </c>
      <c r="G299" s="33"/>
      <c r="H299" s="27"/>
      <c r="I299" s="201">
        <v>28.39</v>
      </c>
      <c r="J299" s="59" t="str">
        <f>IF(ISBLANK(I299)," ",IF(ISTEXT(I299)," ",IF(I299&lt;=[1]Нормативы!$H$27,"КМС",IF(I299&lt;=[1]Нормативы!$H$28,"КМС",IF(I299&lt;=[1]Нормативы!$L$29,"КМС",IF(I299&lt;=[1]Нормативы!$L$30,"I",IF(I299&lt;=[1]Нормативы!$L$31,"II",IF(I299&lt;=[1]Нормативы!$L$32,"III",IF(I299&lt;=[1]Нормативы!$L$33,"I юн",IF(I299&lt;=[1]Нормативы!$L$34,"II юн",IF(I299&lt;=[1]Нормативы!$L$35,"III юн","б/р")))))))))))</f>
        <v>III</v>
      </c>
    </row>
    <row r="300" spans="1:15" x14ac:dyDescent="0.35">
      <c r="A300" s="14">
        <v>6</v>
      </c>
      <c r="B300" s="21" t="s">
        <v>26</v>
      </c>
      <c r="C300" s="28" t="s">
        <v>316</v>
      </c>
      <c r="E300" s="202">
        <v>40772</v>
      </c>
      <c r="F300" s="28" t="s">
        <v>198</v>
      </c>
      <c r="G300" s="33"/>
      <c r="H300" s="27"/>
      <c r="I300" s="201">
        <v>28.86</v>
      </c>
      <c r="J300" s="59" t="str">
        <f>IF(ISBLANK(I300)," ",IF(ISTEXT(I300)," ",IF(I300&lt;=[1]Нормативы!$H$27,"КМС",IF(I300&lt;=[1]Нормативы!$H$28,"КМС",IF(I300&lt;=[1]Нормативы!$L$29,"КМС",IF(I300&lt;=[1]Нормативы!$L$30,"I",IF(I300&lt;=[1]Нормативы!$L$31,"II",IF(I300&lt;=[1]Нормативы!$L$32,"III",IF(I300&lt;=[1]Нормативы!$L$33,"I юн",IF(I300&lt;=[1]Нормативы!$L$34,"II юн",IF(I300&lt;=[1]Нормативы!$L$35,"III юн","б/р")))))))))))</f>
        <v>III</v>
      </c>
    </row>
    <row r="301" spans="1:15" x14ac:dyDescent="0.35">
      <c r="A301" s="14">
        <v>7</v>
      </c>
      <c r="B301" s="21" t="s">
        <v>25</v>
      </c>
      <c r="C301" s="28" t="s">
        <v>285</v>
      </c>
      <c r="E301" s="202">
        <v>41075</v>
      </c>
      <c r="F301" s="28" t="s">
        <v>198</v>
      </c>
      <c r="G301" s="33"/>
      <c r="H301" s="27"/>
      <c r="I301" s="201">
        <v>28.96</v>
      </c>
      <c r="J301" s="59" t="str">
        <f>IF(ISBLANK(I301)," ",IF(ISTEXT(I301)," ",IF(I301&lt;=[1]Нормативы!$H$27,"КМС",IF(I301&lt;=[1]Нормативы!$H$28,"КМС",IF(I301&lt;=[1]Нормативы!$L$29,"КМС",IF(I301&lt;=[1]Нормативы!$L$30,"I",IF(I301&lt;=[1]Нормативы!$L$31,"II",IF(I301&lt;=[1]Нормативы!$L$32,"III",IF(I301&lt;=[1]Нормативы!$L$33,"I юн",IF(I301&lt;=[1]Нормативы!$L$34,"II юн",IF(I301&lt;=[1]Нормативы!$L$35,"III юн","б/р")))))))))))</f>
        <v>III</v>
      </c>
    </row>
    <row r="302" spans="1:15" x14ac:dyDescent="0.35">
      <c r="A302" s="14">
        <v>8</v>
      </c>
      <c r="B302" s="21" t="s">
        <v>25</v>
      </c>
      <c r="C302" s="28" t="s">
        <v>408</v>
      </c>
      <c r="E302" s="200">
        <v>40604</v>
      </c>
      <c r="F302" s="28" t="s">
        <v>193</v>
      </c>
      <c r="G302" s="33"/>
      <c r="H302" s="27"/>
      <c r="I302" s="201">
        <v>29.63</v>
      </c>
      <c r="J302" s="59" t="str">
        <f>IF(ISBLANK(I302)," ",IF(ISTEXT(I302)," ",IF(I302&lt;=[1]Нормативы!$H$27,"КМС",IF(I302&lt;=[1]Нормативы!$H$28,"КМС",IF(I302&lt;=[1]Нормативы!$L$29,"КМС",IF(I302&lt;=[1]Нормативы!$L$30,"I",IF(I302&lt;=[1]Нормативы!$L$31,"II",IF(I302&lt;=[1]Нормативы!$L$32,"III",IF(I302&lt;=[1]Нормативы!$L$33,"I юн",IF(I302&lt;=[1]Нормативы!$L$34,"II юн",IF(I302&lt;=[1]Нормативы!$L$35,"III юн","б/р")))))))))))</f>
        <v>III</v>
      </c>
    </row>
    <row r="303" spans="1:15" x14ac:dyDescent="0.35">
      <c r="A303" s="14">
        <v>9</v>
      </c>
      <c r="B303" s="203" t="s">
        <v>25</v>
      </c>
      <c r="C303" s="28" t="s">
        <v>403</v>
      </c>
      <c r="E303" s="202">
        <v>40575</v>
      </c>
      <c r="F303" s="28" t="s">
        <v>193</v>
      </c>
      <c r="G303" s="33"/>
      <c r="H303" s="27"/>
      <c r="I303" s="201">
        <v>33.76</v>
      </c>
      <c r="J303" s="59" t="str">
        <f>IF(ISBLANK(I303)," ",IF(ISTEXT(I303)," ",IF(I303&lt;=[1]Нормативы!$H$27,"КМС",IF(I303&lt;=[1]Нормативы!$H$28,"КМС",IF(I303&lt;=[1]Нормативы!$L$29,"КМС",IF(I303&lt;=[1]Нормативы!$L$30,"I",IF(I303&lt;=[1]Нормативы!$L$31,"II",IF(I303&lt;=[1]Нормативы!$L$32,"III",IF(I303&lt;=[1]Нормативы!$L$33,"I юн",IF(I303&lt;=[1]Нормативы!$L$34,"II юн",IF(I303&lt;=[1]Нормативы!$L$35,"III юн","б/р")))))))))))</f>
        <v>II юн</v>
      </c>
    </row>
    <row r="304" spans="1:15" x14ac:dyDescent="0.35">
      <c r="A304" s="221"/>
      <c r="B304" s="114"/>
      <c r="C304" s="222"/>
      <c r="E304" s="122"/>
      <c r="F304" s="129"/>
      <c r="G304" s="33"/>
      <c r="H304" s="114"/>
      <c r="I304" s="114"/>
      <c r="J304" s="38"/>
    </row>
    <row r="305" spans="1:10" x14ac:dyDescent="0.35">
      <c r="A305" s="221" t="s">
        <v>203</v>
      </c>
      <c r="B305" s="21"/>
      <c r="C305" s="28"/>
      <c r="E305" s="202"/>
      <c r="F305" s="28"/>
      <c r="G305" s="33"/>
      <c r="H305" s="27"/>
      <c r="I305" s="201"/>
      <c r="J305" s="38"/>
    </row>
    <row r="306" spans="1:10" x14ac:dyDescent="0.35">
      <c r="A306" s="14">
        <v>1</v>
      </c>
      <c r="B306" s="14" t="s">
        <v>37</v>
      </c>
      <c r="C306" s="28" t="s">
        <v>333</v>
      </c>
      <c r="E306" s="202">
        <v>41326</v>
      </c>
      <c r="F306" s="28" t="s">
        <v>198</v>
      </c>
      <c r="G306" s="33"/>
      <c r="H306" s="27"/>
      <c r="I306" s="201">
        <v>24.34</v>
      </c>
      <c r="J306" s="59" t="str">
        <f>IF(ISBLANK(I306)," ",IF(ISTEXT(I306)," ",IF(I306&lt;=[1]Нормативы!$H$27,"КМС",IF(I306&lt;=[1]Нормативы!$H$28,"КМС",IF(I306&lt;=[1]Нормативы!$L$29,"КМС",IF(I306&lt;=[1]Нормативы!$L$30,"I",IF(I306&lt;=[1]Нормативы!$L$31,"II",IF(I306&lt;=[1]Нормативы!$L$32,"III",IF(I306&lt;=[1]Нормативы!$L$33,"I юн",IF(I306&lt;=[1]Нормативы!$L$34,"II юн",IF(I306&lt;=[1]Нормативы!$L$35,"III юн","б/р")))))))))))</f>
        <v>I</v>
      </c>
    </row>
    <row r="307" spans="1:10" x14ac:dyDescent="0.35">
      <c r="A307" s="14">
        <v>2</v>
      </c>
      <c r="B307" s="14" t="s">
        <v>6</v>
      </c>
      <c r="C307" s="28" t="s">
        <v>463</v>
      </c>
      <c r="E307" s="205">
        <v>41302</v>
      </c>
      <c r="F307" s="28" t="s">
        <v>245</v>
      </c>
      <c r="G307" s="33"/>
      <c r="H307" s="27"/>
      <c r="I307" s="201">
        <v>25.08</v>
      </c>
      <c r="J307" s="59" t="str">
        <f>IF(ISBLANK(I307)," ",IF(ISTEXT(I307)," ",IF(I307&lt;=[1]Нормативы!$H$27,"КМС",IF(I307&lt;=[1]Нормативы!$H$28,"КМС",IF(I307&lt;=[1]Нормативы!$L$29,"КМС",IF(I307&lt;=[1]Нормативы!$L$30,"I",IF(I307&lt;=[1]Нормативы!$L$31,"II",IF(I307&lt;=[1]Нормативы!$L$32,"III",IF(I307&lt;=[1]Нормативы!$L$33,"I юн",IF(I307&lt;=[1]Нормативы!$L$34,"II юн",IF(I307&lt;=[1]Нормативы!$L$35,"III юн","б/р")))))))))))</f>
        <v>I</v>
      </c>
    </row>
    <row r="308" spans="1:10" x14ac:dyDescent="0.35">
      <c r="A308" s="14">
        <v>3</v>
      </c>
      <c r="B308" s="21" t="s">
        <v>6</v>
      </c>
      <c r="C308" s="28" t="s">
        <v>273</v>
      </c>
      <c r="E308" s="202">
        <v>41302</v>
      </c>
      <c r="F308" s="28" t="s">
        <v>198</v>
      </c>
      <c r="G308" s="33"/>
      <c r="H308" s="27"/>
      <c r="I308" s="201">
        <v>25.2</v>
      </c>
      <c r="J308" s="59" t="str">
        <f>IF(ISBLANK(I308)," ",IF(ISTEXT(I308)," ",IF(I308&lt;=[1]Нормативы!$H$27,"КМС",IF(I308&lt;=[1]Нормативы!$H$28,"КМС",IF(I308&lt;=[1]Нормативы!$L$29,"КМС",IF(I308&lt;=[1]Нормативы!$L$30,"I",IF(I308&lt;=[1]Нормативы!$L$31,"II",IF(I308&lt;=[1]Нормативы!$L$32,"III",IF(I308&lt;=[1]Нормативы!$L$33,"I юн",IF(I308&lt;=[1]Нормативы!$L$34,"II юн",IF(I308&lt;=[1]Нормативы!$L$35,"III юн","б/р")))))))))))</f>
        <v>I</v>
      </c>
    </row>
    <row r="309" spans="1:10" x14ac:dyDescent="0.35">
      <c r="A309" s="14">
        <v>4</v>
      </c>
      <c r="B309" s="21" t="s">
        <v>25</v>
      </c>
      <c r="C309" s="28" t="s">
        <v>251</v>
      </c>
      <c r="E309" s="202">
        <v>41689</v>
      </c>
      <c r="F309" s="28" t="s">
        <v>172</v>
      </c>
      <c r="G309" s="33"/>
      <c r="H309" s="27"/>
      <c r="I309" s="201">
        <v>27.22</v>
      </c>
      <c r="J309" s="59" t="str">
        <f>IF(ISBLANK(I309)," ",IF(ISTEXT(I309)," ",IF(I309&lt;=[1]Нормативы!$H$27,"КМС",IF(I309&lt;=[1]Нормативы!$H$28,"КМС",IF(I309&lt;=[1]Нормативы!$L$29,"КМС",IF(I309&lt;=[1]Нормативы!$L$30,"I",IF(I309&lt;=[1]Нормативы!$L$31,"II",IF(I309&lt;=[1]Нормативы!$L$32,"III",IF(I309&lt;=[1]Нормативы!$L$33,"I юн",IF(I309&lt;=[1]Нормативы!$L$34,"II юн",IF(I309&lt;=[1]Нормативы!$L$35,"III юн","б/р")))))))))))</f>
        <v>II</v>
      </c>
    </row>
    <row r="310" spans="1:10" x14ac:dyDescent="0.35">
      <c r="A310" s="14">
        <v>5</v>
      </c>
      <c r="B310" s="14" t="s">
        <v>25</v>
      </c>
      <c r="C310" s="28" t="s">
        <v>277</v>
      </c>
      <c r="E310" s="202">
        <v>41624</v>
      </c>
      <c r="F310" s="28" t="s">
        <v>198</v>
      </c>
      <c r="G310" s="33"/>
      <c r="H310" s="27"/>
      <c r="I310" s="201">
        <v>27.38</v>
      </c>
      <c r="J310" s="59" t="str">
        <f>IF(ISBLANK(I310)," ",IF(ISTEXT(I310)," ",IF(I310&lt;=[1]Нормативы!$H$27,"КМС",IF(I310&lt;=[1]Нормативы!$H$28,"КМС",IF(I310&lt;=[1]Нормативы!$L$29,"КМС",IF(I310&lt;=[1]Нормативы!$L$30,"I",IF(I310&lt;=[1]Нормативы!$L$31,"II",IF(I310&lt;=[1]Нормативы!$L$32,"III",IF(I310&lt;=[1]Нормативы!$L$33,"I юн",IF(I310&lt;=[1]Нормативы!$L$34,"II юн",IF(I310&lt;=[1]Нормативы!$L$35,"III юн","б/р")))))))))))</f>
        <v>II</v>
      </c>
    </row>
    <row r="311" spans="1:10" x14ac:dyDescent="0.35">
      <c r="A311" s="14">
        <v>6</v>
      </c>
      <c r="B311" s="207" t="s">
        <v>25</v>
      </c>
      <c r="C311" s="28" t="s">
        <v>492</v>
      </c>
      <c r="E311" s="205">
        <v>41284</v>
      </c>
      <c r="F311" s="28" t="s">
        <v>193</v>
      </c>
      <c r="G311" s="33"/>
      <c r="H311" s="27"/>
      <c r="I311" s="201">
        <v>27.48</v>
      </c>
      <c r="J311" s="59" t="str">
        <f>IF(ISBLANK(I311)," ",IF(ISTEXT(I311)," ",IF(I311&lt;=[1]Нормативы!$H$27,"КМС",IF(I311&lt;=[1]Нормативы!$H$28,"КМС",IF(I311&lt;=[1]Нормативы!$L$29,"КМС",IF(I311&lt;=[1]Нормативы!$L$30,"I",IF(I311&lt;=[1]Нормативы!$L$31,"II",IF(I311&lt;=[1]Нормативы!$L$32,"III",IF(I311&lt;=[1]Нормативы!$L$33,"I юн",IF(I311&lt;=[1]Нормативы!$L$34,"II юн",IF(I311&lt;=[1]Нормативы!$L$35,"III юн","б/р")))))))))))</f>
        <v>II</v>
      </c>
    </row>
    <row r="312" spans="1:10" x14ac:dyDescent="0.35">
      <c r="A312" s="14">
        <v>7</v>
      </c>
      <c r="B312" s="21" t="s">
        <v>24</v>
      </c>
      <c r="C312" s="28" t="s">
        <v>399</v>
      </c>
      <c r="E312" s="202">
        <v>41969</v>
      </c>
      <c r="F312" s="28" t="s">
        <v>193</v>
      </c>
      <c r="G312" s="33"/>
      <c r="H312" s="27"/>
      <c r="I312" s="201">
        <v>27.99</v>
      </c>
      <c r="J312" s="59" t="str">
        <f>IF(ISBLANK(I312)," ",IF(ISTEXT(I312)," ",IF(I312&lt;=[1]Нормативы!$H$27,"КМС",IF(I312&lt;=[1]Нормативы!$H$28,"КМС",IF(I312&lt;=[1]Нормативы!$L$29,"КМС",IF(I312&lt;=[1]Нормативы!$L$30,"I",IF(I312&lt;=[1]Нормативы!$L$31,"II",IF(I312&lt;=[1]Нормативы!$L$32,"III",IF(I312&lt;=[1]Нормативы!$L$33,"I юн",IF(I312&lt;=[1]Нормативы!$L$34,"II юн",IF(I312&lt;=[1]Нормативы!$L$35,"III юн","б/р")))))))))))</f>
        <v>III</v>
      </c>
    </row>
    <row r="313" spans="1:10" x14ac:dyDescent="0.35">
      <c r="A313" s="14">
        <v>8</v>
      </c>
      <c r="B313" s="14" t="s">
        <v>38</v>
      </c>
      <c r="C313" s="28" t="s">
        <v>326</v>
      </c>
      <c r="E313" s="202">
        <v>41502</v>
      </c>
      <c r="F313" s="28" t="s">
        <v>198</v>
      </c>
      <c r="G313" s="33"/>
      <c r="H313" s="27"/>
      <c r="I313" s="201">
        <v>28.32</v>
      </c>
      <c r="J313" s="59" t="str">
        <f>IF(ISBLANK(I313)," ",IF(ISTEXT(I313)," ",IF(I313&lt;=[1]Нормативы!$H$27,"КМС",IF(I313&lt;=[1]Нормативы!$H$28,"КМС",IF(I313&lt;=[1]Нормативы!$L$29,"КМС",IF(I313&lt;=[1]Нормативы!$L$30,"I",IF(I313&lt;=[1]Нормативы!$L$31,"II",IF(I313&lt;=[1]Нормативы!$L$32,"III",IF(I313&lt;=[1]Нормативы!$L$33,"I юн",IF(I313&lt;=[1]Нормативы!$L$34,"II юн",IF(I313&lt;=[1]Нормативы!$L$35,"III юн","б/р")))))))))))</f>
        <v>III</v>
      </c>
    </row>
    <row r="314" spans="1:10" x14ac:dyDescent="0.35">
      <c r="A314" s="14">
        <v>9</v>
      </c>
      <c r="B314" s="14"/>
      <c r="C314" s="28" t="s">
        <v>323</v>
      </c>
      <c r="E314" s="202">
        <v>41852</v>
      </c>
      <c r="F314" s="28" t="s">
        <v>198</v>
      </c>
      <c r="G314" s="33"/>
      <c r="H314" s="27"/>
      <c r="I314" s="201">
        <v>28.97</v>
      </c>
      <c r="J314" s="59" t="str">
        <f>IF(ISBLANK(I314)," ",IF(ISTEXT(I314)," ",IF(I314&lt;=[1]Нормативы!$H$27,"КМС",IF(I314&lt;=[1]Нормативы!$H$28,"КМС",IF(I314&lt;=[1]Нормативы!$L$29,"КМС",IF(I314&lt;=[1]Нормативы!$L$30,"I",IF(I314&lt;=[1]Нормативы!$L$31,"II",IF(I314&lt;=[1]Нормативы!$L$32,"III",IF(I314&lt;=[1]Нормативы!$L$33,"I юн",IF(I314&lt;=[1]Нормативы!$L$34,"II юн",IF(I314&lt;=[1]Нормативы!$L$35,"III юн","б/р")))))))))))</f>
        <v>III</v>
      </c>
    </row>
    <row r="315" spans="1:10" x14ac:dyDescent="0.35">
      <c r="A315" s="14">
        <v>10</v>
      </c>
      <c r="B315" s="14" t="s">
        <v>38</v>
      </c>
      <c r="C315" s="28" t="s">
        <v>276</v>
      </c>
      <c r="E315" s="202">
        <v>41394</v>
      </c>
      <c r="F315" s="28" t="s">
        <v>198</v>
      </c>
      <c r="G315" s="33"/>
      <c r="H315" s="27"/>
      <c r="I315" s="201">
        <v>29</v>
      </c>
      <c r="J315" s="59" t="str">
        <f>IF(ISBLANK(I315)," ",IF(ISTEXT(I315)," ",IF(I315&lt;=[1]Нормативы!$H$27,"КМС",IF(I315&lt;=[1]Нормативы!$H$28,"КМС",IF(I315&lt;=[1]Нормативы!$L$29,"КМС",IF(I315&lt;=[1]Нормативы!$L$30,"I",IF(I315&lt;=[1]Нормативы!$L$31,"II",IF(I315&lt;=[1]Нормативы!$L$32,"III",IF(I315&lt;=[1]Нормативы!$L$33,"I юн",IF(I315&lt;=[1]Нормативы!$L$34,"II юн",IF(I315&lt;=[1]Нормативы!$L$35,"III юн","б/р")))))))))))</f>
        <v>III</v>
      </c>
    </row>
    <row r="316" spans="1:10" x14ac:dyDescent="0.35">
      <c r="A316" s="14">
        <v>11</v>
      </c>
      <c r="B316" s="14" t="s">
        <v>25</v>
      </c>
      <c r="C316" s="28" t="s">
        <v>278</v>
      </c>
      <c r="E316" s="202">
        <v>41889</v>
      </c>
      <c r="F316" s="28" t="s">
        <v>198</v>
      </c>
      <c r="G316" s="33"/>
      <c r="H316" s="27"/>
      <c r="I316" s="201">
        <v>29.09</v>
      </c>
      <c r="J316" s="59" t="str">
        <f>IF(ISBLANK(I316)," ",IF(ISTEXT(I316)," ",IF(I316&lt;=[1]Нормативы!$H$27,"КМС",IF(I316&lt;=[1]Нормативы!$H$28,"КМС",IF(I316&lt;=[1]Нормативы!$L$29,"КМС",IF(I316&lt;=[1]Нормативы!$L$30,"I",IF(I316&lt;=[1]Нормативы!$L$31,"II",IF(I316&lt;=[1]Нормативы!$L$32,"III",IF(I316&lt;=[1]Нормативы!$L$33,"I юн",IF(I316&lt;=[1]Нормативы!$L$34,"II юн",IF(I316&lt;=[1]Нормативы!$L$35,"III юн","б/р")))))))))))</f>
        <v>III</v>
      </c>
    </row>
    <row r="317" spans="1:10" x14ac:dyDescent="0.35">
      <c r="A317" s="14">
        <v>12</v>
      </c>
      <c r="B317" s="21" t="s">
        <v>25</v>
      </c>
      <c r="C317" s="28" t="s">
        <v>256</v>
      </c>
      <c r="E317" s="206">
        <v>41711</v>
      </c>
      <c r="F317" s="28" t="s">
        <v>172</v>
      </c>
      <c r="G317" s="33"/>
      <c r="H317" s="27"/>
      <c r="I317" s="201">
        <v>30.37</v>
      </c>
      <c r="J317" s="59" t="str">
        <f>IF(ISBLANK(I317)," ",IF(ISTEXT(I317)," ",IF(I317&lt;=[1]Нормативы!$H$27,"КМС",IF(I317&lt;=[1]Нормативы!$H$28,"КМС",IF(I317&lt;=[1]Нормативы!$L$29,"КМС",IF(I317&lt;=[1]Нормативы!$L$30,"I",IF(I317&lt;=[1]Нормативы!$L$31,"II",IF(I317&lt;=[1]Нормативы!$L$32,"III",IF(I317&lt;=[1]Нормативы!$L$33,"I юн",IF(I317&lt;=[1]Нормативы!$L$34,"II юн",IF(I317&lt;=[1]Нормативы!$L$35,"III юн","б/р")))))))))))</f>
        <v>I юн</v>
      </c>
    </row>
    <row r="318" spans="1:10" x14ac:dyDescent="0.35">
      <c r="A318" s="14">
        <v>13</v>
      </c>
      <c r="B318" s="14" t="s">
        <v>22</v>
      </c>
      <c r="C318" s="28" t="s">
        <v>312</v>
      </c>
      <c r="E318" s="202">
        <v>41882</v>
      </c>
      <c r="F318" s="28" t="s">
        <v>198</v>
      </c>
      <c r="G318" s="33"/>
      <c r="H318" s="27"/>
      <c r="I318" s="201">
        <v>30.59</v>
      </c>
      <c r="J318" s="59" t="str">
        <f>IF(ISBLANK(I318)," ",IF(ISTEXT(I318)," ",IF(I318&lt;=[1]Нормативы!$H$27,"КМС",IF(I318&lt;=[1]Нормативы!$H$28,"КМС",IF(I318&lt;=[1]Нормативы!$L$29,"КМС",IF(I318&lt;=[1]Нормативы!$L$30,"I",IF(I318&lt;=[1]Нормативы!$L$31,"II",IF(I318&lt;=[1]Нормативы!$L$32,"III",IF(I318&lt;=[1]Нормативы!$L$33,"I юн",IF(I318&lt;=[1]Нормативы!$L$34,"II юн",IF(I318&lt;=[1]Нормативы!$L$35,"III юн","б/р")))))))))))</f>
        <v>I юн</v>
      </c>
    </row>
    <row r="319" spans="1:10" x14ac:dyDescent="0.35">
      <c r="A319" s="14">
        <v>14</v>
      </c>
      <c r="B319" s="21" t="s">
        <v>25</v>
      </c>
      <c r="C319" s="28" t="s">
        <v>280</v>
      </c>
      <c r="E319" s="202">
        <v>41726</v>
      </c>
      <c r="F319" s="28" t="s">
        <v>198</v>
      </c>
      <c r="G319" s="33"/>
      <c r="H319" s="27"/>
      <c r="I319" s="201">
        <v>30.82</v>
      </c>
      <c r="J319" s="59" t="str">
        <f>IF(ISBLANK(I319)," ",IF(ISTEXT(I319)," ",IF(I319&lt;=[1]Нормативы!$H$27,"КМС",IF(I319&lt;=[1]Нормативы!$H$28,"КМС",IF(I319&lt;=[1]Нормативы!$L$29,"КМС",IF(I319&lt;=[1]Нормативы!$L$30,"I",IF(I319&lt;=[1]Нормативы!$L$31,"II",IF(I319&lt;=[1]Нормативы!$L$32,"III",IF(I319&lt;=[1]Нормативы!$L$33,"I юн",IF(I319&lt;=[1]Нормативы!$L$34,"II юн",IF(I319&lt;=[1]Нормативы!$L$35,"III юн","б/р")))))))))))</f>
        <v>I юн</v>
      </c>
    </row>
    <row r="320" spans="1:10" x14ac:dyDescent="0.35">
      <c r="A320" s="14">
        <v>15</v>
      </c>
      <c r="B320" s="14" t="s">
        <v>38</v>
      </c>
      <c r="C320" s="28" t="s">
        <v>330</v>
      </c>
      <c r="E320" s="202">
        <v>41354</v>
      </c>
      <c r="F320" s="28" t="s">
        <v>198</v>
      </c>
      <c r="G320" s="33"/>
      <c r="H320" s="27"/>
      <c r="I320" s="201">
        <v>30.93</v>
      </c>
      <c r="J320" s="59" t="str">
        <f>IF(ISBLANK(I320)," ",IF(ISTEXT(I320)," ",IF(I320&lt;=[1]Нормативы!$H$27,"КМС",IF(I320&lt;=[1]Нормативы!$H$28,"КМС",IF(I320&lt;=[1]Нормативы!$L$29,"КМС",IF(I320&lt;=[1]Нормативы!$L$30,"I",IF(I320&lt;=[1]Нормативы!$L$31,"II",IF(I320&lt;=[1]Нормативы!$L$32,"III",IF(I320&lt;=[1]Нормативы!$L$33,"I юн",IF(I320&lt;=[1]Нормативы!$L$34,"II юн",IF(I320&lt;=[1]Нормативы!$L$35,"III юн","б/р")))))))))))</f>
        <v>I юн</v>
      </c>
    </row>
    <row r="321" spans="1:10" x14ac:dyDescent="0.35">
      <c r="A321" s="14">
        <v>16</v>
      </c>
      <c r="B321" s="14" t="s">
        <v>38</v>
      </c>
      <c r="C321" s="28" t="s">
        <v>329</v>
      </c>
      <c r="E321" s="202">
        <v>41767</v>
      </c>
      <c r="F321" s="28" t="s">
        <v>198</v>
      </c>
      <c r="G321" s="33"/>
      <c r="H321" s="27"/>
      <c r="I321" s="201">
        <v>31.13</v>
      </c>
      <c r="J321" s="59" t="str">
        <f>IF(ISBLANK(I321)," ",IF(ISTEXT(I321)," ",IF(I321&lt;=[1]Нормативы!$H$27,"КМС",IF(I321&lt;=[1]Нормативы!$H$28,"КМС",IF(I321&lt;=[1]Нормативы!$L$29,"КМС",IF(I321&lt;=[1]Нормативы!$L$30,"I",IF(I321&lt;=[1]Нормативы!$L$31,"II",IF(I321&lt;=[1]Нормативы!$L$32,"III",IF(I321&lt;=[1]Нормативы!$L$33,"I юн",IF(I321&lt;=[1]Нормативы!$L$34,"II юн",IF(I321&lt;=[1]Нормативы!$L$35,"III юн","б/р")))))))))))</f>
        <v>I юн</v>
      </c>
    </row>
    <row r="322" spans="1:10" x14ac:dyDescent="0.35">
      <c r="A322" s="14">
        <v>17</v>
      </c>
      <c r="B322" s="14" t="s">
        <v>38</v>
      </c>
      <c r="C322" s="28" t="s">
        <v>462</v>
      </c>
      <c r="E322" s="205">
        <v>41824</v>
      </c>
      <c r="F322" s="28" t="s">
        <v>245</v>
      </c>
      <c r="G322" s="33"/>
      <c r="H322" s="27"/>
      <c r="I322" s="201">
        <v>32.32</v>
      </c>
      <c r="J322" s="59" t="str">
        <f>IF(ISBLANK(I322)," ",IF(ISTEXT(I322)," ",IF(I322&lt;=[1]Нормативы!$H$27,"КМС",IF(I322&lt;=[1]Нормативы!$H$28,"КМС",IF(I322&lt;=[1]Нормативы!$L$29,"КМС",IF(I322&lt;=[1]Нормативы!$L$30,"I",IF(I322&lt;=[1]Нормативы!$L$31,"II",IF(I322&lt;=[1]Нормативы!$L$32,"III",IF(I322&lt;=[1]Нормативы!$L$33,"I юн",IF(I322&lt;=[1]Нормативы!$L$34,"II юн",IF(I322&lt;=[1]Нормативы!$L$35,"III юн","б/р")))))))))))</f>
        <v>I юн</v>
      </c>
    </row>
    <row r="323" spans="1:10" x14ac:dyDescent="0.35">
      <c r="A323" s="14">
        <v>18</v>
      </c>
      <c r="B323" s="14" t="s">
        <v>38</v>
      </c>
      <c r="C323" s="28" t="s">
        <v>279</v>
      </c>
      <c r="E323" s="202">
        <v>41781</v>
      </c>
      <c r="F323" s="28" t="s">
        <v>198</v>
      </c>
      <c r="G323" s="33"/>
      <c r="H323" s="27"/>
      <c r="I323" s="201">
        <v>32.340000000000003</v>
      </c>
      <c r="J323" s="59" t="str">
        <f>IF(ISBLANK(I323)," ",IF(ISTEXT(I323)," ",IF(I323&lt;=[1]Нормативы!$H$27,"КМС",IF(I323&lt;=[1]Нормативы!$H$28,"КМС",IF(I323&lt;=[1]Нормативы!$L$29,"КМС",IF(I323&lt;=[1]Нормативы!$L$30,"I",IF(I323&lt;=[1]Нормативы!$L$31,"II",IF(I323&lt;=[1]Нормативы!$L$32,"III",IF(I323&lt;=[1]Нормативы!$L$33,"I юн",IF(I323&lt;=[1]Нормативы!$L$34,"II юн",IF(I323&lt;=[1]Нормативы!$L$35,"III юн","б/р")))))))))))</f>
        <v>I юн</v>
      </c>
    </row>
    <row r="324" spans="1:10" x14ac:dyDescent="0.35">
      <c r="A324" s="14">
        <v>19</v>
      </c>
      <c r="B324" s="14" t="s">
        <v>22</v>
      </c>
      <c r="C324" s="28" t="s">
        <v>286</v>
      </c>
      <c r="E324" s="202">
        <v>41810</v>
      </c>
      <c r="F324" s="28" t="s">
        <v>198</v>
      </c>
      <c r="G324" s="33"/>
      <c r="H324" s="27"/>
      <c r="I324" s="201">
        <v>33.200000000000003</v>
      </c>
      <c r="J324" s="59" t="str">
        <f>IF(ISBLANK(I324)," ",IF(ISTEXT(I324)," ",IF(I324&lt;=[1]Нормативы!$H$27,"КМС",IF(I324&lt;=[1]Нормативы!$H$28,"КМС",IF(I324&lt;=[1]Нормативы!$L$29,"КМС",IF(I324&lt;=[1]Нормативы!$L$30,"I",IF(I324&lt;=[1]Нормативы!$L$31,"II",IF(I324&lt;=[1]Нормативы!$L$32,"III",IF(I324&lt;=[1]Нормативы!$L$33,"I юн",IF(I324&lt;=[1]Нормативы!$L$34,"II юн",IF(I324&lt;=[1]Нормативы!$L$35,"III юн","б/р")))))))))))</f>
        <v>II юн</v>
      </c>
    </row>
    <row r="325" spans="1:10" x14ac:dyDescent="0.35">
      <c r="A325" s="14">
        <v>20</v>
      </c>
      <c r="B325" s="14" t="s">
        <v>22</v>
      </c>
      <c r="C325" s="28" t="s">
        <v>322</v>
      </c>
      <c r="E325" s="202">
        <v>41584</v>
      </c>
      <c r="F325" s="28" t="s">
        <v>198</v>
      </c>
      <c r="G325" s="33"/>
      <c r="H325" s="27"/>
      <c r="I325" s="201">
        <v>35.159999999999997</v>
      </c>
      <c r="J325" s="59" t="str">
        <f>IF(ISBLANK(I325)," ",IF(ISTEXT(I325)," ",IF(I325&lt;=[1]Нормативы!$H$27,"КМС",IF(I325&lt;=[1]Нормативы!$H$28,"КМС",IF(I325&lt;=[1]Нормативы!$L$29,"КМС",IF(I325&lt;=[1]Нормативы!$L$30,"I",IF(I325&lt;=[1]Нормативы!$L$31,"II",IF(I325&lt;=[1]Нормативы!$L$32,"III",IF(I325&lt;=[1]Нормативы!$L$33,"I юн",IF(I325&lt;=[1]Нормативы!$L$34,"II юн",IF(I325&lt;=[1]Нормативы!$L$35,"III юн","б/р")))))))))))</f>
        <v>II юн</v>
      </c>
    </row>
    <row r="326" spans="1:10" x14ac:dyDescent="0.35">
      <c r="A326" s="14">
        <v>21</v>
      </c>
      <c r="B326" s="21" t="s">
        <v>26</v>
      </c>
      <c r="C326" s="28" t="s">
        <v>311</v>
      </c>
      <c r="E326" s="202">
        <v>41915</v>
      </c>
      <c r="F326" s="28" t="s">
        <v>198</v>
      </c>
      <c r="G326" s="33"/>
      <c r="H326" s="27"/>
      <c r="I326" s="201">
        <v>36.92</v>
      </c>
      <c r="J326" s="59" t="str">
        <f>IF(ISBLANK(I326)," ",IF(ISTEXT(I326)," ",IF(I326&lt;=[1]Нормативы!$H$27,"КМС",IF(I326&lt;=[1]Нормативы!$H$28,"КМС",IF(I326&lt;=[1]Нормативы!$L$29,"КМС",IF(I326&lt;=[1]Нормативы!$L$30,"I",IF(I326&lt;=[1]Нормативы!$L$31,"II",IF(I326&lt;=[1]Нормативы!$L$32,"III",IF(I326&lt;=[1]Нормативы!$L$33,"I юн",IF(I326&lt;=[1]Нормативы!$L$34,"II юн",IF(I326&lt;=[1]Нормативы!$L$35,"III юн","б/р")))))))))))</f>
        <v>III юн</v>
      </c>
    </row>
    <row r="327" spans="1:10" x14ac:dyDescent="0.35">
      <c r="A327" s="14"/>
      <c r="B327" s="21"/>
      <c r="C327" s="222"/>
      <c r="E327" s="202"/>
      <c r="F327" s="28"/>
      <c r="G327" s="33"/>
      <c r="H327" s="27"/>
      <c r="I327" s="201"/>
      <c r="J327" s="38"/>
    </row>
    <row r="328" spans="1:10" x14ac:dyDescent="0.35">
      <c r="A328" s="14"/>
      <c r="B328" s="21"/>
      <c r="C328" s="222"/>
      <c r="E328" s="202"/>
      <c r="F328" s="28"/>
      <c r="G328" s="33"/>
      <c r="H328" s="27"/>
      <c r="I328" s="201"/>
      <c r="J328" s="38"/>
    </row>
    <row r="329" spans="1:10" x14ac:dyDescent="0.35">
      <c r="A329" s="221" t="s">
        <v>481</v>
      </c>
      <c r="B329" s="21"/>
      <c r="C329" s="28"/>
      <c r="E329" s="208"/>
      <c r="F329" s="28"/>
      <c r="G329" s="33"/>
      <c r="H329" s="27"/>
      <c r="I329" s="201"/>
      <c r="J329" s="38"/>
    </row>
    <row r="330" spans="1:10" x14ac:dyDescent="0.35">
      <c r="A330" s="14">
        <v>1</v>
      </c>
      <c r="B330" s="14" t="s">
        <v>6</v>
      </c>
      <c r="C330" s="28" t="s">
        <v>372</v>
      </c>
      <c r="E330" s="202">
        <v>40419</v>
      </c>
      <c r="F330" s="28" t="s">
        <v>198</v>
      </c>
      <c r="G330" s="33"/>
      <c r="H330" s="27"/>
      <c r="I330" s="201">
        <v>21.36</v>
      </c>
      <c r="J330" s="59" t="str">
        <f>IF(ISBLANK(I330)," ",IF(ISTEXT(I330)," ",IF(I330&lt;=[1]Нормативы!$H$38,"КМС",IF(I330&lt;=[1]Нормативы!$H$39,"КМС",IF(I330&lt;=[1]Нормативы!$L$40,"КМС",IF(I330&lt;=[1]Нормативы!$L$41,"I",IF(I330&lt;=[1]Нормативы!$L$42,"II",IF(I330&lt;=[1]Нормативы!$L$43,"III",IF(I330&lt;=[1]Нормативы!$L$44,"I юн",IF(I330&lt;=[1]Нормативы!$L$45,"II юн",IF(I330&lt;=[1]Нормативы!$L$46,"III юн","б/р")))))))))))</f>
        <v>I</v>
      </c>
    </row>
    <row r="331" spans="1:10" x14ac:dyDescent="0.35">
      <c r="A331" s="14">
        <v>2</v>
      </c>
      <c r="B331" s="14" t="s">
        <v>6</v>
      </c>
      <c r="C331" s="28" t="s">
        <v>307</v>
      </c>
      <c r="E331" s="202">
        <v>40679</v>
      </c>
      <c r="F331" s="28" t="s">
        <v>198</v>
      </c>
      <c r="G331" s="33"/>
      <c r="H331" s="27"/>
      <c r="I331" s="201">
        <v>22.19</v>
      </c>
      <c r="J331" s="59" t="str">
        <f>IF(ISBLANK(I331)," ",IF(ISTEXT(I331)," ",IF(I331&lt;=[1]Нормативы!$H$38,"КМС",IF(I331&lt;=[1]Нормативы!$H$39,"КМС",IF(I331&lt;=[1]Нормативы!$L$40,"КМС",IF(I331&lt;=[1]Нормативы!$L$41,"I",IF(I331&lt;=[1]Нормативы!$L$42,"II",IF(I331&lt;=[1]Нормативы!$L$43,"III",IF(I331&lt;=[1]Нормативы!$L$44,"I юн",IF(I331&lt;=[1]Нормативы!$L$45,"II юн",IF(I331&lt;=[1]Нормативы!$L$46,"III юн","б/р")))))))))))</f>
        <v>I</v>
      </c>
    </row>
    <row r="332" spans="1:10" x14ac:dyDescent="0.35">
      <c r="A332" s="14">
        <v>3</v>
      </c>
      <c r="B332" s="21" t="s">
        <v>6</v>
      </c>
      <c r="C332" s="28" t="s">
        <v>258</v>
      </c>
      <c r="E332" s="205">
        <v>40652</v>
      </c>
      <c r="F332" s="28" t="s">
        <v>172</v>
      </c>
      <c r="G332" s="33"/>
      <c r="H332" s="27"/>
      <c r="I332" s="201">
        <v>22.22</v>
      </c>
      <c r="J332" s="59" t="str">
        <f>IF(ISBLANK(I332)," ",IF(ISTEXT(I332)," ",IF(I332&lt;=[1]Нормативы!$H$38,"КМС",IF(I332&lt;=[1]Нормативы!$H$39,"КМС",IF(I332&lt;=[1]Нормативы!$L$40,"КМС",IF(I332&lt;=[1]Нормативы!$L$41,"I",IF(I332&lt;=[1]Нормативы!$L$42,"II",IF(I332&lt;=[1]Нормативы!$L$43,"III",IF(I332&lt;=[1]Нормативы!$L$44,"I юн",IF(I332&lt;=[1]Нормативы!$L$45,"II юн",IF(I332&lt;=[1]Нормативы!$L$46,"III юн","б/р")))))))))))</f>
        <v>I</v>
      </c>
    </row>
    <row r="333" spans="1:10" x14ac:dyDescent="0.35">
      <c r="A333" s="14">
        <v>4</v>
      </c>
      <c r="B333" s="21" t="s">
        <v>24</v>
      </c>
      <c r="C333" s="28" t="s">
        <v>299</v>
      </c>
      <c r="E333" s="202">
        <v>40529</v>
      </c>
      <c r="F333" s="28" t="s">
        <v>198</v>
      </c>
      <c r="G333" s="33"/>
      <c r="H333" s="27"/>
      <c r="I333" s="201">
        <v>22.25</v>
      </c>
      <c r="J333" s="59" t="str">
        <f>IF(ISBLANK(I333)," ",IF(ISTEXT(I333)," ",IF(I333&lt;=[1]Нормативы!$H$38,"КМС",IF(I333&lt;=[1]Нормативы!$H$39,"КМС",IF(I333&lt;=[1]Нормативы!$L$40,"КМС",IF(I333&lt;=[1]Нормативы!$L$41,"I",IF(I333&lt;=[1]Нормативы!$L$42,"II",IF(I333&lt;=[1]Нормативы!$L$43,"III",IF(I333&lt;=[1]Нормативы!$L$44,"I юн",IF(I333&lt;=[1]Нормативы!$L$45,"II юн",IF(I333&lt;=[1]Нормативы!$L$46,"III юн","б/р")))))))))))</f>
        <v>I</v>
      </c>
    </row>
    <row r="334" spans="1:10" x14ac:dyDescent="0.35">
      <c r="A334" s="14">
        <v>5</v>
      </c>
      <c r="B334" s="21" t="s">
        <v>6</v>
      </c>
      <c r="C334" s="28" t="s">
        <v>473</v>
      </c>
      <c r="E334" s="205">
        <v>40686</v>
      </c>
      <c r="F334" s="28" t="s">
        <v>172</v>
      </c>
      <c r="G334" s="33"/>
      <c r="H334" s="27"/>
      <c r="I334" s="201">
        <v>22.82</v>
      </c>
      <c r="J334" s="59" t="str">
        <f>IF(ISBLANK(I334)," ",IF(ISTEXT(I334)," ",IF(I334&lt;=[1]Нормативы!$H$38,"КМС",IF(I334&lt;=[1]Нормативы!$H$39,"КМС",IF(I334&lt;=[1]Нормативы!$L$40,"КМС",IF(I334&lt;=[1]Нормативы!$L$41,"I",IF(I334&lt;=[1]Нормативы!$L$42,"II",IF(I334&lt;=[1]Нормативы!$L$43,"III",IF(I334&lt;=[1]Нормативы!$L$44,"I юн",IF(I334&lt;=[1]Нормативы!$L$45,"II юн",IF(I334&lt;=[1]Нормативы!$L$46,"III юн","б/р")))))))))))</f>
        <v>II</v>
      </c>
    </row>
    <row r="335" spans="1:10" x14ac:dyDescent="0.35">
      <c r="A335" s="14">
        <v>6</v>
      </c>
      <c r="B335" s="14" t="s">
        <v>24</v>
      </c>
      <c r="C335" s="28" t="s">
        <v>367</v>
      </c>
      <c r="E335" s="202">
        <v>40306</v>
      </c>
      <c r="F335" s="28" t="s">
        <v>198</v>
      </c>
      <c r="G335" s="33"/>
      <c r="H335" s="27"/>
      <c r="I335" s="201">
        <v>22.92</v>
      </c>
      <c r="J335" s="59" t="str">
        <f>IF(ISBLANK(I335)," ",IF(ISTEXT(I335)," ",IF(I335&lt;=[1]Нормативы!$H$38,"КМС",IF(I335&lt;=[1]Нормативы!$H$39,"КМС",IF(I335&lt;=[1]Нормативы!$L$40,"КМС",IF(I335&lt;=[1]Нормативы!$L$41,"I",IF(I335&lt;=[1]Нормативы!$L$42,"II",IF(I335&lt;=[1]Нормативы!$L$43,"III",IF(I335&lt;=[1]Нормативы!$L$44,"I юн",IF(I335&lt;=[1]Нормативы!$L$45,"II юн",IF(I335&lt;=[1]Нормативы!$L$46,"III юн","б/р")))))))))))</f>
        <v>II</v>
      </c>
    </row>
    <row r="336" spans="1:10" x14ac:dyDescent="0.35">
      <c r="A336" s="14">
        <v>7</v>
      </c>
      <c r="B336" s="14" t="s">
        <v>6</v>
      </c>
      <c r="C336" s="28" t="s">
        <v>241</v>
      </c>
      <c r="E336" s="202">
        <v>41127</v>
      </c>
      <c r="F336" s="28" t="s">
        <v>198</v>
      </c>
      <c r="G336" s="33"/>
      <c r="H336" s="27"/>
      <c r="I336" s="201">
        <v>23.1</v>
      </c>
      <c r="J336" s="59" t="str">
        <f>IF(ISBLANK(I336)," ",IF(ISTEXT(I336)," ",IF(I336&lt;=[1]Нормативы!$H$38,"КМС",IF(I336&lt;=[1]Нормативы!$H$39,"КМС",IF(I336&lt;=[1]Нормативы!$L$40,"КМС",IF(I336&lt;=[1]Нормативы!$L$41,"I",IF(I336&lt;=[1]Нормативы!$L$42,"II",IF(I336&lt;=[1]Нормативы!$L$43,"III",IF(I336&lt;=[1]Нормативы!$L$44,"I юн",IF(I336&lt;=[1]Нормативы!$L$45,"II юн",IF(I336&lt;=[1]Нормативы!$L$46,"III юн","б/р")))))))))))</f>
        <v>II</v>
      </c>
    </row>
    <row r="337" spans="1:10" x14ac:dyDescent="0.35">
      <c r="A337" s="14">
        <v>8</v>
      </c>
      <c r="B337" s="14" t="s">
        <v>24</v>
      </c>
      <c r="C337" s="28" t="s">
        <v>370</v>
      </c>
      <c r="E337" s="202">
        <v>40718</v>
      </c>
      <c r="F337" s="28" t="s">
        <v>198</v>
      </c>
      <c r="G337" s="33"/>
      <c r="H337" s="27"/>
      <c r="I337" s="201">
        <v>23.16</v>
      </c>
      <c r="J337" s="59" t="str">
        <f>IF(ISBLANK(I337)," ",IF(ISTEXT(I337)," ",IF(I337&lt;=[1]Нормативы!$H$38,"КМС",IF(I337&lt;=[1]Нормативы!$H$39,"КМС",IF(I337&lt;=[1]Нормативы!$L$40,"КМС",IF(I337&lt;=[1]Нормативы!$L$41,"I",IF(I337&lt;=[1]Нормативы!$L$42,"II",IF(I337&lt;=[1]Нормативы!$L$43,"III",IF(I337&lt;=[1]Нормативы!$L$44,"I юн",IF(I337&lt;=[1]Нормативы!$L$45,"II юн",IF(I337&lt;=[1]Нормативы!$L$46,"III юн","б/р")))))))))))</f>
        <v>II</v>
      </c>
    </row>
    <row r="338" spans="1:10" x14ac:dyDescent="0.35">
      <c r="A338" s="14">
        <v>9</v>
      </c>
      <c r="B338" s="207" t="s">
        <v>6</v>
      </c>
      <c r="C338" s="28" t="s">
        <v>413</v>
      </c>
      <c r="E338" s="205">
        <v>40456</v>
      </c>
      <c r="F338" s="28" t="s">
        <v>193</v>
      </c>
      <c r="G338" s="33"/>
      <c r="H338" s="27"/>
      <c r="I338" s="201">
        <v>23.26</v>
      </c>
      <c r="J338" s="59" t="str">
        <f>IF(ISBLANK(I338)," ",IF(ISTEXT(I338)," ",IF(I338&lt;=[1]Нормативы!$H$38,"КМС",IF(I338&lt;=[1]Нормативы!$H$39,"КМС",IF(I338&lt;=[1]Нормативы!$L$40,"КМС",IF(I338&lt;=[1]Нормативы!$L$41,"I",IF(I338&lt;=[1]Нормативы!$L$42,"II",IF(I338&lt;=[1]Нормативы!$L$43,"III",IF(I338&lt;=[1]Нормативы!$L$44,"I юн",IF(I338&lt;=[1]Нормативы!$L$45,"II юн",IF(I338&lt;=[1]Нормативы!$L$46,"III юн","б/р")))))))))))</f>
        <v>II</v>
      </c>
    </row>
    <row r="339" spans="1:10" x14ac:dyDescent="0.35">
      <c r="A339" s="14">
        <v>10</v>
      </c>
      <c r="B339" s="14" t="s">
        <v>6</v>
      </c>
      <c r="C339" s="28" t="s">
        <v>301</v>
      </c>
      <c r="E339" s="202">
        <v>40526</v>
      </c>
      <c r="F339" s="28" t="s">
        <v>198</v>
      </c>
      <c r="G339" s="33"/>
      <c r="H339" s="27"/>
      <c r="I339" s="201">
        <v>23.38</v>
      </c>
      <c r="J339" s="59" t="str">
        <f>IF(ISBLANK(I339)," ",IF(ISTEXT(I339)," ",IF(I339&lt;=[1]Нормативы!$H$38,"КМС",IF(I339&lt;=[1]Нормативы!$H$39,"КМС",IF(I339&lt;=[1]Нормативы!$L$40,"КМС",IF(I339&lt;=[1]Нормативы!$L$41,"I",IF(I339&lt;=[1]Нормативы!$L$42,"II",IF(I339&lt;=[1]Нормативы!$L$43,"III",IF(I339&lt;=[1]Нормативы!$L$44,"I юн",IF(I339&lt;=[1]Нормативы!$L$45,"II юн",IF(I339&lt;=[1]Нормативы!$L$46,"III юн","б/р")))))))))))</f>
        <v>II</v>
      </c>
    </row>
    <row r="340" spans="1:10" x14ac:dyDescent="0.35">
      <c r="A340" s="14">
        <v>11</v>
      </c>
      <c r="B340" s="21" t="s">
        <v>24</v>
      </c>
      <c r="C340" s="28" t="s">
        <v>257</v>
      </c>
      <c r="E340" s="202">
        <v>40381</v>
      </c>
      <c r="F340" s="28" t="s">
        <v>172</v>
      </c>
      <c r="G340" s="33"/>
      <c r="H340" s="27"/>
      <c r="I340" s="201">
        <v>23.66</v>
      </c>
      <c r="J340" s="59" t="str">
        <f>IF(ISBLANK(I340)," ",IF(ISTEXT(I340)," ",IF(I340&lt;=[1]Нормативы!$H$38,"КМС",IF(I340&lt;=[1]Нормативы!$H$39,"КМС",IF(I340&lt;=[1]Нормативы!$L$40,"КМС",IF(I340&lt;=[1]Нормативы!$L$41,"I",IF(I340&lt;=[1]Нормативы!$L$42,"II",IF(I340&lt;=[1]Нормативы!$L$43,"III",IF(I340&lt;=[1]Нормативы!$L$44,"I юн",IF(I340&lt;=[1]Нормативы!$L$45,"II юн",IF(I340&lt;=[1]Нормативы!$L$46,"III юн","б/р")))))))))))</f>
        <v>II</v>
      </c>
    </row>
    <row r="341" spans="1:10" x14ac:dyDescent="0.35">
      <c r="A341" s="14">
        <v>12</v>
      </c>
      <c r="B341" s="21" t="s">
        <v>24</v>
      </c>
      <c r="C341" s="28" t="s">
        <v>261</v>
      </c>
      <c r="E341" s="202">
        <v>41061</v>
      </c>
      <c r="F341" s="28" t="s">
        <v>172</v>
      </c>
      <c r="G341" s="33"/>
      <c r="H341" s="27"/>
      <c r="I341" s="201">
        <v>23.78</v>
      </c>
      <c r="J341" s="59" t="str">
        <f>IF(ISBLANK(I341)," ",IF(ISTEXT(I341)," ",IF(I341&lt;=[1]Нормативы!$H$38,"КМС",IF(I341&lt;=[1]Нормативы!$H$39,"КМС",IF(I341&lt;=[1]Нормативы!$L$40,"КМС",IF(I341&lt;=[1]Нормативы!$L$41,"I",IF(I341&lt;=[1]Нормативы!$L$42,"II",IF(I341&lt;=[1]Нормативы!$L$43,"III",IF(I341&lt;=[1]Нормативы!$L$44,"I юн",IF(I341&lt;=[1]Нормативы!$L$45,"II юн",IF(I341&lt;=[1]Нормативы!$L$46,"III юн","б/р")))))))))))</f>
        <v>II</v>
      </c>
    </row>
    <row r="342" spans="1:10" x14ac:dyDescent="0.35">
      <c r="A342" s="14">
        <v>13</v>
      </c>
      <c r="B342" s="14" t="s">
        <v>24</v>
      </c>
      <c r="C342" s="28" t="s">
        <v>302</v>
      </c>
      <c r="E342" s="202">
        <v>41145</v>
      </c>
      <c r="F342" s="28" t="s">
        <v>198</v>
      </c>
      <c r="G342" s="33"/>
      <c r="H342" s="27"/>
      <c r="I342" s="201">
        <v>24.42</v>
      </c>
      <c r="J342" s="59" t="str">
        <f>IF(ISBLANK(I342)," ",IF(ISTEXT(I342)," ",IF(I342&lt;=[1]Нормативы!$H$38,"КМС",IF(I342&lt;=[1]Нормативы!$H$39,"КМС",IF(I342&lt;=[1]Нормативы!$L$40,"КМС",IF(I342&lt;=[1]Нормативы!$L$41,"I",IF(I342&lt;=[1]Нормативы!$L$42,"II",IF(I342&lt;=[1]Нормативы!$L$43,"III",IF(I342&lt;=[1]Нормативы!$L$44,"I юн",IF(I342&lt;=[1]Нормативы!$L$45,"II юн",IF(I342&lt;=[1]Нормативы!$L$46,"III юн","б/р")))))))))))</f>
        <v>II</v>
      </c>
    </row>
    <row r="343" spans="1:10" x14ac:dyDescent="0.35">
      <c r="A343" s="14">
        <v>14</v>
      </c>
      <c r="B343" s="14" t="s">
        <v>24</v>
      </c>
      <c r="C343" s="28" t="s">
        <v>369</v>
      </c>
      <c r="E343" s="202">
        <v>40384</v>
      </c>
      <c r="F343" s="28" t="s">
        <v>198</v>
      </c>
      <c r="G343" s="33"/>
      <c r="H343" s="27"/>
      <c r="I343" s="201">
        <v>24.44</v>
      </c>
      <c r="J343" s="59" t="str">
        <f>IF(ISBLANK(I343)," ",IF(ISTEXT(I343)," ",IF(I343&lt;=[1]Нормативы!$H$38,"КМС",IF(I343&lt;=[1]Нормативы!$H$39,"КМС",IF(I343&lt;=[1]Нормативы!$L$40,"КМС",IF(I343&lt;=[1]Нормативы!$L$41,"I",IF(I343&lt;=[1]Нормативы!$L$42,"II",IF(I343&lt;=[1]Нормативы!$L$43,"III",IF(I343&lt;=[1]Нормативы!$L$44,"I юн",IF(I343&lt;=[1]Нормативы!$L$45,"II юн",IF(I343&lt;=[1]Нормативы!$L$46,"III юн","б/р")))))))))))</f>
        <v>II</v>
      </c>
    </row>
    <row r="344" spans="1:10" x14ac:dyDescent="0.35">
      <c r="A344" s="14">
        <v>15</v>
      </c>
      <c r="B344" s="21" t="s">
        <v>24</v>
      </c>
      <c r="C344" s="28" t="s">
        <v>259</v>
      </c>
      <c r="E344" s="206">
        <v>40745</v>
      </c>
      <c r="F344" s="28" t="s">
        <v>172</v>
      </c>
      <c r="G344" s="33"/>
      <c r="H344" s="27"/>
      <c r="I344" s="201">
        <v>24.54</v>
      </c>
      <c r="J344" s="59" t="str">
        <f>IF(ISBLANK(I344)," ",IF(ISTEXT(I344)," ",IF(I344&lt;=[1]Нормативы!$H$38,"КМС",IF(I344&lt;=[1]Нормативы!$H$39,"КМС",IF(I344&lt;=[1]Нормативы!$L$40,"КМС",IF(I344&lt;=[1]Нормативы!$L$41,"I",IF(I344&lt;=[1]Нормативы!$L$42,"II",IF(I344&lt;=[1]Нормативы!$L$43,"III",IF(I344&lt;=[1]Нормативы!$L$44,"I юн",IF(I344&lt;=[1]Нормативы!$L$45,"II юн",IF(I344&lt;=[1]Нормативы!$L$46,"III юн","б/р")))))))))))</f>
        <v>III</v>
      </c>
    </row>
    <row r="345" spans="1:10" x14ac:dyDescent="0.35">
      <c r="A345" s="14">
        <v>16</v>
      </c>
      <c r="B345" s="21" t="s">
        <v>25</v>
      </c>
      <c r="C345" s="28" t="s">
        <v>417</v>
      </c>
      <c r="E345" s="205">
        <v>40551</v>
      </c>
      <c r="F345" s="28" t="s">
        <v>176</v>
      </c>
      <c r="G345" s="33"/>
      <c r="H345" s="27"/>
      <c r="I345" s="201">
        <v>25.18</v>
      </c>
      <c r="J345" s="59" t="str">
        <f>IF(ISBLANK(I345)," ",IF(ISTEXT(I345)," ",IF(I345&lt;=[1]Нормативы!$H$38,"КМС",IF(I345&lt;=[1]Нормативы!$H$39,"КМС",IF(I345&lt;=[1]Нормативы!$L$40,"КМС",IF(I345&lt;=[1]Нормативы!$L$41,"I",IF(I345&lt;=[1]Нормативы!$L$42,"II",IF(I345&lt;=[1]Нормативы!$L$43,"III",IF(I345&lt;=[1]Нормативы!$L$44,"I юн",IF(I345&lt;=[1]Нормативы!$L$45,"II юн",IF(I345&lt;=[1]Нормативы!$L$46,"III юн","б/р")))))))))))</f>
        <v>III</v>
      </c>
    </row>
    <row r="346" spans="1:10" x14ac:dyDescent="0.35">
      <c r="A346" s="14">
        <v>17</v>
      </c>
      <c r="B346" s="21" t="s">
        <v>24</v>
      </c>
      <c r="C346" s="28" t="s">
        <v>260</v>
      </c>
      <c r="E346" s="205">
        <v>40803</v>
      </c>
      <c r="F346" s="28" t="s">
        <v>172</v>
      </c>
      <c r="G346" s="33"/>
      <c r="H346" s="27"/>
      <c r="I346" s="201">
        <v>25.31</v>
      </c>
      <c r="J346" s="59" t="str">
        <f>IF(ISBLANK(I346)," ",IF(ISTEXT(I346)," ",IF(I346&lt;=[1]Нормативы!$H$38,"КМС",IF(I346&lt;=[1]Нормативы!$H$39,"КМС",IF(I346&lt;=[1]Нормативы!$L$40,"КМС",IF(I346&lt;=[1]Нормативы!$L$41,"I",IF(I346&lt;=[1]Нормативы!$L$42,"II",IF(I346&lt;=[1]Нормативы!$L$43,"III",IF(I346&lt;=[1]Нормативы!$L$44,"I юн",IF(I346&lt;=[1]Нормативы!$L$45,"II юн",IF(I346&lt;=[1]Нормативы!$L$46,"III юн","б/р")))))))))))</f>
        <v>III</v>
      </c>
    </row>
    <row r="347" spans="1:10" x14ac:dyDescent="0.35">
      <c r="A347" s="14">
        <v>18</v>
      </c>
      <c r="B347" s="21" t="s">
        <v>25</v>
      </c>
      <c r="C347" s="28" t="s">
        <v>423</v>
      </c>
      <c r="E347" s="205">
        <v>40874</v>
      </c>
      <c r="F347" s="28" t="s">
        <v>176</v>
      </c>
      <c r="G347" s="33"/>
      <c r="H347" s="27"/>
      <c r="I347" s="201">
        <v>25.61</v>
      </c>
      <c r="J347" s="59" t="str">
        <f>IF(ISBLANK(I347)," ",IF(ISTEXT(I347)," ",IF(I347&lt;=[1]Нормативы!$H$38,"КМС",IF(I347&lt;=[1]Нормативы!$H$39,"КМС",IF(I347&lt;=[1]Нормативы!$L$40,"КМС",IF(I347&lt;=[1]Нормативы!$L$41,"I",IF(I347&lt;=[1]Нормативы!$L$42,"II",IF(I347&lt;=[1]Нормативы!$L$43,"III",IF(I347&lt;=[1]Нормативы!$L$44,"I юн",IF(I347&lt;=[1]Нормативы!$L$45,"II юн",IF(I347&lt;=[1]Нормативы!$L$46,"III юн","б/р")))))))))))</f>
        <v>III</v>
      </c>
    </row>
    <row r="348" spans="1:10" x14ac:dyDescent="0.35">
      <c r="A348" s="14">
        <v>19</v>
      </c>
      <c r="B348" s="21" t="s">
        <v>25</v>
      </c>
      <c r="C348" s="28" t="s">
        <v>421</v>
      </c>
      <c r="E348" s="205">
        <v>40502</v>
      </c>
      <c r="F348" s="28" t="s">
        <v>176</v>
      </c>
      <c r="G348" s="33"/>
      <c r="H348" s="27"/>
      <c r="I348" s="201">
        <v>25.83</v>
      </c>
      <c r="J348" s="59" t="str">
        <f>IF(ISBLANK(I348)," ",IF(ISTEXT(I348)," ",IF(I348&lt;=[1]Нормативы!$H$38,"КМС",IF(I348&lt;=[1]Нормативы!$H$39,"КМС",IF(I348&lt;=[1]Нормативы!$L$40,"КМС",IF(I348&lt;=[1]Нормативы!$L$41,"I",IF(I348&lt;=[1]Нормативы!$L$42,"II",IF(I348&lt;=[1]Нормативы!$L$43,"III",IF(I348&lt;=[1]Нормативы!$L$44,"I юн",IF(I348&lt;=[1]Нормативы!$L$45,"II юн",IF(I348&lt;=[1]Нормативы!$L$46,"III юн","б/р")))))))))))</f>
        <v>III</v>
      </c>
    </row>
    <row r="349" spans="1:10" x14ac:dyDescent="0.35">
      <c r="A349" s="14">
        <v>20</v>
      </c>
      <c r="B349" s="14" t="s">
        <v>22</v>
      </c>
      <c r="C349" s="28" t="s">
        <v>290</v>
      </c>
      <c r="E349" s="202">
        <v>41117</v>
      </c>
      <c r="F349" s="28" t="s">
        <v>198</v>
      </c>
      <c r="G349" s="33"/>
      <c r="H349" s="27"/>
      <c r="I349" s="201">
        <v>26.12</v>
      </c>
      <c r="J349" s="59" t="str">
        <f>IF(ISBLANK(I349)," ",IF(ISTEXT(I349)," ",IF(I349&lt;=[1]Нормативы!$H$38,"КМС",IF(I349&lt;=[1]Нормативы!$H$39,"КМС",IF(I349&lt;=[1]Нормативы!$L$40,"КМС",IF(I349&lt;=[1]Нормативы!$L$41,"I",IF(I349&lt;=[1]Нормативы!$L$42,"II",IF(I349&lt;=[1]Нормативы!$L$43,"III",IF(I349&lt;=[1]Нормативы!$L$44,"I юн",IF(I349&lt;=[1]Нормативы!$L$45,"II юн",IF(I349&lt;=[1]Нормативы!$L$46,"III юн","б/р")))))))))))</f>
        <v>I юн</v>
      </c>
    </row>
    <row r="350" spans="1:10" x14ac:dyDescent="0.35">
      <c r="A350" s="14">
        <v>21</v>
      </c>
      <c r="B350" s="14" t="s">
        <v>22</v>
      </c>
      <c r="C350" s="28" t="s">
        <v>363</v>
      </c>
      <c r="E350" s="202">
        <v>41261</v>
      </c>
      <c r="F350" s="28" t="s">
        <v>198</v>
      </c>
      <c r="G350" s="33"/>
      <c r="H350" s="27"/>
      <c r="I350" s="201">
        <v>26.18</v>
      </c>
      <c r="J350" s="59" t="str">
        <f>IF(ISBLANK(I350)," ",IF(ISTEXT(I350)," ",IF(I350&lt;=[1]Нормативы!$H$38,"КМС",IF(I350&lt;=[1]Нормативы!$H$39,"КМС",IF(I350&lt;=[1]Нормативы!$L$40,"КМС",IF(I350&lt;=[1]Нормативы!$L$41,"I",IF(I350&lt;=[1]Нормативы!$L$42,"II",IF(I350&lt;=[1]Нормативы!$L$43,"III",IF(I350&lt;=[1]Нормативы!$L$44,"I юн",IF(I350&lt;=[1]Нормативы!$L$45,"II юн",IF(I350&lt;=[1]Нормативы!$L$46,"III юн","б/р")))))))))))</f>
        <v>I юн</v>
      </c>
    </row>
    <row r="351" spans="1:10" x14ac:dyDescent="0.35">
      <c r="A351" s="14">
        <v>22</v>
      </c>
      <c r="B351" s="21" t="s">
        <v>25</v>
      </c>
      <c r="C351" s="28" t="s">
        <v>298</v>
      </c>
      <c r="E351" s="202">
        <v>40884</v>
      </c>
      <c r="F351" s="28" t="s">
        <v>198</v>
      </c>
      <c r="G351" s="33"/>
      <c r="H351" s="27"/>
      <c r="I351" s="201">
        <v>26.34</v>
      </c>
      <c r="J351" s="59" t="str">
        <f>IF(ISBLANK(I351)," ",IF(ISTEXT(I351)," ",IF(I351&lt;=[1]Нормативы!$H$38,"КМС",IF(I351&lt;=[1]Нормативы!$H$39,"КМС",IF(I351&lt;=[1]Нормативы!$L$40,"КМС",IF(I351&lt;=[1]Нормативы!$L$41,"I",IF(I351&lt;=[1]Нормативы!$L$42,"II",IF(I351&lt;=[1]Нормативы!$L$43,"III",IF(I351&lt;=[1]Нормативы!$L$44,"I юн",IF(I351&lt;=[1]Нормативы!$L$45,"II юн",IF(I351&lt;=[1]Нормативы!$L$46,"III юн","б/р")))))))))))</f>
        <v>I юн</v>
      </c>
    </row>
    <row r="352" spans="1:10" x14ac:dyDescent="0.35">
      <c r="A352" s="14">
        <v>23</v>
      </c>
      <c r="B352" s="14" t="s">
        <v>38</v>
      </c>
      <c r="C352" s="28" t="s">
        <v>418</v>
      </c>
      <c r="E352" s="205">
        <v>40818</v>
      </c>
      <c r="F352" s="28" t="s">
        <v>176</v>
      </c>
      <c r="G352" s="33"/>
      <c r="H352" s="27"/>
      <c r="I352" s="201">
        <v>26.93</v>
      </c>
      <c r="J352" s="59" t="str">
        <f>IF(ISBLANK(I352)," ",IF(ISTEXT(I352)," ",IF(I352&lt;=[1]Нормативы!$H$38,"КМС",IF(I352&lt;=[1]Нормативы!$H$39,"КМС",IF(I352&lt;=[1]Нормативы!$L$40,"КМС",IF(I352&lt;=[1]Нормативы!$L$41,"I",IF(I352&lt;=[1]Нормативы!$L$42,"II",IF(I352&lt;=[1]Нормативы!$L$43,"III",IF(I352&lt;=[1]Нормативы!$L$44,"I юн",IF(I352&lt;=[1]Нормативы!$L$45,"II юн",IF(I352&lt;=[1]Нормативы!$L$46,"III юн","б/р")))))))))))</f>
        <v>I юн</v>
      </c>
    </row>
    <row r="353" spans="1:10" x14ac:dyDescent="0.35">
      <c r="A353" s="14">
        <v>24</v>
      </c>
      <c r="B353" s="21" t="s">
        <v>25</v>
      </c>
      <c r="C353" s="28" t="s">
        <v>420</v>
      </c>
      <c r="E353" s="205">
        <v>40697</v>
      </c>
      <c r="F353" s="28" t="s">
        <v>176</v>
      </c>
      <c r="G353" s="33"/>
      <c r="H353" s="27"/>
      <c r="I353" s="201">
        <v>27.3</v>
      </c>
      <c r="J353" s="59" t="str">
        <f>IF(ISBLANK(I353)," ",IF(ISTEXT(I353)," ",IF(I353&lt;=[1]Нормативы!$H$38,"КМС",IF(I353&lt;=[1]Нормативы!$H$39,"КМС",IF(I353&lt;=[1]Нормативы!$L$40,"КМС",IF(I353&lt;=[1]Нормативы!$L$41,"I",IF(I353&lt;=[1]Нормативы!$L$42,"II",IF(I353&lt;=[1]Нормативы!$L$43,"III",IF(I353&lt;=[1]Нормативы!$L$44,"I юн",IF(I353&lt;=[1]Нормативы!$L$45,"II юн",IF(I353&lt;=[1]Нормативы!$L$46,"III юн","б/р")))))))))))</f>
        <v>I юн</v>
      </c>
    </row>
    <row r="354" spans="1:10" x14ac:dyDescent="0.35">
      <c r="A354" s="14">
        <v>25</v>
      </c>
      <c r="B354" s="14" t="s">
        <v>38</v>
      </c>
      <c r="C354" s="28" t="s">
        <v>295</v>
      </c>
      <c r="E354" s="202">
        <v>41062</v>
      </c>
      <c r="F354" s="28" t="s">
        <v>198</v>
      </c>
      <c r="G354" s="33"/>
      <c r="H354" s="27"/>
      <c r="I354" s="201">
        <v>27.41</v>
      </c>
      <c r="J354" s="59" t="str">
        <f>IF(ISBLANK(I354)," ",IF(ISTEXT(I354)," ",IF(I354&lt;=[1]Нормативы!$H$38,"КМС",IF(I354&lt;=[1]Нормативы!$H$39,"КМС",IF(I354&lt;=[1]Нормативы!$L$40,"КМС",IF(I354&lt;=[1]Нормативы!$L$41,"I",IF(I354&lt;=[1]Нормативы!$L$42,"II",IF(I354&lt;=[1]Нормативы!$L$43,"III",IF(I354&lt;=[1]Нормативы!$L$44,"I юн",IF(I354&lt;=[1]Нормативы!$L$45,"II юн",IF(I354&lt;=[1]Нормативы!$L$46,"III юн","б/р")))))))))))</f>
        <v>I юн</v>
      </c>
    </row>
    <row r="355" spans="1:10" x14ac:dyDescent="0.35">
      <c r="A355" s="14">
        <v>26</v>
      </c>
      <c r="B355" s="14" t="s">
        <v>38</v>
      </c>
      <c r="C355" s="28" t="s">
        <v>424</v>
      </c>
      <c r="E355" s="205">
        <v>41139</v>
      </c>
      <c r="F355" s="28" t="s">
        <v>176</v>
      </c>
      <c r="G355" s="33"/>
      <c r="H355" s="27"/>
      <c r="I355" s="201">
        <v>27.42</v>
      </c>
      <c r="J355" s="59" t="str">
        <f>IF(ISBLANK(I355)," ",IF(ISTEXT(I355)," ",IF(I355&lt;=[1]Нормативы!$H$38,"КМС",IF(I355&lt;=[1]Нормативы!$H$39,"КМС",IF(I355&lt;=[1]Нормативы!$L$40,"КМС",IF(I355&lt;=[1]Нормативы!$L$41,"I",IF(I355&lt;=[1]Нормативы!$L$42,"II",IF(I355&lt;=[1]Нормативы!$L$43,"III",IF(I355&lt;=[1]Нормативы!$L$44,"I юн",IF(I355&lt;=[1]Нормативы!$L$45,"II юн",IF(I355&lt;=[1]Нормативы!$L$46,"III юн","б/р")))))))))))</f>
        <v>I юн</v>
      </c>
    </row>
    <row r="356" spans="1:10" x14ac:dyDescent="0.35">
      <c r="A356" s="14">
        <v>27</v>
      </c>
      <c r="B356" s="14" t="s">
        <v>38</v>
      </c>
      <c r="C356" s="28" t="s">
        <v>470</v>
      </c>
      <c r="E356" s="205">
        <v>41061</v>
      </c>
      <c r="F356" s="28" t="s">
        <v>245</v>
      </c>
      <c r="G356" s="33"/>
      <c r="H356" s="27"/>
      <c r="I356" s="201">
        <v>27.79</v>
      </c>
      <c r="J356" s="59" t="str">
        <f>IF(ISBLANK(I356)," ",IF(ISTEXT(I356)," ",IF(I356&lt;=[1]Нормативы!$H$38,"КМС",IF(I356&lt;=[1]Нормативы!$H$39,"КМС",IF(I356&lt;=[1]Нормативы!$L$40,"КМС",IF(I356&lt;=[1]Нормативы!$L$41,"I",IF(I356&lt;=[1]Нормативы!$L$42,"II",IF(I356&lt;=[1]Нормативы!$L$43,"III",IF(I356&lt;=[1]Нормативы!$L$44,"I юн",IF(I356&lt;=[1]Нормативы!$L$45,"II юн",IF(I356&lt;=[1]Нормативы!$L$46,"III юн","б/р")))))))))))</f>
        <v>I юн</v>
      </c>
    </row>
    <row r="357" spans="1:10" x14ac:dyDescent="0.35">
      <c r="A357" s="14">
        <v>28</v>
      </c>
      <c r="B357" s="14" t="s">
        <v>22</v>
      </c>
      <c r="C357" s="28" t="s">
        <v>288</v>
      </c>
      <c r="E357" s="202">
        <v>41170</v>
      </c>
      <c r="F357" s="28" t="s">
        <v>198</v>
      </c>
      <c r="G357" s="33"/>
      <c r="H357" s="27"/>
      <c r="I357" s="201">
        <v>28.2</v>
      </c>
      <c r="J357" s="59" t="str">
        <f>IF(ISBLANK(I357)," ",IF(ISTEXT(I357)," ",IF(I357&lt;=[1]Нормативы!$H$38,"КМС",IF(I357&lt;=[1]Нормативы!$H$39,"КМС",IF(I357&lt;=[1]Нормативы!$L$40,"КМС",IF(I357&lt;=[1]Нормативы!$L$41,"I",IF(I357&lt;=[1]Нормативы!$L$42,"II",IF(I357&lt;=[1]Нормативы!$L$43,"III",IF(I357&lt;=[1]Нормативы!$L$44,"I юн",IF(I357&lt;=[1]Нормативы!$L$45,"II юн",IF(I357&lt;=[1]Нормативы!$L$46,"III юн","б/р")))))))))))</f>
        <v>I юн</v>
      </c>
    </row>
    <row r="358" spans="1:10" x14ac:dyDescent="0.35">
      <c r="A358" s="14">
        <v>29</v>
      </c>
      <c r="B358" s="14" t="s">
        <v>22</v>
      </c>
      <c r="C358" s="28" t="s">
        <v>415</v>
      </c>
      <c r="E358" s="205">
        <v>41124</v>
      </c>
      <c r="F358" s="28" t="s">
        <v>176</v>
      </c>
      <c r="G358" s="33"/>
      <c r="H358" s="27"/>
      <c r="I358" s="201">
        <v>29.8</v>
      </c>
      <c r="J358" s="59" t="str">
        <f>IF(ISBLANK(I358)," ",IF(ISTEXT(I358)," ",IF(I358&lt;=[1]Нормативы!$H$38,"КМС",IF(I358&lt;=[1]Нормативы!$H$39,"КМС",IF(I358&lt;=[1]Нормативы!$L$40,"КМС",IF(I358&lt;=[1]Нормативы!$L$41,"I",IF(I358&lt;=[1]Нормативы!$L$42,"II",IF(I358&lt;=[1]Нормативы!$L$43,"III",IF(I358&lt;=[1]Нормативы!$L$44,"I юн",IF(I358&lt;=[1]Нормативы!$L$45,"II юн",IF(I358&lt;=[1]Нормативы!$L$46,"III юн","б/р")))))))))))</f>
        <v>II юн</v>
      </c>
    </row>
    <row r="359" spans="1:10" x14ac:dyDescent="0.35">
      <c r="A359" s="14">
        <v>30</v>
      </c>
      <c r="B359" s="21" t="s">
        <v>26</v>
      </c>
      <c r="C359" s="28" t="s">
        <v>351</v>
      </c>
      <c r="E359" s="202">
        <v>41177</v>
      </c>
      <c r="F359" s="28" t="s">
        <v>198</v>
      </c>
      <c r="G359" s="33"/>
      <c r="H359" s="27"/>
      <c r="I359" s="201">
        <v>32.5</v>
      </c>
      <c r="J359" s="59" t="str">
        <f>IF(ISBLANK(I359)," ",IF(ISTEXT(I359)," ",IF(I359&lt;=[1]Нормативы!$H$38,"КМС",IF(I359&lt;=[1]Нормативы!$H$39,"КМС",IF(I359&lt;=[1]Нормативы!$L$40,"КМС",IF(I359&lt;=[1]Нормативы!$L$41,"I",IF(I359&lt;=[1]Нормативы!$L$42,"II",IF(I359&lt;=[1]Нормативы!$L$43,"III",IF(I359&lt;=[1]Нормативы!$L$44,"I юн",IF(I359&lt;=[1]Нормативы!$L$45,"II юн",IF(I359&lt;=[1]Нормативы!$L$46,"III юн","б/р")))))))))))</f>
        <v>III юн</v>
      </c>
    </row>
    <row r="360" spans="1:10" x14ac:dyDescent="0.35">
      <c r="A360" s="14">
        <v>31</v>
      </c>
      <c r="B360" s="14" t="s">
        <v>22</v>
      </c>
      <c r="C360" s="28" t="s">
        <v>409</v>
      </c>
      <c r="E360" s="200">
        <v>40941</v>
      </c>
      <c r="F360" s="28" t="s">
        <v>193</v>
      </c>
      <c r="G360" s="33"/>
      <c r="H360" s="27"/>
      <c r="I360" s="201">
        <v>32.93</v>
      </c>
      <c r="J360" s="59" t="str">
        <f>IF(ISBLANK(I360)," ",IF(ISTEXT(I360)," ",IF(I360&lt;=[1]Нормативы!$H$38,"КМС",IF(I360&lt;=[1]Нормативы!$H$39,"КМС",IF(I360&lt;=[1]Нормативы!$L$40,"КМС",IF(I360&lt;=[1]Нормативы!$L$41,"I",IF(I360&lt;=[1]Нормативы!$L$42,"II",IF(I360&lt;=[1]Нормативы!$L$43,"III",IF(I360&lt;=[1]Нормативы!$L$44,"I юн",IF(I360&lt;=[1]Нормативы!$L$45,"II юн",IF(I360&lt;=[1]Нормативы!$L$46,"III юн","б/р")))))))))))</f>
        <v>III юн</v>
      </c>
    </row>
    <row r="361" spans="1:10" x14ac:dyDescent="0.35">
      <c r="A361" s="14">
        <v>32</v>
      </c>
      <c r="B361" s="21" t="s">
        <v>26</v>
      </c>
      <c r="C361" s="28" t="s">
        <v>294</v>
      </c>
      <c r="E361" s="202">
        <v>41152</v>
      </c>
      <c r="F361" s="28" t="s">
        <v>198</v>
      </c>
      <c r="G361" s="33"/>
      <c r="H361" s="27"/>
      <c r="I361" s="201">
        <v>34.67</v>
      </c>
      <c r="J361" s="59" t="str">
        <f>IF(ISBLANK(I361)," ",IF(ISTEXT(I361)," ",IF(I361&lt;=[1]Нормативы!$H$38,"КМС",IF(I361&lt;=[1]Нормативы!$H$39,"КМС",IF(I361&lt;=[1]Нормативы!$L$40,"КМС",IF(I361&lt;=[1]Нормативы!$L$41,"I",IF(I361&lt;=[1]Нормативы!$L$42,"II",IF(I361&lt;=[1]Нормативы!$L$43,"III",IF(I361&lt;=[1]Нормативы!$L$44,"I юн",IF(I361&lt;=[1]Нормативы!$L$45,"II юн",IF(I361&lt;=[1]Нормативы!$L$46,"III юн","б/р")))))))))))</f>
        <v>III юн</v>
      </c>
    </row>
    <row r="362" spans="1:10" x14ac:dyDescent="0.35">
      <c r="A362" s="14"/>
      <c r="B362" s="21" t="s">
        <v>38</v>
      </c>
      <c r="C362" s="28" t="s">
        <v>497</v>
      </c>
      <c r="E362" s="202">
        <v>40653</v>
      </c>
      <c r="F362" s="28" t="s">
        <v>198</v>
      </c>
      <c r="G362" s="33"/>
      <c r="H362" s="27"/>
      <c r="I362" s="201" t="s">
        <v>191</v>
      </c>
      <c r="J362" s="38"/>
    </row>
    <row r="363" spans="1:10" x14ac:dyDescent="0.35">
      <c r="A363" s="14"/>
      <c r="B363" s="14"/>
      <c r="C363" s="28"/>
      <c r="E363" s="202"/>
      <c r="F363" s="28"/>
      <c r="G363" s="33"/>
      <c r="H363" s="27"/>
      <c r="I363" s="201"/>
      <c r="J363" s="38"/>
    </row>
    <row r="364" spans="1:10" x14ac:dyDescent="0.35">
      <c r="A364" s="221" t="s">
        <v>204</v>
      </c>
      <c r="B364" s="14"/>
      <c r="C364" s="28"/>
      <c r="E364" s="202"/>
      <c r="F364" s="28"/>
      <c r="G364" s="33"/>
      <c r="H364" s="27"/>
      <c r="I364" s="201"/>
      <c r="J364" s="38"/>
    </row>
    <row r="365" spans="1:10" x14ac:dyDescent="0.35">
      <c r="A365" s="14">
        <v>1</v>
      </c>
      <c r="B365" s="203" t="s">
        <v>25</v>
      </c>
      <c r="C365" s="28" t="s">
        <v>406</v>
      </c>
      <c r="E365" s="202">
        <v>41363</v>
      </c>
      <c r="F365" s="28" t="s">
        <v>193</v>
      </c>
      <c r="G365" s="33"/>
      <c r="H365" s="27"/>
      <c r="I365" s="201">
        <v>24.76</v>
      </c>
      <c r="J365" s="59" t="str">
        <f>IF(ISBLANK(I365)," ",IF(ISTEXT(I365)," ",IF(I365&lt;=[1]Нормативы!$H$38,"КМС",IF(I365&lt;=[1]Нормативы!$H$39,"КМС",IF(I365&lt;=[1]Нормативы!$L$40,"КМС",IF(I365&lt;=[1]Нормативы!$L$41,"I",IF(I365&lt;=[1]Нормативы!$L$42,"II",IF(I365&lt;=[1]Нормативы!$L$43,"III",IF(I365&lt;=[1]Нормативы!$L$44,"I юн",IF(I365&lt;=[1]Нормативы!$L$45,"II юн",IF(I365&lt;=[1]Нормативы!$L$46,"III юн","б/р")))))))))))</f>
        <v>III</v>
      </c>
    </row>
    <row r="366" spans="1:10" x14ac:dyDescent="0.35">
      <c r="A366" s="14">
        <v>2</v>
      </c>
      <c r="B366" s="21" t="s">
        <v>24</v>
      </c>
      <c r="C366" s="28" t="s">
        <v>262</v>
      </c>
      <c r="E366" s="202">
        <v>41455</v>
      </c>
      <c r="F366" s="28" t="s">
        <v>172</v>
      </c>
      <c r="G366" s="33"/>
      <c r="H366" s="27"/>
      <c r="I366" s="201">
        <v>24.94</v>
      </c>
      <c r="J366" s="59" t="str">
        <f>IF(ISBLANK(I366)," ",IF(ISTEXT(I366)," ",IF(I366&lt;=[1]Нормативы!$H$38,"КМС",IF(I366&lt;=[1]Нормативы!$H$39,"КМС",IF(I366&lt;=[1]Нормативы!$L$40,"КМС",IF(I366&lt;=[1]Нормативы!$L$41,"I",IF(I366&lt;=[1]Нормативы!$L$42,"II",IF(I366&lt;=[1]Нормативы!$L$43,"III",IF(I366&lt;=[1]Нормативы!$L$44,"I юн",IF(I366&lt;=[1]Нормативы!$L$45,"II юн",IF(I366&lt;=[1]Нормативы!$L$46,"III юн","б/р")))))))))))</f>
        <v>III</v>
      </c>
    </row>
    <row r="367" spans="1:10" x14ac:dyDescent="0.35">
      <c r="A367" s="14">
        <v>3</v>
      </c>
      <c r="B367" s="203" t="s">
        <v>25</v>
      </c>
      <c r="C367" s="28" t="s">
        <v>405</v>
      </c>
      <c r="E367" s="202">
        <v>41452</v>
      </c>
      <c r="F367" s="28" t="s">
        <v>193</v>
      </c>
      <c r="G367" s="33"/>
      <c r="H367" s="27"/>
      <c r="I367" s="201">
        <v>25.46</v>
      </c>
      <c r="J367" s="59" t="str">
        <f>IF(ISBLANK(I367)," ",IF(ISTEXT(I367)," ",IF(I367&lt;=[1]Нормативы!$H$38,"КМС",IF(I367&lt;=[1]Нормативы!$H$39,"КМС",IF(I367&lt;=[1]Нормативы!$L$40,"КМС",IF(I367&lt;=[1]Нормативы!$L$41,"I",IF(I367&lt;=[1]Нормативы!$L$42,"II",IF(I367&lt;=[1]Нормативы!$L$43,"III",IF(I367&lt;=[1]Нормативы!$L$44,"I юн",IF(I367&lt;=[1]Нормативы!$L$45,"II юн",IF(I367&lt;=[1]Нормативы!$L$46,"III юн","б/р")))))))))))</f>
        <v>III</v>
      </c>
    </row>
    <row r="368" spans="1:10" x14ac:dyDescent="0.35">
      <c r="A368" s="14">
        <v>4</v>
      </c>
      <c r="B368" s="204" t="s">
        <v>24</v>
      </c>
      <c r="C368" s="28" t="s">
        <v>410</v>
      </c>
      <c r="E368" s="200">
        <v>41478</v>
      </c>
      <c r="F368" s="28" t="s">
        <v>193</v>
      </c>
      <c r="G368" s="33"/>
      <c r="H368" s="27"/>
      <c r="I368" s="201">
        <v>25.61</v>
      </c>
      <c r="J368" s="59" t="str">
        <f>IF(ISBLANK(I368)," ",IF(ISTEXT(I368)," ",IF(I368&lt;=[1]Нормативы!$H$38,"КМС",IF(I368&lt;=[1]Нормативы!$H$39,"КМС",IF(I368&lt;=[1]Нормативы!$L$40,"КМС",IF(I368&lt;=[1]Нормативы!$L$41,"I",IF(I368&lt;=[1]Нормативы!$L$42,"II",IF(I368&lt;=[1]Нормативы!$L$43,"III",IF(I368&lt;=[1]Нормативы!$L$44,"I юн",IF(I368&lt;=[1]Нормативы!$L$45,"II юн",IF(I368&lt;=[1]Нормативы!$L$46,"III юн","б/р")))))))))))</f>
        <v>III</v>
      </c>
    </row>
    <row r="369" spans="1:10" x14ac:dyDescent="0.35">
      <c r="A369" s="14">
        <v>5</v>
      </c>
      <c r="B369" s="14" t="s">
        <v>38</v>
      </c>
      <c r="C369" s="28" t="s">
        <v>419</v>
      </c>
      <c r="E369" s="205">
        <v>41338</v>
      </c>
      <c r="F369" s="28" t="s">
        <v>176</v>
      </c>
      <c r="G369" s="33"/>
      <c r="H369" s="27"/>
      <c r="I369" s="201">
        <v>26.02</v>
      </c>
      <c r="J369" s="59" t="str">
        <f>IF(ISBLANK(I369)," ",IF(ISTEXT(I369)," ",IF(I369&lt;=[1]Нормативы!$H$38,"КМС",IF(I369&lt;=[1]Нормативы!$H$39,"КМС",IF(I369&lt;=[1]Нормативы!$L$40,"КМС",IF(I369&lt;=[1]Нормативы!$L$41,"I",IF(I369&lt;=[1]Нормативы!$L$42,"II",IF(I369&lt;=[1]Нормативы!$L$43,"III",IF(I369&lt;=[1]Нормативы!$L$44,"I юн",IF(I369&lt;=[1]Нормативы!$L$45,"II юн",IF(I369&lt;=[1]Нормативы!$L$46,"III юн","б/р")))))))))))</f>
        <v>III</v>
      </c>
    </row>
    <row r="370" spans="1:10" x14ac:dyDescent="0.35">
      <c r="A370" s="14">
        <v>6</v>
      </c>
      <c r="B370" s="14" t="s">
        <v>38</v>
      </c>
      <c r="C370" s="28" t="s">
        <v>468</v>
      </c>
      <c r="E370" s="205">
        <v>41462</v>
      </c>
      <c r="F370" s="28" t="s">
        <v>245</v>
      </c>
      <c r="G370" s="33"/>
      <c r="H370" s="27"/>
      <c r="I370" s="201">
        <v>27.4</v>
      </c>
      <c r="J370" s="59" t="str">
        <f>IF(ISBLANK(I370)," ",IF(ISTEXT(I370)," ",IF(I370&lt;=[1]Нормативы!$H$38,"КМС",IF(I370&lt;=[1]Нормативы!$H$39,"КМС",IF(I370&lt;=[1]Нормативы!$L$40,"КМС",IF(I370&lt;=[1]Нормативы!$L$41,"I",IF(I370&lt;=[1]Нормативы!$L$42,"II",IF(I370&lt;=[1]Нормативы!$L$43,"III",IF(I370&lt;=[1]Нормативы!$L$44,"I юн",IF(I370&lt;=[1]Нормативы!$L$45,"II юн",IF(I370&lt;=[1]Нормативы!$L$46,"III юн","б/р")))))))))))</f>
        <v>I юн</v>
      </c>
    </row>
    <row r="371" spans="1:10" x14ac:dyDescent="0.35">
      <c r="A371" s="14">
        <v>7</v>
      </c>
      <c r="B371" s="14" t="s">
        <v>38</v>
      </c>
      <c r="C371" s="28" t="s">
        <v>265</v>
      </c>
      <c r="E371" s="202">
        <v>41695</v>
      </c>
      <c r="F371" s="28" t="s">
        <v>172</v>
      </c>
      <c r="G371" s="33"/>
      <c r="H371" s="27"/>
      <c r="I371" s="201">
        <v>28.38</v>
      </c>
      <c r="J371" s="59" t="str">
        <f>IF(ISBLANK(I371)," ",IF(ISTEXT(I371)," ",IF(I371&lt;=[1]Нормативы!$H$38,"КМС",IF(I371&lt;=[1]Нормативы!$H$39,"КМС",IF(I371&lt;=[1]Нормативы!$L$40,"КМС",IF(I371&lt;=[1]Нормативы!$L$41,"I",IF(I371&lt;=[1]Нормативы!$L$42,"II",IF(I371&lt;=[1]Нормативы!$L$43,"III",IF(I371&lt;=[1]Нормативы!$L$44,"I юн",IF(I371&lt;=[1]Нормативы!$L$45,"II юн",IF(I371&lt;=[1]Нормативы!$L$46,"III юн","б/р")))))))))))</f>
        <v>I юн</v>
      </c>
    </row>
    <row r="372" spans="1:10" x14ac:dyDescent="0.35">
      <c r="A372" s="14">
        <v>8</v>
      </c>
      <c r="B372" s="14" t="s">
        <v>38</v>
      </c>
      <c r="C372" s="28" t="s">
        <v>270</v>
      </c>
      <c r="E372" s="206">
        <v>41792</v>
      </c>
      <c r="F372" s="28" t="s">
        <v>172</v>
      </c>
      <c r="G372" s="33"/>
      <c r="H372" s="27"/>
      <c r="I372" s="201">
        <v>28.64</v>
      </c>
      <c r="J372" s="59" t="str">
        <f>IF(ISBLANK(I372)," ",IF(ISTEXT(I372)," ",IF(I372&lt;=[1]Нормативы!$H$38,"КМС",IF(I372&lt;=[1]Нормативы!$H$39,"КМС",IF(I372&lt;=[1]Нормативы!$L$40,"КМС",IF(I372&lt;=[1]Нормативы!$L$41,"I",IF(I372&lt;=[1]Нормативы!$L$42,"II",IF(I372&lt;=[1]Нормативы!$L$43,"III",IF(I372&lt;=[1]Нормативы!$L$44,"I юн",IF(I372&lt;=[1]Нормативы!$L$45,"II юн",IF(I372&lt;=[1]Нормативы!$L$46,"III юн","б/р")))))))))))</f>
        <v>I юн</v>
      </c>
    </row>
    <row r="373" spans="1:10" x14ac:dyDescent="0.35">
      <c r="A373" s="14">
        <v>9</v>
      </c>
      <c r="B373" s="14" t="s">
        <v>38</v>
      </c>
      <c r="C373" s="28" t="s">
        <v>422</v>
      </c>
      <c r="E373" s="205">
        <v>41335</v>
      </c>
      <c r="F373" s="28" t="s">
        <v>176</v>
      </c>
      <c r="G373" s="33"/>
      <c r="H373" s="27"/>
      <c r="I373" s="201">
        <v>28.72</v>
      </c>
      <c r="J373" s="59" t="str">
        <f>IF(ISBLANK(I373)," ",IF(ISTEXT(I373)," ",IF(I373&lt;=[1]Нормативы!$H$38,"КМС",IF(I373&lt;=[1]Нормативы!$H$39,"КМС",IF(I373&lt;=[1]Нормативы!$L$40,"КМС",IF(I373&lt;=[1]Нормативы!$L$41,"I",IF(I373&lt;=[1]Нормативы!$L$42,"II",IF(I373&lt;=[1]Нормативы!$L$43,"III",IF(I373&lt;=[1]Нормативы!$L$44,"I юн",IF(I373&lt;=[1]Нормативы!$L$45,"II юн",IF(I373&lt;=[1]Нормативы!$L$46,"III юн","б/р")))))))))))</f>
        <v>I юн</v>
      </c>
    </row>
    <row r="374" spans="1:10" x14ac:dyDescent="0.35">
      <c r="A374" s="14">
        <v>10</v>
      </c>
      <c r="B374" s="21" t="s">
        <v>26</v>
      </c>
      <c r="C374" s="28" t="s">
        <v>508</v>
      </c>
      <c r="E374" s="202">
        <v>41499</v>
      </c>
      <c r="F374" s="28" t="s">
        <v>176</v>
      </c>
      <c r="G374" s="33"/>
      <c r="H374" s="27"/>
      <c r="I374" s="201">
        <v>29.06</v>
      </c>
      <c r="J374" s="59" t="str">
        <f>IF(ISBLANK(I374)," ",IF(ISTEXT(I374)," ",IF(I374&lt;=[1]Нормативы!$H$38,"КМС",IF(I374&lt;=[1]Нормативы!$H$39,"КМС",IF(I374&lt;=[1]Нормативы!$L$40,"КМС",IF(I374&lt;=[1]Нормативы!$L$41,"I",IF(I374&lt;=[1]Нормативы!$L$42,"II",IF(I374&lt;=[1]Нормативы!$L$43,"III",IF(I374&lt;=[1]Нормативы!$L$44,"I юн",IF(I374&lt;=[1]Нормативы!$L$45,"II юн",IF(I374&lt;=[1]Нормативы!$L$46,"III юн","б/р")))))))))))</f>
        <v>I юн</v>
      </c>
    </row>
    <row r="375" spans="1:10" x14ac:dyDescent="0.35">
      <c r="A375" s="14">
        <v>11</v>
      </c>
      <c r="B375" s="21" t="s">
        <v>23</v>
      </c>
      <c r="C375" s="28" t="s">
        <v>362</v>
      </c>
      <c r="E375" s="202">
        <v>41964</v>
      </c>
      <c r="F375" s="28" t="s">
        <v>198</v>
      </c>
      <c r="G375" s="33"/>
      <c r="H375" s="27"/>
      <c r="I375" s="201">
        <v>29.42</v>
      </c>
      <c r="J375" s="59" t="str">
        <f>IF(ISBLANK(I375)," ",IF(ISTEXT(I375)," ",IF(I375&lt;=[1]Нормативы!$H$38,"КМС",IF(I375&lt;=[1]Нормативы!$H$39,"КМС",IF(I375&lt;=[1]Нормативы!$L$40,"КМС",IF(I375&lt;=[1]Нормативы!$L$41,"I",IF(I375&lt;=[1]Нормативы!$L$42,"II",IF(I375&lt;=[1]Нормативы!$L$43,"III",IF(I375&lt;=[1]Нормативы!$L$44,"I юн",IF(I375&lt;=[1]Нормативы!$L$45,"II юн",IF(I375&lt;=[1]Нормативы!$L$46,"III юн","б/р")))))))))))</f>
        <v>I юн</v>
      </c>
    </row>
    <row r="376" spans="1:10" x14ac:dyDescent="0.35">
      <c r="A376" s="14">
        <v>12</v>
      </c>
      <c r="B376" s="14" t="s">
        <v>38</v>
      </c>
      <c r="C376" s="28" t="s">
        <v>306</v>
      </c>
      <c r="E376" s="202">
        <v>41528</v>
      </c>
      <c r="F376" s="28" t="s">
        <v>198</v>
      </c>
      <c r="G376" s="33"/>
      <c r="H376" s="27"/>
      <c r="I376" s="201">
        <v>29.45</v>
      </c>
      <c r="J376" s="59" t="str">
        <f>IF(ISBLANK(I376)," ",IF(ISTEXT(I376)," ",IF(I376&lt;=[1]Нормативы!$H$38,"КМС",IF(I376&lt;=[1]Нормативы!$H$39,"КМС",IF(I376&lt;=[1]Нормативы!$L$40,"КМС",IF(I376&lt;=[1]Нормативы!$L$41,"I",IF(I376&lt;=[1]Нормативы!$L$42,"II",IF(I376&lt;=[1]Нормативы!$L$43,"III",IF(I376&lt;=[1]Нормативы!$L$44,"I юн",IF(I376&lt;=[1]Нормативы!$L$45,"II юн",IF(I376&lt;=[1]Нормативы!$L$46,"III юн","б/р")))))))))))</f>
        <v>I юн</v>
      </c>
    </row>
    <row r="377" spans="1:10" x14ac:dyDescent="0.35">
      <c r="A377" s="14">
        <v>13</v>
      </c>
      <c r="B377" s="21" t="s">
        <v>26</v>
      </c>
      <c r="C377" s="28" t="s">
        <v>339</v>
      </c>
      <c r="E377" s="202">
        <v>41999</v>
      </c>
      <c r="F377" s="28" t="s">
        <v>198</v>
      </c>
      <c r="G377" s="33"/>
      <c r="H377" s="27"/>
      <c r="I377" s="201">
        <v>30.18</v>
      </c>
      <c r="J377" s="59" t="str">
        <f>IF(ISBLANK(I377)," ",IF(ISTEXT(I377)," ",IF(I377&lt;=[1]Нормативы!$H$38,"КМС",IF(I377&lt;=[1]Нормативы!$H$39,"КМС",IF(I377&lt;=[1]Нормативы!$L$40,"КМС",IF(I377&lt;=[1]Нормативы!$L$41,"I",IF(I377&lt;=[1]Нормативы!$L$42,"II",IF(I377&lt;=[1]Нормативы!$L$43,"III",IF(I377&lt;=[1]Нормативы!$L$44,"I юн",IF(I377&lt;=[1]Нормативы!$L$45,"II юн",IF(I377&lt;=[1]Нормативы!$L$46,"III юн","б/р")))))))))))</f>
        <v>II юн</v>
      </c>
    </row>
    <row r="378" spans="1:10" x14ac:dyDescent="0.35">
      <c r="A378" s="14">
        <v>14</v>
      </c>
      <c r="B378" s="21" t="s">
        <v>23</v>
      </c>
      <c r="C378" s="28" t="s">
        <v>291</v>
      </c>
      <c r="E378" s="202">
        <v>41935</v>
      </c>
      <c r="F378" s="28" t="s">
        <v>198</v>
      </c>
      <c r="G378" s="33"/>
      <c r="H378" s="27"/>
      <c r="I378" s="201">
        <v>30.35</v>
      </c>
      <c r="J378" s="59" t="str">
        <f>IF(ISBLANK(I378)," ",IF(ISTEXT(I378)," ",IF(I378&lt;=[1]Нормативы!$H$38,"КМС",IF(I378&lt;=[1]Нормативы!$H$39,"КМС",IF(I378&lt;=[1]Нормативы!$L$40,"КМС",IF(I378&lt;=[1]Нормативы!$L$41,"I",IF(I378&lt;=[1]Нормативы!$L$42,"II",IF(I378&lt;=[1]Нормативы!$L$43,"III",IF(I378&lt;=[1]Нормативы!$L$44,"I юн",IF(I378&lt;=[1]Нормативы!$L$45,"II юн",IF(I378&lt;=[1]Нормативы!$L$46,"III юн","б/р")))))))))))</f>
        <v>II юн</v>
      </c>
    </row>
    <row r="379" spans="1:10" x14ac:dyDescent="0.35">
      <c r="A379" s="14">
        <v>15</v>
      </c>
      <c r="B379" s="14" t="s">
        <v>38</v>
      </c>
      <c r="C379" s="28" t="s">
        <v>272</v>
      </c>
      <c r="E379" s="202">
        <v>41926</v>
      </c>
      <c r="F379" s="28" t="s">
        <v>172</v>
      </c>
      <c r="G379" s="33"/>
      <c r="H379" s="27"/>
      <c r="I379" s="201">
        <v>30.45</v>
      </c>
      <c r="J379" s="59" t="str">
        <f>IF(ISBLANK(I379)," ",IF(ISTEXT(I379)," ",IF(I379&lt;=[1]Нормативы!$H$38,"КМС",IF(I379&lt;=[1]Нормативы!$H$39,"КМС",IF(I379&lt;=[1]Нормативы!$L$40,"КМС",IF(I379&lt;=[1]Нормативы!$L$41,"I",IF(I379&lt;=[1]Нормативы!$L$42,"II",IF(I379&lt;=[1]Нормативы!$L$43,"III",IF(I379&lt;=[1]Нормативы!$L$44,"I юн",IF(I379&lt;=[1]Нормативы!$L$45,"II юн",IF(I379&lt;=[1]Нормативы!$L$46,"III юн","б/р")))))))))))</f>
        <v>II юн</v>
      </c>
    </row>
    <row r="380" spans="1:10" x14ac:dyDescent="0.35">
      <c r="A380" s="14">
        <v>16</v>
      </c>
      <c r="B380" s="14" t="s">
        <v>22</v>
      </c>
      <c r="C380" s="28" t="s">
        <v>266</v>
      </c>
      <c r="E380" s="206">
        <v>41700</v>
      </c>
      <c r="F380" s="28" t="s">
        <v>172</v>
      </c>
      <c r="G380" s="33"/>
      <c r="H380" s="27"/>
      <c r="I380" s="201">
        <v>30.79</v>
      </c>
      <c r="J380" s="59" t="str">
        <f>IF(ISBLANK(I380)," ",IF(ISTEXT(I380)," ",IF(I380&lt;=[1]Нормативы!$H$38,"КМС",IF(I380&lt;=[1]Нормативы!$H$39,"КМС",IF(I380&lt;=[1]Нормативы!$L$40,"КМС",IF(I380&lt;=[1]Нормативы!$L$41,"I",IF(I380&lt;=[1]Нормативы!$L$42,"II",IF(I380&lt;=[1]Нормативы!$L$43,"III",IF(I380&lt;=[1]Нормативы!$L$44,"I юн",IF(I380&lt;=[1]Нормативы!$L$45,"II юн",IF(I380&lt;=[1]Нормативы!$L$46,"III юн","б/р")))))))))))</f>
        <v>II юн</v>
      </c>
    </row>
    <row r="381" spans="1:10" x14ac:dyDescent="0.35">
      <c r="A381" s="14">
        <v>17</v>
      </c>
      <c r="B381" s="14" t="s">
        <v>22</v>
      </c>
      <c r="C381" s="28" t="s">
        <v>267</v>
      </c>
      <c r="E381" s="202">
        <v>41733</v>
      </c>
      <c r="F381" s="28" t="s">
        <v>172</v>
      </c>
      <c r="G381" s="33"/>
      <c r="H381" s="27"/>
      <c r="I381" s="201">
        <v>30.9</v>
      </c>
      <c r="J381" s="59" t="str">
        <f>IF(ISBLANK(I381)," ",IF(ISTEXT(I381)," ",IF(I381&lt;=[1]Нормативы!$H$38,"КМС",IF(I381&lt;=[1]Нормативы!$H$39,"КМС",IF(I381&lt;=[1]Нормативы!$L$40,"КМС",IF(I381&lt;=[1]Нормативы!$L$41,"I",IF(I381&lt;=[1]Нормативы!$L$42,"II",IF(I381&lt;=[1]Нормативы!$L$43,"III",IF(I381&lt;=[1]Нормативы!$L$44,"I юн",IF(I381&lt;=[1]Нормативы!$L$45,"II юн",IF(I381&lt;=[1]Нормативы!$L$46,"III юн","б/р")))))))))))</f>
        <v>II юн</v>
      </c>
    </row>
    <row r="382" spans="1:10" x14ac:dyDescent="0.35">
      <c r="A382" s="14">
        <v>18</v>
      </c>
      <c r="B382" s="21" t="s">
        <v>23</v>
      </c>
      <c r="C382" s="28" t="s">
        <v>296</v>
      </c>
      <c r="E382" s="202">
        <v>41327</v>
      </c>
      <c r="F382" s="28" t="s">
        <v>198</v>
      </c>
      <c r="G382" s="33"/>
      <c r="H382" s="27"/>
      <c r="I382" s="201">
        <v>30.9</v>
      </c>
      <c r="J382" s="59" t="str">
        <f>IF(ISBLANK(I382)," ",IF(ISTEXT(I382)," ",IF(I382&lt;=[1]Нормативы!$H$38,"КМС",IF(I382&lt;=[1]Нормативы!$H$39,"КМС",IF(I382&lt;=[1]Нормативы!$L$40,"КМС",IF(I382&lt;=[1]Нормативы!$L$41,"I",IF(I382&lt;=[1]Нормативы!$L$42,"II",IF(I382&lt;=[1]Нормативы!$L$43,"III",IF(I382&lt;=[1]Нормативы!$L$44,"I юн",IF(I382&lt;=[1]Нормативы!$L$45,"II юн",IF(I382&lt;=[1]Нормативы!$L$46,"III юн","б/р")))))))))))</f>
        <v>II юн</v>
      </c>
    </row>
    <row r="383" spans="1:10" x14ac:dyDescent="0.35">
      <c r="A383" s="14">
        <v>19</v>
      </c>
      <c r="B383" s="14" t="s">
        <v>22</v>
      </c>
      <c r="C383" s="28" t="s">
        <v>411</v>
      </c>
      <c r="E383" s="200">
        <v>41784</v>
      </c>
      <c r="F383" s="28" t="s">
        <v>193</v>
      </c>
      <c r="G383" s="33"/>
      <c r="H383" s="27"/>
      <c r="I383" s="201">
        <v>31.25</v>
      </c>
      <c r="J383" s="59" t="str">
        <f>IF(ISBLANK(I383)," ",IF(ISTEXT(I383)," ",IF(I383&lt;=[1]Нормативы!$H$38,"КМС",IF(I383&lt;=[1]Нормативы!$H$39,"КМС",IF(I383&lt;=[1]Нормативы!$L$40,"КМС",IF(I383&lt;=[1]Нормативы!$L$41,"I",IF(I383&lt;=[1]Нормативы!$L$42,"II",IF(I383&lt;=[1]Нормативы!$L$43,"III",IF(I383&lt;=[1]Нормативы!$L$44,"I юн",IF(I383&lt;=[1]Нормативы!$L$45,"II юн",IF(I383&lt;=[1]Нормативы!$L$46,"III юн","б/р")))))))))))</f>
        <v>II юн</v>
      </c>
    </row>
    <row r="384" spans="1:10" x14ac:dyDescent="0.35">
      <c r="A384" s="14">
        <v>20</v>
      </c>
      <c r="B384" s="21" t="s">
        <v>26</v>
      </c>
      <c r="C384" s="28" t="s">
        <v>365</v>
      </c>
      <c r="E384" s="202">
        <v>41304</v>
      </c>
      <c r="F384" s="28" t="s">
        <v>198</v>
      </c>
      <c r="G384" s="33"/>
      <c r="H384" s="27"/>
      <c r="I384" s="201">
        <v>31.39</v>
      </c>
      <c r="J384" s="59" t="str">
        <f>IF(ISBLANK(I384)," ",IF(ISTEXT(I384)," ",IF(I384&lt;=[1]Нормативы!$H$38,"КМС",IF(I384&lt;=[1]Нормативы!$H$39,"КМС",IF(I384&lt;=[1]Нормативы!$L$40,"КМС",IF(I384&lt;=[1]Нормативы!$L$41,"I",IF(I384&lt;=[1]Нормативы!$L$42,"II",IF(I384&lt;=[1]Нормативы!$L$43,"III",IF(I384&lt;=[1]Нормативы!$L$44,"I юн",IF(I384&lt;=[1]Нормативы!$L$45,"II юн",IF(I384&lt;=[1]Нормативы!$L$46,"III юн","б/р")))))))))))</f>
        <v>II юн</v>
      </c>
    </row>
    <row r="385" spans="1:10" x14ac:dyDescent="0.35">
      <c r="A385" s="14">
        <v>21</v>
      </c>
      <c r="B385" s="14" t="s">
        <v>22</v>
      </c>
      <c r="C385" s="28" t="s">
        <v>264</v>
      </c>
      <c r="E385" s="205">
        <v>41681</v>
      </c>
      <c r="F385" s="28" t="s">
        <v>172</v>
      </c>
      <c r="G385" s="33"/>
      <c r="H385" s="27"/>
      <c r="I385" s="201">
        <v>32.06</v>
      </c>
      <c r="J385" s="59" t="str">
        <f>IF(ISBLANK(I385)," ",IF(ISTEXT(I385)," ",IF(I385&lt;=[1]Нормативы!$H$38,"КМС",IF(I385&lt;=[1]Нормативы!$H$39,"КМС",IF(I385&lt;=[1]Нормативы!$L$40,"КМС",IF(I385&lt;=[1]Нормативы!$L$41,"I",IF(I385&lt;=[1]Нормативы!$L$42,"II",IF(I385&lt;=[1]Нормативы!$L$43,"III",IF(I385&lt;=[1]Нормативы!$L$44,"I юн",IF(I385&lt;=[1]Нормативы!$L$45,"II юн",IF(I385&lt;=[1]Нормативы!$L$46,"III юн","б/р")))))))))))</f>
        <v>III юн</v>
      </c>
    </row>
    <row r="386" spans="1:10" x14ac:dyDescent="0.35">
      <c r="A386" s="14">
        <v>22</v>
      </c>
      <c r="B386" s="14" t="s">
        <v>22</v>
      </c>
      <c r="C386" s="28" t="s">
        <v>269</v>
      </c>
      <c r="E386" s="202">
        <v>41753</v>
      </c>
      <c r="F386" s="28" t="s">
        <v>172</v>
      </c>
      <c r="G386" s="33"/>
      <c r="H386" s="27"/>
      <c r="I386" s="201">
        <v>32.9</v>
      </c>
      <c r="J386" s="59" t="str">
        <f>IF(ISBLANK(I386)," ",IF(ISTEXT(I386)," ",IF(I386&lt;=[1]Нормативы!$H$38,"КМС",IF(I386&lt;=[1]Нормативы!$H$39,"КМС",IF(I386&lt;=[1]Нормативы!$L$40,"КМС",IF(I386&lt;=[1]Нормативы!$L$41,"I",IF(I386&lt;=[1]Нормативы!$L$42,"II",IF(I386&lt;=[1]Нормативы!$L$43,"III",IF(I386&lt;=[1]Нормативы!$L$44,"I юн",IF(I386&lt;=[1]Нормативы!$L$45,"II юн",IF(I386&lt;=[1]Нормативы!$L$46,"III юн","б/р")))))))))))</f>
        <v>III юн</v>
      </c>
    </row>
    <row r="387" spans="1:10" x14ac:dyDescent="0.35">
      <c r="A387" s="14">
        <v>23</v>
      </c>
      <c r="B387" s="14" t="s">
        <v>22</v>
      </c>
      <c r="C387" s="28" t="s">
        <v>268</v>
      </c>
      <c r="E387" s="202">
        <v>41740</v>
      </c>
      <c r="F387" s="28" t="s">
        <v>172</v>
      </c>
      <c r="G387" s="33"/>
      <c r="H387" s="27"/>
      <c r="I387" s="201">
        <v>32.92</v>
      </c>
      <c r="J387" s="59" t="str">
        <f>IF(ISBLANK(I387)," ",IF(ISTEXT(I387)," ",IF(I387&lt;=[1]Нормативы!$H$38,"КМС",IF(I387&lt;=[1]Нормативы!$H$39,"КМС",IF(I387&lt;=[1]Нормативы!$L$40,"КМС",IF(I387&lt;=[1]Нормативы!$L$41,"I",IF(I387&lt;=[1]Нормативы!$L$42,"II",IF(I387&lt;=[1]Нормативы!$L$43,"III",IF(I387&lt;=[1]Нормативы!$L$44,"I юн",IF(I387&lt;=[1]Нормативы!$L$45,"II юн",IF(I387&lt;=[1]Нормативы!$L$46,"III юн","б/р")))))))))))</f>
        <v>III юн</v>
      </c>
    </row>
    <row r="388" spans="1:10" x14ac:dyDescent="0.35">
      <c r="A388" s="14">
        <v>24</v>
      </c>
      <c r="B388" s="21" t="s">
        <v>23</v>
      </c>
      <c r="C388" s="28" t="s">
        <v>305</v>
      </c>
      <c r="E388" s="202">
        <v>41829</v>
      </c>
      <c r="F388" s="28" t="s">
        <v>198</v>
      </c>
      <c r="G388" s="33"/>
      <c r="H388" s="27"/>
      <c r="I388" s="201">
        <v>33.22</v>
      </c>
      <c r="J388" s="59" t="str">
        <f>IF(ISBLANK(I388)," ",IF(ISTEXT(I388)," ",IF(I388&lt;=[1]Нормативы!$H$38,"КМС",IF(I388&lt;=[1]Нормативы!$H$39,"КМС",IF(I388&lt;=[1]Нормативы!$L$40,"КМС",IF(I388&lt;=[1]Нормативы!$L$41,"I",IF(I388&lt;=[1]Нормативы!$L$42,"II",IF(I388&lt;=[1]Нормативы!$L$43,"III",IF(I388&lt;=[1]Нормативы!$L$44,"I юн",IF(I388&lt;=[1]Нормативы!$L$45,"II юн",IF(I388&lt;=[1]Нормативы!$L$46,"III юн","б/р")))))))))))</f>
        <v>III юн</v>
      </c>
    </row>
    <row r="389" spans="1:10" x14ac:dyDescent="0.35">
      <c r="A389" s="14"/>
      <c r="B389" s="14"/>
      <c r="C389" s="222"/>
      <c r="E389" s="202"/>
      <c r="F389" s="28"/>
      <c r="G389" s="33"/>
      <c r="H389" s="27"/>
      <c r="I389" s="201"/>
      <c r="J389" s="38"/>
    </row>
    <row r="390" spans="1:10" x14ac:dyDescent="0.35">
      <c r="A390" s="221" t="s">
        <v>483</v>
      </c>
      <c r="B390" s="21"/>
      <c r="C390" s="28"/>
      <c r="E390" s="202"/>
      <c r="F390" s="28"/>
      <c r="G390" s="33"/>
      <c r="H390" s="27"/>
      <c r="I390" s="201"/>
      <c r="J390" s="38"/>
    </row>
    <row r="391" spans="1:10" x14ac:dyDescent="0.35">
      <c r="A391" s="14">
        <v>1</v>
      </c>
      <c r="B391" s="204" t="s">
        <v>37</v>
      </c>
      <c r="C391" s="28" t="s">
        <v>407</v>
      </c>
      <c r="E391" s="200">
        <v>40297</v>
      </c>
      <c r="F391" s="28" t="s">
        <v>193</v>
      </c>
      <c r="G391" s="33"/>
      <c r="H391" s="27"/>
      <c r="I391" s="201">
        <v>47.3</v>
      </c>
      <c r="J391" s="59" t="str">
        <f>IF(ISBLANK(I391)," ",IF(ISTEXT(I391)," ",IF(I391&lt;=[1]Нормативы!$H$49,"КМС",IF(I391&lt;=[1]Нормативы!$H$50,"КМС",IF(I391&lt;=[1]Нормативы!$L$51,"КМС",IF(I391&lt;=[1]Нормативы!$L$52,"I",IF(I391&lt;=[1]Нормативы!$L$53,"II",IF(I391&lt;=[1]Нормативы!$L$54,"III",IF(I391&lt;=[1]Нормативы!$L$55,"I юн",IF(I391&lt;=[1]Нормативы!$L$56,"II юн",IF(I391&lt;=[1]Нормативы!$L$57,"III юн","б/р")))))))))))</f>
        <v>II</v>
      </c>
    </row>
    <row r="392" spans="1:10" x14ac:dyDescent="0.35">
      <c r="A392" s="14">
        <v>2</v>
      </c>
      <c r="B392" s="21" t="s">
        <v>24</v>
      </c>
      <c r="C392" s="28" t="s">
        <v>249</v>
      </c>
      <c r="E392" s="202">
        <v>40822</v>
      </c>
      <c r="F392" s="28" t="s">
        <v>172</v>
      </c>
      <c r="G392" s="33"/>
      <c r="H392" s="27"/>
      <c r="I392" s="201">
        <v>48.43</v>
      </c>
      <c r="J392" s="59" t="str">
        <f>IF(ISBLANK(I392)," ",IF(ISTEXT(I392)," ",IF(I392&lt;=[1]Нормативы!$H$49,"КМС",IF(I392&lt;=[1]Нормативы!$H$50,"КМС",IF(I392&lt;=[1]Нормативы!$L$51,"КМС",IF(I392&lt;=[1]Нормативы!$L$52,"I",IF(I392&lt;=[1]Нормативы!$L$53,"II",IF(I392&lt;=[1]Нормативы!$L$54,"III",IF(I392&lt;=[1]Нормативы!$L$55,"I юн",IF(I392&lt;=[1]Нормативы!$L$56,"II юн",IF(I392&lt;=[1]Нормативы!$L$57,"III юн","б/р")))))))))))</f>
        <v>II</v>
      </c>
    </row>
    <row r="393" spans="1:10" x14ac:dyDescent="0.35">
      <c r="A393" s="14"/>
      <c r="B393" s="21"/>
      <c r="C393" s="222"/>
      <c r="E393" s="202"/>
      <c r="F393" s="28"/>
      <c r="G393" s="33"/>
      <c r="H393" s="27"/>
      <c r="I393" s="201"/>
      <c r="J393" s="59" t="str">
        <f>IF(ISBLANK(I393)," ",IF(ISTEXT(I393)," ",IF(I393&lt;=[1]Нормативы!$H$49,"КМС",IF(I393&lt;=[1]Нормативы!$H$50,"КМС",IF(I393&lt;=[1]Нормативы!$L$51,"КМС",IF(I393&lt;=[1]Нормативы!$L$52,"I",IF(I393&lt;=[1]Нормативы!$L$53,"II",IF(I393&lt;=[1]Нормативы!$L$54,"III",IF(I393&lt;=[1]Нормативы!$L$55,"I юн",IF(I393&lt;=[1]Нормативы!$L$56,"II юн",IF(I393&lt;=[1]Нормативы!$L$57,"III юн","б/р")))))))))))</f>
        <v xml:space="preserve"> </v>
      </c>
    </row>
    <row r="394" spans="1:10" x14ac:dyDescent="0.35">
      <c r="A394" s="221" t="s">
        <v>205</v>
      </c>
      <c r="B394" s="114"/>
      <c r="C394" s="114"/>
      <c r="E394" s="114"/>
      <c r="F394" s="114"/>
      <c r="G394" s="33"/>
      <c r="H394" s="114"/>
      <c r="I394" s="114"/>
      <c r="J394" s="59" t="str">
        <f>IF(ISBLANK(I394)," ",IF(ISTEXT(I394)," ",IF(I394&lt;=[1]Нормативы!$H$49,"КМС",IF(I394&lt;=[1]Нормативы!$H$50,"КМС",IF(I394&lt;=[1]Нормативы!$L$51,"КМС",IF(I394&lt;=[1]Нормативы!$L$52,"I",IF(I394&lt;=[1]Нормативы!$L$53,"II",IF(I394&lt;=[1]Нормативы!$L$54,"III",IF(I394&lt;=[1]Нормативы!$L$55,"I юн",IF(I394&lt;=[1]Нормативы!$L$56,"II юн",IF(I394&lt;=[1]Нормативы!$L$57,"III юн","б/р")))))))))))</f>
        <v xml:space="preserve"> </v>
      </c>
    </row>
    <row r="395" spans="1:10" x14ac:dyDescent="0.35">
      <c r="A395" s="14">
        <v>1</v>
      </c>
      <c r="B395" s="14" t="s">
        <v>25</v>
      </c>
      <c r="C395" s="28" t="s">
        <v>314</v>
      </c>
      <c r="E395" s="202">
        <v>41409</v>
      </c>
      <c r="F395" s="28" t="s">
        <v>198</v>
      </c>
      <c r="G395" s="33"/>
      <c r="H395" s="27"/>
      <c r="I395" s="201">
        <v>52.31</v>
      </c>
      <c r="J395" s="59" t="str">
        <f>IF(ISBLANK(I395)," ",IF(ISTEXT(I395)," ",IF(I395&lt;=[1]Нормативы!$H$49,"КМС",IF(I395&lt;=[1]Нормативы!$H$50,"КМС",IF(I395&lt;=[1]Нормативы!$L$51,"КМС",IF(I395&lt;=[1]Нормативы!$L$52,"I",IF(I395&lt;=[1]Нормативы!$L$53,"II",IF(I395&lt;=[1]Нормативы!$L$54,"III",IF(I395&lt;=[1]Нормативы!$L$55,"I юн",IF(I395&lt;=[1]Нормативы!$L$56,"II юн",IF(I395&lt;=[1]Нормативы!$L$57,"III юн","б/р")))))))))))</f>
        <v>III</v>
      </c>
    </row>
    <row r="396" spans="1:10" x14ac:dyDescent="0.35">
      <c r="A396" s="14">
        <v>2</v>
      </c>
      <c r="B396" s="21" t="s">
        <v>25</v>
      </c>
      <c r="C396" s="28" t="s">
        <v>255</v>
      </c>
      <c r="E396" s="202">
        <v>41786</v>
      </c>
      <c r="F396" s="28" t="s">
        <v>172</v>
      </c>
      <c r="G396" s="33"/>
      <c r="H396" s="27"/>
      <c r="I396" s="201">
        <v>52.33</v>
      </c>
      <c r="J396" s="59" t="str">
        <f>IF(ISBLANK(I396)," ",IF(ISTEXT(I396)," ",IF(I396&lt;=[1]Нормативы!$H$49,"КМС",IF(I396&lt;=[1]Нормативы!$H$50,"КМС",IF(I396&lt;=[1]Нормативы!$L$51,"КМС",IF(I396&lt;=[1]Нормативы!$L$52,"I",IF(I396&lt;=[1]Нормативы!$L$53,"II",IF(I396&lt;=[1]Нормативы!$L$54,"III",IF(I396&lt;=[1]Нормативы!$L$55,"I юн",IF(I396&lt;=[1]Нормативы!$L$56,"II юн",IF(I396&lt;=[1]Нормативы!$L$57,"III юн","б/р")))))))))))</f>
        <v>III</v>
      </c>
    </row>
    <row r="397" spans="1:10" x14ac:dyDescent="0.35">
      <c r="A397" s="14">
        <v>3</v>
      </c>
      <c r="B397" s="21" t="s">
        <v>25</v>
      </c>
      <c r="C397" s="28" t="s">
        <v>254</v>
      </c>
      <c r="E397" s="202">
        <v>41737</v>
      </c>
      <c r="F397" s="28" t="s">
        <v>172</v>
      </c>
      <c r="G397" s="33"/>
      <c r="H397" s="27"/>
      <c r="I397" s="201">
        <v>55.96</v>
      </c>
      <c r="J397" s="59" t="str">
        <f>IF(ISBLANK(I397)," ",IF(ISTEXT(I397)," ",IF(I397&lt;=[1]Нормативы!$H$49,"КМС",IF(I397&lt;=[1]Нормативы!$H$50,"КМС",IF(I397&lt;=[1]Нормативы!$L$51,"КМС",IF(I397&lt;=[1]Нормативы!$L$52,"I",IF(I397&lt;=[1]Нормативы!$L$53,"II",IF(I397&lt;=[1]Нормативы!$L$54,"III",IF(I397&lt;=[1]Нормативы!$L$55,"I юн",IF(I397&lt;=[1]Нормативы!$L$56,"II юн",IF(I397&lt;=[1]Нормативы!$L$57,"III юн","б/р")))))))))))</f>
        <v>I юн</v>
      </c>
    </row>
    <row r="398" spans="1:10" x14ac:dyDescent="0.35">
      <c r="A398" s="14">
        <v>4</v>
      </c>
      <c r="B398" s="14" t="s">
        <v>38</v>
      </c>
      <c r="C398" s="28" t="s">
        <v>328</v>
      </c>
      <c r="E398" s="202">
        <v>41504</v>
      </c>
      <c r="F398" s="28" t="s">
        <v>198</v>
      </c>
      <c r="G398" s="33"/>
      <c r="H398" s="27"/>
      <c r="I398" s="201">
        <v>57.61</v>
      </c>
      <c r="J398" s="59" t="str">
        <f>IF(ISBLANK(I398)," ",IF(ISTEXT(I398)," ",IF(I398&lt;=[1]Нормативы!$H$49,"КМС",IF(I398&lt;=[1]Нормативы!$H$50,"КМС",IF(I398&lt;=[1]Нормативы!$L$51,"КМС",IF(I398&lt;=[1]Нормативы!$L$52,"I",IF(I398&lt;=[1]Нормативы!$L$53,"II",IF(I398&lt;=[1]Нормативы!$L$54,"III",IF(I398&lt;=[1]Нормативы!$L$55,"I юн",IF(I398&lt;=[1]Нормативы!$L$56,"II юн",IF(I398&lt;=[1]Нормативы!$L$57,"III юн","б/р")))))))))))</f>
        <v>I юн</v>
      </c>
    </row>
    <row r="399" spans="1:10" x14ac:dyDescent="0.35">
      <c r="A399" s="14">
        <v>5</v>
      </c>
      <c r="B399" s="21" t="s">
        <v>25</v>
      </c>
      <c r="C399" s="28" t="s">
        <v>253</v>
      </c>
      <c r="E399" s="202">
        <v>41932</v>
      </c>
      <c r="F399" s="28" t="s">
        <v>172</v>
      </c>
      <c r="G399" s="33"/>
      <c r="H399" s="27"/>
      <c r="I399" s="201">
        <v>58.54</v>
      </c>
      <c r="J399" s="59" t="str">
        <f>IF(ISBLANK(I399)," ",IF(ISTEXT(I399)," ",IF(I399&lt;=[1]Нормативы!$H$49,"КМС",IF(I399&lt;=[1]Нормативы!$H$50,"КМС",IF(I399&lt;=[1]Нормативы!$L$51,"КМС",IF(I399&lt;=[1]Нормативы!$L$52,"I",IF(I399&lt;=[1]Нормативы!$L$53,"II",IF(I399&lt;=[1]Нормативы!$L$54,"III",IF(I399&lt;=[1]Нормативы!$L$55,"I юн",IF(I399&lt;=[1]Нормативы!$L$56,"II юн",IF(I399&lt;=[1]Нормативы!$L$57,"III юн","б/р")))))))))))</f>
        <v>I юн</v>
      </c>
    </row>
    <row r="400" spans="1:10" x14ac:dyDescent="0.35">
      <c r="A400" s="14">
        <v>6</v>
      </c>
      <c r="B400" s="14" t="s">
        <v>38</v>
      </c>
      <c r="C400" s="28" t="s">
        <v>252</v>
      </c>
      <c r="E400" s="202">
        <v>41773</v>
      </c>
      <c r="F400" s="28" t="s">
        <v>172</v>
      </c>
      <c r="G400" s="33"/>
      <c r="H400" s="27"/>
      <c r="I400" s="201">
        <v>100.92</v>
      </c>
      <c r="J400" s="59" t="str">
        <f>IF(ISBLANK(I400)," ",IF(ISTEXT(I400)," ",IF(I400&lt;=[1]Нормативы!$H$49,"КМС",IF(I400&lt;=[1]Нормативы!$H$50,"КМС",IF(I400&lt;=[1]Нормативы!$L$51,"КМС",IF(I400&lt;=[1]Нормативы!$L$52,"I",IF(I400&lt;=[1]Нормативы!$L$53,"II",IF(I400&lt;=[1]Нормативы!$L$54,"III",IF(I400&lt;=[1]Нормативы!$L$55,"I юн",IF(I400&lt;=[1]Нормативы!$L$56,"II юн",IF(I400&lt;=[1]Нормативы!$L$57,"III юн","б/р")))))))))))</f>
        <v>II юн</v>
      </c>
    </row>
    <row r="401" spans="1:10" x14ac:dyDescent="0.35">
      <c r="A401" s="14">
        <v>7</v>
      </c>
      <c r="B401" s="21" t="s">
        <v>26</v>
      </c>
      <c r="C401" s="28" t="s">
        <v>323</v>
      </c>
      <c r="E401" s="202">
        <v>41852</v>
      </c>
      <c r="F401" s="28" t="s">
        <v>198</v>
      </c>
      <c r="G401" s="33"/>
      <c r="H401" s="27"/>
      <c r="I401" s="201">
        <v>101.47</v>
      </c>
      <c r="J401" s="59" t="str">
        <f>IF(ISBLANK(I401)," ",IF(ISTEXT(I401)," ",IF(I401&lt;=[1]Нормативы!$H$49,"КМС",IF(I401&lt;=[1]Нормативы!$H$50,"КМС",IF(I401&lt;=[1]Нормативы!$L$51,"КМС",IF(I401&lt;=[1]Нормативы!$L$52,"I",IF(I401&lt;=[1]Нормативы!$L$53,"II",IF(I401&lt;=[1]Нормативы!$L$54,"III",IF(I401&lt;=[1]Нормативы!$L$55,"I юн",IF(I401&lt;=[1]Нормативы!$L$56,"II юн",IF(I401&lt;=[1]Нормативы!$L$57,"III юн","б/р")))))))))))</f>
        <v>II юн</v>
      </c>
    </row>
    <row r="402" spans="1:10" x14ac:dyDescent="0.35">
      <c r="A402" s="14">
        <v>8</v>
      </c>
      <c r="B402" s="14" t="s">
        <v>25</v>
      </c>
      <c r="C402" s="28" t="s">
        <v>464</v>
      </c>
      <c r="E402" s="205">
        <v>41733</v>
      </c>
      <c r="F402" s="28" t="s">
        <v>245</v>
      </c>
      <c r="G402" s="33"/>
      <c r="H402" s="27"/>
      <c r="I402" s="201">
        <v>102.13</v>
      </c>
      <c r="J402" s="59" t="str">
        <f>IF(ISBLANK(I402)," ",IF(ISTEXT(I402)," ",IF(I402&lt;=[1]Нормативы!$H$49,"КМС",IF(I402&lt;=[1]Нормативы!$H$50,"КМС",IF(I402&lt;=[1]Нормативы!$L$51,"КМС",IF(I402&lt;=[1]Нормативы!$L$52,"I",IF(I402&lt;=[1]Нормативы!$L$53,"II",IF(I402&lt;=[1]Нормативы!$L$54,"III",IF(I402&lt;=[1]Нормативы!$L$55,"I юн",IF(I402&lt;=[1]Нормативы!$L$56,"II юн",IF(I402&lt;=[1]Нормативы!$L$57,"III юн","б/р")))))))))))</f>
        <v>II юн</v>
      </c>
    </row>
    <row r="403" spans="1:10" x14ac:dyDescent="0.35">
      <c r="A403" s="14">
        <v>9</v>
      </c>
      <c r="B403" s="14" t="s">
        <v>38</v>
      </c>
      <c r="C403" s="28" t="s">
        <v>279</v>
      </c>
      <c r="E403" s="202">
        <v>41781</v>
      </c>
      <c r="F403" s="28" t="s">
        <v>198</v>
      </c>
      <c r="G403" s="33"/>
      <c r="H403" s="27"/>
      <c r="I403" s="201">
        <v>120.77</v>
      </c>
      <c r="J403" s="59" t="str">
        <f>IF(ISBLANK(I403)," ",IF(ISTEXT(I403)," ",IF(I403&lt;=[1]Нормативы!$H$49,"КМС",IF(I403&lt;=[1]Нормативы!$H$50,"КМС",IF(I403&lt;=[1]Нормативы!$L$51,"КМС",IF(I403&lt;=[1]Нормативы!$L$52,"I",IF(I403&lt;=[1]Нормативы!$L$53,"II",IF(I403&lt;=[1]Нормативы!$L$54,"III",IF(I403&lt;=[1]Нормативы!$L$55,"I юн",IF(I403&lt;=[1]Нормативы!$L$56,"II юн",IF(I403&lt;=[1]Нормативы!$L$57,"III юн","б/р")))))))))))</f>
        <v>б/р</v>
      </c>
    </row>
    <row r="404" spans="1:10" x14ac:dyDescent="0.35">
      <c r="A404" s="14"/>
      <c r="B404" s="114"/>
      <c r="C404" s="222"/>
      <c r="E404" s="114"/>
      <c r="F404" s="114"/>
      <c r="G404" s="33"/>
      <c r="H404" s="114"/>
      <c r="I404" s="114"/>
      <c r="J404" s="59" t="str">
        <f>IF(ISBLANK(I404)," ",IF(ISTEXT(I404)," ",IF(I404&lt;=[1]Нормативы!$H$49,"КМС",IF(I404&lt;=[1]Нормативы!$H$50,"КМС",IF(I404&lt;=[1]Нормативы!$L$51,"КМС",IF(I404&lt;=[1]Нормативы!$L$52,"I",IF(I404&lt;=[1]Нормативы!$L$53,"II",IF(I404&lt;=[1]Нормативы!$L$54,"III",IF(I404&lt;=[1]Нормативы!$L$55,"I юн",IF(I404&lt;=[1]Нормативы!$L$56,"II юн",IF(I404&lt;=[1]Нормативы!$L$57,"III юн","б/р")))))))))))</f>
        <v xml:space="preserve"> </v>
      </c>
    </row>
    <row r="405" spans="1:10" x14ac:dyDescent="0.35">
      <c r="A405" s="221" t="s">
        <v>482</v>
      </c>
      <c r="B405" s="209"/>
      <c r="C405" s="210"/>
      <c r="E405" s="211"/>
      <c r="F405" s="210"/>
      <c r="G405" s="33"/>
      <c r="H405" s="209"/>
      <c r="I405" s="212"/>
      <c r="J405" s="38"/>
    </row>
    <row r="406" spans="1:10" x14ac:dyDescent="0.35">
      <c r="A406" s="14">
        <v>1</v>
      </c>
      <c r="B406" s="14" t="s">
        <v>24</v>
      </c>
      <c r="C406" s="28" t="s">
        <v>373</v>
      </c>
      <c r="E406" s="202">
        <v>40725</v>
      </c>
      <c r="F406" s="28" t="s">
        <v>198</v>
      </c>
      <c r="G406" s="33"/>
      <c r="H406" s="27"/>
      <c r="I406" s="201">
        <v>44.07</v>
      </c>
      <c r="J406" s="59" t="str">
        <f>IF(ISBLANK(I406)," ",IF(ISTEXT(I406)," ",IF(I406&lt;=[1]Нормативы!$H$60,"КМС",IF(I406&lt;=[1]Нормативы!$H$61,"КМС",IF(I406&lt;=[1]Нормативы!$L$62,"КМС",IF(I406&lt;=[1]Нормативы!$L$63,"I",IF(I406&lt;=[1]Нормативы!$L$64,"II",IF(I406&lt;=[1]Нормативы!$L$65,"III",IF(I406&lt;=[1]Нормативы!$L$66,"I юн",IF(I406&lt;=[1]Нормативы!$L$67,"II юн",IF(I406&lt;=[1]Нормативы!$L$68,"III юн","б/р")))))))))))</f>
        <v>II</v>
      </c>
    </row>
    <row r="407" spans="1:10" x14ac:dyDescent="0.35">
      <c r="A407" s="14">
        <v>2</v>
      </c>
      <c r="B407" s="21" t="s">
        <v>24</v>
      </c>
      <c r="C407" s="28" t="s">
        <v>261</v>
      </c>
      <c r="E407" s="202">
        <v>41061</v>
      </c>
      <c r="F407" s="28" t="s">
        <v>172</v>
      </c>
      <c r="G407" s="33"/>
      <c r="H407" s="27"/>
      <c r="I407" s="201">
        <v>44.12</v>
      </c>
      <c r="J407" s="59" t="str">
        <f>IF(ISBLANK(I407)," ",IF(ISTEXT(I407)," ",IF(I407&lt;=[1]Нормативы!$H$60,"КМС",IF(I407&lt;=[1]Нормативы!$H$61,"КМС",IF(I407&lt;=[1]Нормативы!$L$62,"КМС",IF(I407&lt;=[1]Нормативы!$L$63,"I",IF(I407&lt;=[1]Нормативы!$L$64,"II",IF(I407&lt;=[1]Нормативы!$L$65,"III",IF(I407&lt;=[1]Нормативы!$L$66,"I юн",IF(I407&lt;=[1]Нормативы!$L$67,"II юн",IF(I407&lt;=[1]Нормативы!$L$68,"III юн","б/р")))))))))))</f>
        <v>II</v>
      </c>
    </row>
    <row r="408" spans="1:10" x14ac:dyDescent="0.35">
      <c r="A408" s="14">
        <v>3</v>
      </c>
      <c r="B408" s="21" t="s">
        <v>24</v>
      </c>
      <c r="C408" s="28" t="s">
        <v>257</v>
      </c>
      <c r="E408" s="202">
        <v>40381</v>
      </c>
      <c r="F408" s="28" t="s">
        <v>172</v>
      </c>
      <c r="G408" s="33"/>
      <c r="H408" s="27"/>
      <c r="I408" s="201">
        <v>44.97</v>
      </c>
      <c r="J408" s="59" t="str">
        <f>IF(ISBLANK(I408)," ",IF(ISTEXT(I408)," ",IF(I408&lt;=[1]Нормативы!$H$60,"КМС",IF(I408&lt;=[1]Нормативы!$H$61,"КМС",IF(I408&lt;=[1]Нормативы!$L$62,"КМС",IF(I408&lt;=[1]Нормативы!$L$63,"I",IF(I408&lt;=[1]Нормативы!$L$64,"II",IF(I408&lt;=[1]Нормативы!$L$65,"III",IF(I408&lt;=[1]Нормативы!$L$66,"I юн",IF(I408&lt;=[1]Нормативы!$L$67,"II юн",IF(I408&lt;=[1]Нормативы!$L$68,"III юн","б/р")))))))))))</f>
        <v>II</v>
      </c>
    </row>
    <row r="409" spans="1:10" x14ac:dyDescent="0.35">
      <c r="A409" s="14">
        <v>4</v>
      </c>
      <c r="B409" s="14" t="s">
        <v>24</v>
      </c>
      <c r="C409" s="28" t="s">
        <v>368</v>
      </c>
      <c r="E409" s="202">
        <v>40593</v>
      </c>
      <c r="F409" s="28" t="s">
        <v>198</v>
      </c>
      <c r="G409" s="33"/>
      <c r="H409" s="27"/>
      <c r="I409" s="201">
        <v>47.76</v>
      </c>
      <c r="J409" s="59" t="str">
        <f>IF(ISBLANK(I409)," ",IF(ISTEXT(I409)," ",IF(I409&lt;=[1]Нормативы!$H$60,"КМС",IF(I409&lt;=[1]Нормативы!$H$61,"КМС",IF(I409&lt;=[1]Нормативы!$L$62,"КМС",IF(I409&lt;=[1]Нормативы!$L$63,"I",IF(I409&lt;=[1]Нормативы!$L$64,"II",IF(I409&lt;=[1]Нормативы!$L$65,"III",IF(I409&lt;=[1]Нормативы!$L$66,"I юн",IF(I409&lt;=[1]Нормативы!$L$67,"II юн",IF(I409&lt;=[1]Нормативы!$L$68,"III юн","б/р")))))))))))</f>
        <v>III</v>
      </c>
    </row>
    <row r="410" spans="1:10" x14ac:dyDescent="0.35">
      <c r="A410" s="14">
        <v>5</v>
      </c>
      <c r="B410" s="21" t="s">
        <v>24</v>
      </c>
      <c r="C410" s="28" t="s">
        <v>260</v>
      </c>
      <c r="E410" s="205">
        <v>40803</v>
      </c>
      <c r="F410" s="28" t="s">
        <v>172</v>
      </c>
      <c r="G410" s="33"/>
      <c r="H410" s="27"/>
      <c r="I410" s="201">
        <v>50.95</v>
      </c>
      <c r="J410" s="59" t="str">
        <f>IF(ISBLANK(I410)," ",IF(ISTEXT(I410)," ",IF(I410&lt;=[1]Нормативы!$H$60,"КМС",IF(I410&lt;=[1]Нормативы!$H$61,"КМС",IF(I410&lt;=[1]Нормативы!$L$62,"КМС",IF(I410&lt;=[1]Нормативы!$L$63,"I",IF(I410&lt;=[1]Нормативы!$L$64,"II",IF(I410&lt;=[1]Нормативы!$L$65,"III",IF(I410&lt;=[1]Нормативы!$L$66,"I юн",IF(I410&lt;=[1]Нормативы!$L$67,"II юн",IF(I410&lt;=[1]Нормативы!$L$68,"III юн","б/р")))))))))))</f>
        <v>I юн</v>
      </c>
    </row>
    <row r="411" spans="1:10" x14ac:dyDescent="0.35">
      <c r="A411" s="14"/>
      <c r="B411" s="14" t="s">
        <v>24</v>
      </c>
      <c r="C411" s="28" t="s">
        <v>354</v>
      </c>
      <c r="E411" s="202">
        <v>40396</v>
      </c>
      <c r="F411" s="28" t="s">
        <v>198</v>
      </c>
      <c r="G411" s="33"/>
      <c r="H411" s="27"/>
      <c r="I411" s="201" t="s">
        <v>191</v>
      </c>
      <c r="J411" s="59" t="str">
        <f>IF(ISBLANK(I411)," ",IF(ISTEXT(I411)," ",IF(I411&lt;=[1]Нормативы!$H$60,"КМС",IF(I411&lt;=[1]Нормативы!$H$61,"КМС",IF(I411&lt;=[1]Нормативы!$L$62,"КМС",IF(I411&lt;=[1]Нормативы!$L$63,"I",IF(I411&lt;=[1]Нормативы!$L$64,"II",IF(I411&lt;=[1]Нормативы!$L$65,"III",IF(I411&lt;=[1]Нормативы!$L$66,"I юн",IF(I411&lt;=[1]Нормативы!$L$67,"II юн",IF(I411&lt;=[1]Нормативы!$L$68,"III юн","б/р")))))))))))</f>
        <v xml:space="preserve"> </v>
      </c>
    </row>
    <row r="412" spans="1:10" x14ac:dyDescent="0.35">
      <c r="A412" s="14"/>
      <c r="B412" s="14"/>
      <c r="C412" s="28"/>
      <c r="E412" s="202"/>
      <c r="F412" s="28"/>
      <c r="G412" s="33"/>
      <c r="H412" s="27"/>
      <c r="I412" s="201"/>
      <c r="J412" s="59" t="str">
        <f>IF(ISBLANK(I412)," ",IF(ISTEXT(I412)," ",IF(I412&lt;=[1]Нормативы!$H$60,"КМС",IF(I412&lt;=[1]Нормативы!$H$61,"КМС",IF(I412&lt;=[1]Нормативы!$L$62,"КМС",IF(I412&lt;=[1]Нормативы!$L$63,"I",IF(I412&lt;=[1]Нормативы!$L$64,"II",IF(I412&lt;=[1]Нормативы!$L$65,"III",IF(I412&lt;=[1]Нормативы!$L$66,"I юн",IF(I412&lt;=[1]Нормативы!$L$67,"II юн",IF(I412&lt;=[1]Нормативы!$L$68,"III юн","б/р")))))))))))</f>
        <v xml:space="preserve"> </v>
      </c>
    </row>
    <row r="413" spans="1:10" x14ac:dyDescent="0.35">
      <c r="A413" s="221" t="s">
        <v>206</v>
      </c>
      <c r="B413" s="14"/>
      <c r="C413" s="28"/>
      <c r="E413" s="202"/>
      <c r="F413" s="28"/>
      <c r="G413" s="33"/>
      <c r="H413" s="27"/>
      <c r="I413" s="201"/>
      <c r="J413" s="59" t="str">
        <f>IF(ISBLANK(I413)," ",IF(ISTEXT(I413)," ",IF(I413&lt;=[1]Нормативы!$H$60,"КМС",IF(I413&lt;=[1]Нормативы!$H$61,"КМС",IF(I413&lt;=[1]Нормативы!$L$62,"КМС",IF(I413&lt;=[1]Нормативы!$L$63,"I",IF(I413&lt;=[1]Нормативы!$L$64,"II",IF(I413&lt;=[1]Нормативы!$L$65,"III",IF(I413&lt;=[1]Нормативы!$L$66,"I юн",IF(I413&lt;=[1]Нормативы!$L$67,"II юн",IF(I413&lt;=[1]Нормативы!$L$68,"III юн","б/р")))))))))))</f>
        <v xml:space="preserve"> </v>
      </c>
    </row>
    <row r="414" spans="1:10" x14ac:dyDescent="0.35">
      <c r="A414" s="14">
        <v>1</v>
      </c>
      <c r="B414" s="21" t="s">
        <v>25</v>
      </c>
      <c r="C414" s="28" t="s">
        <v>263</v>
      </c>
      <c r="E414" s="206">
        <v>41488</v>
      </c>
      <c r="F414" s="28" t="s">
        <v>172</v>
      </c>
      <c r="G414" s="33"/>
      <c r="H414" s="27"/>
      <c r="I414" s="201">
        <v>47.94</v>
      </c>
      <c r="J414" s="59" t="str">
        <f>IF(ISBLANK(I414)," ",IF(ISTEXT(I414)," ",IF(I414&lt;=[1]Нормативы!$H$60,"КМС",IF(I414&lt;=[1]Нормативы!$H$61,"КМС",IF(I414&lt;=[1]Нормативы!$L$62,"КМС",IF(I414&lt;=[1]Нормативы!$L$63,"I",IF(I414&lt;=[1]Нормативы!$L$64,"II",IF(I414&lt;=[1]Нормативы!$L$65,"III",IF(I414&lt;=[1]Нормативы!$L$66,"I юн",IF(I414&lt;=[1]Нормативы!$L$67,"II юн",IF(I414&lt;=[1]Нормативы!$L$68,"III юн","б/р")))))))))))</f>
        <v>III</v>
      </c>
    </row>
    <row r="415" spans="1:10" x14ac:dyDescent="0.35">
      <c r="A415" s="14">
        <v>2</v>
      </c>
      <c r="B415" s="203" t="s">
        <v>25</v>
      </c>
      <c r="C415" s="28" t="s">
        <v>405</v>
      </c>
      <c r="E415" s="202">
        <v>41452</v>
      </c>
      <c r="F415" s="28" t="s">
        <v>193</v>
      </c>
      <c r="G415" s="33"/>
      <c r="H415" s="27"/>
      <c r="I415" s="201">
        <v>54.64</v>
      </c>
      <c r="J415" s="59" t="str">
        <f>IF(ISBLANK(I415)," ",IF(ISTEXT(I415)," ",IF(I415&lt;=[1]Нормативы!$H$60,"КМС",IF(I415&lt;=[1]Нормативы!$H$61,"КМС",IF(I415&lt;=[1]Нормативы!$L$62,"КМС",IF(I415&lt;=[1]Нормативы!$L$63,"I",IF(I415&lt;=[1]Нормативы!$L$64,"II",IF(I415&lt;=[1]Нормативы!$L$65,"III",IF(I415&lt;=[1]Нормативы!$L$66,"I юн",IF(I415&lt;=[1]Нормативы!$L$67,"II юн",IF(I415&lt;=[1]Нормативы!$L$68,"III юн","б/р")))))))))))</f>
        <v>II юн</v>
      </c>
    </row>
    <row r="416" spans="1:10" x14ac:dyDescent="0.35">
      <c r="A416" s="14">
        <v>3</v>
      </c>
      <c r="B416" s="14" t="s">
        <v>22</v>
      </c>
      <c r="C416" s="28" t="s">
        <v>366</v>
      </c>
      <c r="E416" s="202">
        <v>41484</v>
      </c>
      <c r="F416" s="28" t="s">
        <v>198</v>
      </c>
      <c r="G416" s="33"/>
      <c r="H416" s="27"/>
      <c r="I416" s="201">
        <v>55.04</v>
      </c>
      <c r="J416" s="59" t="str">
        <f>IF(ISBLANK(I416)," ",IF(ISTEXT(I416)," ",IF(I416&lt;=[1]Нормативы!$H$60,"КМС",IF(I416&lt;=[1]Нормативы!$H$61,"КМС",IF(I416&lt;=[1]Нормативы!$L$62,"КМС",IF(I416&lt;=[1]Нормативы!$L$63,"I",IF(I416&lt;=[1]Нормативы!$L$64,"II",IF(I416&lt;=[1]Нормативы!$L$65,"III",IF(I416&lt;=[1]Нормативы!$L$66,"I юн",IF(I416&lt;=[1]Нормативы!$L$67,"II юн",IF(I416&lt;=[1]Нормативы!$L$68,"III юн","б/р")))))))))))</f>
        <v>II юн</v>
      </c>
    </row>
    <row r="417" spans="1:10" x14ac:dyDescent="0.35">
      <c r="A417" s="14">
        <v>4</v>
      </c>
      <c r="B417" s="14" t="s">
        <v>38</v>
      </c>
      <c r="C417" s="28" t="s">
        <v>270</v>
      </c>
      <c r="E417" s="206">
        <v>41792</v>
      </c>
      <c r="F417" s="28" t="s">
        <v>172</v>
      </c>
      <c r="G417" s="33"/>
      <c r="H417" s="27"/>
      <c r="I417" s="201">
        <v>100.4</v>
      </c>
      <c r="J417" s="59" t="str">
        <f>IF(ISBLANK(I417)," ",IF(ISTEXT(I417)," ",IF(I417&lt;=[1]Нормативы!$H$60,"КМС",IF(I417&lt;=[1]Нормативы!$H$61,"КМС",IF(I417&lt;=[1]Нормативы!$L$62,"КМС",IF(I417&lt;=[1]Нормативы!$L$63,"I",IF(I417&lt;=[1]Нормативы!$L$64,"II",IF(I417&lt;=[1]Нормативы!$L$65,"III",IF(I417&lt;=[1]Нормативы!$L$66,"I юн",IF(I417&lt;=[1]Нормативы!$L$67,"II юн",IF(I417&lt;=[1]Нормативы!$L$68,"III юн","б/р")))))))))))</f>
        <v>III юн</v>
      </c>
    </row>
    <row r="418" spans="1:10" x14ac:dyDescent="0.35">
      <c r="A418" s="14">
        <v>5</v>
      </c>
      <c r="B418" s="14" t="s">
        <v>22</v>
      </c>
      <c r="C418" s="28" t="s">
        <v>361</v>
      </c>
      <c r="E418" s="202">
        <v>41739</v>
      </c>
      <c r="F418" s="28" t="s">
        <v>198</v>
      </c>
      <c r="G418" s="33"/>
      <c r="H418" s="27"/>
      <c r="I418" s="201">
        <v>101.09</v>
      </c>
      <c r="J418" s="59" t="str">
        <f>IF(ISBLANK(I418)," ",IF(ISTEXT(I418)," ",IF(I418&lt;=[1]Нормативы!$H$60,"КМС",IF(I418&lt;=[1]Нормативы!$H$61,"КМС",IF(I418&lt;=[1]Нормативы!$L$62,"КМС",IF(I418&lt;=[1]Нормативы!$L$63,"I",IF(I418&lt;=[1]Нормативы!$L$64,"II",IF(I418&lt;=[1]Нормативы!$L$65,"III",IF(I418&lt;=[1]Нормативы!$L$66,"I юн",IF(I418&lt;=[1]Нормативы!$L$67,"II юн",IF(I418&lt;=[1]Нормативы!$L$68,"III юн","б/р")))))))))))</f>
        <v>III юн</v>
      </c>
    </row>
    <row r="419" spans="1:10" x14ac:dyDescent="0.35">
      <c r="A419" s="14">
        <v>6</v>
      </c>
      <c r="B419" s="14" t="s">
        <v>22</v>
      </c>
      <c r="C419" s="28" t="s">
        <v>289</v>
      </c>
      <c r="E419" s="202">
        <v>41953</v>
      </c>
      <c r="F419" s="28" t="s">
        <v>198</v>
      </c>
      <c r="G419" s="33"/>
      <c r="H419" s="27"/>
      <c r="I419" s="201">
        <v>106.77</v>
      </c>
      <c r="J419" s="59" t="str">
        <f>IF(ISBLANK(I419)," ",IF(ISTEXT(I419)," ",IF(I419&lt;=[1]Нормативы!$H$60,"КМС",IF(I419&lt;=[1]Нормативы!$H$61,"КМС",IF(I419&lt;=[1]Нормативы!$L$62,"КМС",IF(I419&lt;=[1]Нормативы!$L$63,"I",IF(I419&lt;=[1]Нормативы!$L$64,"II",IF(I419&lt;=[1]Нормативы!$L$65,"III",IF(I419&lt;=[1]Нормативы!$L$66,"I юн",IF(I419&lt;=[1]Нормативы!$L$67,"II юн",IF(I419&lt;=[1]Нормативы!$L$68,"III юн","б/р")))))))))))</f>
        <v>б/р</v>
      </c>
    </row>
    <row r="420" spans="1:10" x14ac:dyDescent="0.35">
      <c r="A420" s="14">
        <v>7</v>
      </c>
      <c r="B420" s="14" t="s">
        <v>22</v>
      </c>
      <c r="C420" s="28" t="s">
        <v>268</v>
      </c>
      <c r="E420" s="202">
        <v>41740</v>
      </c>
      <c r="F420" s="28" t="s">
        <v>172</v>
      </c>
      <c r="G420" s="33"/>
      <c r="H420" s="27"/>
      <c r="I420" s="201">
        <v>108.27</v>
      </c>
      <c r="J420" s="59" t="str">
        <f>IF(ISBLANK(I420)," ",IF(ISTEXT(I420)," ",IF(I420&lt;=[1]Нормативы!$H$60,"КМС",IF(I420&lt;=[1]Нормативы!$H$61,"КМС",IF(I420&lt;=[1]Нормативы!$L$62,"КМС",IF(I420&lt;=[1]Нормативы!$L$63,"I",IF(I420&lt;=[1]Нормативы!$L$64,"II",IF(I420&lt;=[1]Нормативы!$L$65,"III",IF(I420&lt;=[1]Нормативы!$L$66,"I юн",IF(I420&lt;=[1]Нормативы!$L$67,"II юн",IF(I420&lt;=[1]Нормативы!$L$68,"III юн","б/р")))))))))))</f>
        <v>б/р</v>
      </c>
    </row>
    <row r="421" spans="1:10" x14ac:dyDescent="0.35">
      <c r="A421" s="14"/>
      <c r="B421" s="21" t="s">
        <v>23</v>
      </c>
      <c r="C421" s="28" t="s">
        <v>362</v>
      </c>
      <c r="E421" s="202">
        <v>41964</v>
      </c>
      <c r="F421" s="28" t="s">
        <v>198</v>
      </c>
      <c r="G421" s="33"/>
      <c r="H421" s="27"/>
      <c r="I421" s="201" t="s">
        <v>191</v>
      </c>
      <c r="J421" s="59" t="str">
        <f>IF(ISBLANK(I421)," ",IF(ISTEXT(I421)," ",IF(I421&lt;=[1]Нормативы!$H$60,"КМС",IF(I421&lt;=[1]Нормативы!$H$61,"КМС",IF(I421&lt;=[1]Нормативы!$L$62,"КМС",IF(I421&lt;=[1]Нормативы!$L$63,"I",IF(I421&lt;=[1]Нормативы!$L$64,"II",IF(I421&lt;=[1]Нормативы!$L$65,"III",IF(I421&lt;=[1]Нормативы!$L$66,"I юн",IF(I421&lt;=[1]Нормативы!$L$67,"II юн",IF(I421&lt;=[1]Нормативы!$L$68,"III юн","б/р")))))))))))</f>
        <v xml:space="preserve"> </v>
      </c>
    </row>
    <row r="422" spans="1:10" x14ac:dyDescent="0.35">
      <c r="A422" s="14"/>
      <c r="B422" s="21"/>
      <c r="C422" s="28"/>
      <c r="E422" s="202"/>
      <c r="F422" s="28"/>
      <c r="G422" s="33"/>
      <c r="H422" s="27"/>
      <c r="I422" s="201"/>
      <c r="J422" s="59"/>
    </row>
    <row r="423" spans="1:10" x14ac:dyDescent="0.35">
      <c r="A423" s="221" t="s">
        <v>476</v>
      </c>
      <c r="B423" s="114"/>
      <c r="C423" s="114"/>
      <c r="E423" s="114"/>
      <c r="F423" s="114"/>
      <c r="G423" s="33"/>
      <c r="H423" s="114"/>
      <c r="I423" s="114"/>
      <c r="J423" s="38"/>
    </row>
    <row r="424" spans="1:10" x14ac:dyDescent="0.35">
      <c r="A424" s="14">
        <v>1</v>
      </c>
      <c r="B424" s="14" t="s">
        <v>6</v>
      </c>
      <c r="C424" s="28" t="s">
        <v>461</v>
      </c>
      <c r="E424" s="205">
        <v>40816</v>
      </c>
      <c r="F424" s="28" t="s">
        <v>245</v>
      </c>
      <c r="G424" s="33"/>
      <c r="H424" s="27"/>
      <c r="I424" s="201">
        <v>203.26</v>
      </c>
      <c r="J424" s="59" t="str">
        <f>IF(ISBLANK(I424)," ",IF(ISTEXT(I424)," ",IF(I424&lt;=[1]Нормативы!$H$115,"КМС",IF(I424&lt;=[1]Нормативы!$H$116,"КМС",IF(I424&lt;=[1]Нормативы!$L$117,"КМС",IF(I424&lt;=[1]Нормативы!$L$118,"I",IF(I424&lt;=[1]Нормативы!$L$119,"II",IF(I424&lt;=[1]Нормативы!$L$120,"III",IF(I424&lt;=[1]Нормативы!$L$121,"I юн",IF(I424&lt;=[1]Нормативы!$L$122,"II юн",IF(I424&lt;=[1]Нормативы!$L$123,"III юн","б/р")))))))))))</f>
        <v>I</v>
      </c>
    </row>
    <row r="425" spans="1:10" x14ac:dyDescent="0.35">
      <c r="A425" s="14">
        <v>2</v>
      </c>
      <c r="B425" s="21" t="s">
        <v>24</v>
      </c>
      <c r="C425" s="28" t="s">
        <v>400</v>
      </c>
      <c r="E425" s="202">
        <v>41186</v>
      </c>
      <c r="F425" s="28" t="s">
        <v>193</v>
      </c>
      <c r="G425" s="33"/>
      <c r="H425" s="27"/>
      <c r="I425" s="201">
        <v>215.88</v>
      </c>
      <c r="J425" s="59" t="str">
        <f>IF(ISBLANK(I425)," ",IF(ISTEXT(I425)," ",IF(I425&lt;=[1]Нормативы!$H$115,"КМС",IF(I425&lt;=[1]Нормативы!$H$116,"КМС",IF(I425&lt;=[1]Нормативы!$L$117,"КМС",IF(I425&lt;=[1]Нормативы!$L$118,"I",IF(I425&lt;=[1]Нормативы!$L$119,"II",IF(I425&lt;=[1]Нормативы!$L$120,"III",IF(I425&lt;=[1]Нормативы!$L$121,"I юн",IF(I425&lt;=[1]Нормативы!$L$122,"II юн",IF(I425&lt;=[1]Нормативы!$L$123,"III юн","б/р")))))))))))</f>
        <v>III</v>
      </c>
    </row>
    <row r="426" spans="1:10" x14ac:dyDescent="0.35">
      <c r="A426" s="14">
        <v>3</v>
      </c>
      <c r="B426" s="21" t="s">
        <v>25</v>
      </c>
      <c r="C426" s="28" t="s">
        <v>408</v>
      </c>
      <c r="E426" s="200">
        <v>40604</v>
      </c>
      <c r="F426" s="28" t="s">
        <v>193</v>
      </c>
      <c r="G426" s="33"/>
      <c r="H426" s="27"/>
      <c r="I426" s="201">
        <v>225.05</v>
      </c>
      <c r="J426" s="59" t="str">
        <f>IF(ISBLANK(I426)," ",IF(ISTEXT(I426)," ",IF(I426&lt;=[1]Нормативы!$H$115,"КМС",IF(I426&lt;=[1]Нормативы!$H$116,"КМС",IF(I426&lt;=[1]Нормативы!$L$117,"КМС",IF(I426&lt;=[1]Нормативы!$L$118,"I",IF(I426&lt;=[1]Нормативы!$L$119,"II",IF(I426&lt;=[1]Нормативы!$L$120,"III",IF(I426&lt;=[1]Нормативы!$L$121,"I юн",IF(I426&lt;=[1]Нормативы!$L$122,"II юн",IF(I426&lt;=[1]Нормативы!$L$123,"III юн","б/р")))))))))))</f>
        <v>III</v>
      </c>
    </row>
    <row r="427" spans="1:10" x14ac:dyDescent="0.35">
      <c r="A427" s="14">
        <v>4</v>
      </c>
      <c r="B427" s="21" t="s">
        <v>25</v>
      </c>
      <c r="C427" s="28" t="s">
        <v>285</v>
      </c>
      <c r="E427" s="202">
        <v>41075</v>
      </c>
      <c r="F427" s="28" t="s">
        <v>198</v>
      </c>
      <c r="G427" s="33"/>
      <c r="H427" s="27"/>
      <c r="I427" s="201">
        <v>229.01</v>
      </c>
      <c r="J427" s="59" t="str">
        <f>IF(ISBLANK(I427)," ",IF(ISTEXT(I427)," ",IF(I427&lt;=[1]Нормативы!$H$115,"КМС",IF(I427&lt;=[1]Нормативы!$H$116,"КМС",IF(I427&lt;=[1]Нормативы!$L$117,"КМС",IF(I427&lt;=[1]Нормативы!$L$118,"I",IF(I427&lt;=[1]Нормативы!$L$119,"II",IF(I427&lt;=[1]Нормативы!$L$120,"III",IF(I427&lt;=[1]Нормативы!$L$121,"I юн",IF(I427&lt;=[1]Нормативы!$L$122,"II юн",IF(I427&lt;=[1]Нормативы!$L$123,"III юн","б/р")))))))))))</f>
        <v>I юн</v>
      </c>
    </row>
    <row r="428" spans="1:10" x14ac:dyDescent="0.35">
      <c r="A428" s="14"/>
      <c r="B428" s="114"/>
      <c r="C428" s="222"/>
      <c r="E428" s="114"/>
      <c r="F428" s="114"/>
      <c r="G428" s="33"/>
      <c r="H428" s="114"/>
      <c r="I428" s="114"/>
      <c r="J428" s="59" t="str">
        <f>IF(ISBLANK(I428)," ",IF(ISTEXT(I428)," ",IF(I428&lt;=[1]Нормативы!$H$115,"КМС",IF(I428&lt;=[1]Нормативы!$H$116,"КМС",IF(I428&lt;=[1]Нормативы!$L$117,"КМС",IF(I428&lt;=[1]Нормативы!$L$118,"I",IF(I428&lt;=[1]Нормативы!$L$119,"II",IF(I428&lt;=[1]Нормативы!$L$120,"III",IF(I428&lt;=[1]Нормативы!$L$121,"I юн",IF(I428&lt;=[1]Нормативы!$L$122,"II юн",IF(I428&lt;=[1]Нормативы!$L$123,"III юн","б/р")))))))))))</f>
        <v xml:space="preserve"> </v>
      </c>
    </row>
    <row r="429" spans="1:10" x14ac:dyDescent="0.35">
      <c r="A429" s="14"/>
      <c r="B429" s="114"/>
      <c r="C429" s="222"/>
      <c r="E429" s="114"/>
      <c r="F429" s="114"/>
      <c r="G429" s="33"/>
      <c r="H429" s="114"/>
      <c r="I429" s="114"/>
      <c r="J429" s="59"/>
    </row>
    <row r="430" spans="1:10" x14ac:dyDescent="0.35">
      <c r="A430" s="14"/>
      <c r="B430" s="114"/>
      <c r="C430" s="222"/>
      <c r="E430" s="114"/>
      <c r="F430" s="114"/>
      <c r="G430" s="33"/>
      <c r="H430" s="114"/>
      <c r="I430" s="114"/>
      <c r="J430" s="59"/>
    </row>
    <row r="431" spans="1:10" x14ac:dyDescent="0.35">
      <c r="A431" s="221" t="s">
        <v>207</v>
      </c>
      <c r="B431" s="114"/>
      <c r="C431" s="114"/>
      <c r="E431" s="114"/>
      <c r="F431" s="114"/>
      <c r="G431" s="33"/>
      <c r="H431" s="114"/>
      <c r="I431" s="127"/>
      <c r="J431" s="59" t="str">
        <f>IF(ISBLANK(I431)," ",IF(ISTEXT(I431)," ",IF(I431&lt;=[1]Нормативы!$H$115,"КМС",IF(I431&lt;=[1]Нормативы!$H$116,"КМС",IF(I431&lt;=[1]Нормативы!$L$117,"КМС",IF(I431&lt;=[1]Нормативы!$L$118,"I",IF(I431&lt;=[1]Нормативы!$L$119,"II",IF(I431&lt;=[1]Нормативы!$L$120,"III",IF(I431&lt;=[1]Нормативы!$L$121,"I юн",IF(I431&lt;=[1]Нормативы!$L$122,"II юн",IF(I431&lt;=[1]Нормативы!$L$123,"III юн","б/р")))))))))))</f>
        <v xml:space="preserve"> </v>
      </c>
    </row>
    <row r="432" spans="1:10" x14ac:dyDescent="0.35">
      <c r="A432" s="14">
        <v>1</v>
      </c>
      <c r="B432" s="14" t="s">
        <v>6</v>
      </c>
      <c r="C432" s="28" t="s">
        <v>463</v>
      </c>
      <c r="E432" s="205">
        <v>41302</v>
      </c>
      <c r="F432" s="28" t="s">
        <v>245</v>
      </c>
      <c r="G432" s="33"/>
      <c r="H432" s="27"/>
      <c r="I432" s="201">
        <v>202.38</v>
      </c>
      <c r="J432" s="59" t="str">
        <f>IF(ISBLANK(I432)," ",IF(ISTEXT(I432)," ",IF(I432&lt;=[1]Нормативы!$H$115,"КМС",IF(I432&lt;=[1]Нормативы!$H$116,"КМС",IF(I432&lt;=[1]Нормативы!$L$117,"КМС",IF(I432&lt;=[1]Нормативы!$L$118,"I",IF(I432&lt;=[1]Нормативы!$L$119,"II",IF(I432&lt;=[1]Нормативы!$L$120,"III",IF(I432&lt;=[1]Нормативы!$L$121,"I юн",IF(I432&lt;=[1]Нормативы!$L$122,"II юн",IF(I432&lt;=[1]Нормативы!$L$123,"III юн","б/р")))))))))))</f>
        <v>I</v>
      </c>
    </row>
    <row r="433" spans="1:10" x14ac:dyDescent="0.35">
      <c r="A433" s="14">
        <v>2</v>
      </c>
      <c r="B433" s="14" t="s">
        <v>24</v>
      </c>
      <c r="C433" s="28" t="s">
        <v>465</v>
      </c>
      <c r="E433" s="205">
        <v>41347</v>
      </c>
      <c r="F433" s="28" t="s">
        <v>245</v>
      </c>
      <c r="G433" s="33"/>
      <c r="H433" s="27"/>
      <c r="I433" s="201">
        <v>215.92</v>
      </c>
      <c r="J433" s="59" t="str">
        <f>IF(ISBLANK(I433)," ",IF(ISTEXT(I433)," ",IF(I433&lt;=[1]Нормативы!$H$115,"КМС",IF(I433&lt;=[1]Нормативы!$H$116,"КМС",IF(I433&lt;=[1]Нормативы!$L$117,"КМС",IF(I433&lt;=[1]Нормативы!$L$118,"I",IF(I433&lt;=[1]Нормативы!$L$119,"II",IF(I433&lt;=[1]Нормативы!$L$120,"III",IF(I433&lt;=[1]Нормативы!$L$121,"I юн",IF(I433&lt;=[1]Нормативы!$L$122,"II юн",IF(I433&lt;=[1]Нормативы!$L$123,"III юн","б/р")))))))))))</f>
        <v>III</v>
      </c>
    </row>
    <row r="434" spans="1:10" x14ac:dyDescent="0.35">
      <c r="A434" s="14">
        <v>3</v>
      </c>
      <c r="B434" s="21" t="s">
        <v>25</v>
      </c>
      <c r="C434" s="28" t="s">
        <v>250</v>
      </c>
      <c r="E434" s="202">
        <v>41666</v>
      </c>
      <c r="F434" s="28" t="s">
        <v>172</v>
      </c>
      <c r="G434" s="33"/>
      <c r="H434" s="27"/>
      <c r="I434" s="201">
        <v>217.19</v>
      </c>
      <c r="J434" s="59" t="str">
        <f>IF(ISBLANK(I434)," ",IF(ISTEXT(I434)," ",IF(I434&lt;=[1]Нормативы!$H$115,"КМС",IF(I434&lt;=[1]Нормативы!$H$116,"КМС",IF(I434&lt;=[1]Нормативы!$L$117,"КМС",IF(I434&lt;=[1]Нормативы!$L$118,"I",IF(I434&lt;=[1]Нормативы!$L$119,"II",IF(I434&lt;=[1]Нормативы!$L$120,"III",IF(I434&lt;=[1]Нормативы!$L$121,"I юн",IF(I434&lt;=[1]Нормативы!$L$122,"II юн",IF(I434&lt;=[1]Нормативы!$L$123,"III юн","б/р")))))))))))</f>
        <v>III</v>
      </c>
    </row>
    <row r="435" spans="1:10" x14ac:dyDescent="0.35">
      <c r="A435" s="14">
        <v>4</v>
      </c>
      <c r="B435" s="14" t="s">
        <v>38</v>
      </c>
      <c r="C435" s="28" t="s">
        <v>276</v>
      </c>
      <c r="E435" s="202">
        <v>41394</v>
      </c>
      <c r="F435" s="28" t="s">
        <v>198</v>
      </c>
      <c r="G435" s="33"/>
      <c r="H435" s="27"/>
      <c r="I435" s="201">
        <v>224.01</v>
      </c>
      <c r="J435" s="59" t="str">
        <f>IF(ISBLANK(I435)," ",IF(ISTEXT(I435)," ",IF(I435&lt;=[1]Нормативы!$H$115,"КМС",IF(I435&lt;=[1]Нормативы!$H$116,"КМС",IF(I435&lt;=[1]Нормативы!$L$117,"КМС",IF(I435&lt;=[1]Нормативы!$L$118,"I",IF(I435&lt;=[1]Нормативы!$L$119,"II",IF(I435&lt;=[1]Нормативы!$L$120,"III",IF(I435&lt;=[1]Нормативы!$L$121,"I юн",IF(I435&lt;=[1]Нормативы!$L$122,"II юн",IF(I435&lt;=[1]Нормативы!$L$123,"III юн","б/р")))))))))))</f>
        <v>III</v>
      </c>
    </row>
    <row r="436" spans="1:10" x14ac:dyDescent="0.35">
      <c r="A436" s="14">
        <v>5</v>
      </c>
      <c r="B436" s="14" t="s">
        <v>38</v>
      </c>
      <c r="C436" s="28" t="s">
        <v>326</v>
      </c>
      <c r="E436" s="202">
        <v>41502</v>
      </c>
      <c r="F436" s="28" t="s">
        <v>198</v>
      </c>
      <c r="G436" s="33"/>
      <c r="H436" s="27"/>
      <c r="I436" s="201">
        <v>225.37</v>
      </c>
      <c r="J436" s="59" t="str">
        <f>IF(ISBLANK(I436)," ",IF(ISTEXT(I436)," ",IF(I436&lt;=[1]Нормативы!$H$115,"КМС",IF(I436&lt;=[1]Нормативы!$H$116,"КМС",IF(I436&lt;=[1]Нормативы!$L$117,"КМС",IF(I436&lt;=[1]Нормативы!$L$118,"I",IF(I436&lt;=[1]Нормативы!$L$119,"II",IF(I436&lt;=[1]Нормативы!$L$120,"III",IF(I436&lt;=[1]Нормативы!$L$121,"I юн",IF(I436&lt;=[1]Нормативы!$L$122,"II юн",IF(I436&lt;=[1]Нормативы!$L$123,"III юн","б/р")))))))))))</f>
        <v>III</v>
      </c>
    </row>
    <row r="437" spans="1:10" x14ac:dyDescent="0.35">
      <c r="A437" s="14">
        <v>6</v>
      </c>
      <c r="B437" s="14" t="s">
        <v>38</v>
      </c>
      <c r="C437" s="28" t="s">
        <v>330</v>
      </c>
      <c r="E437" s="202">
        <v>41354</v>
      </c>
      <c r="F437" s="28" t="s">
        <v>198</v>
      </c>
      <c r="G437" s="33"/>
      <c r="H437" s="27"/>
      <c r="I437" s="201">
        <v>226.05</v>
      </c>
      <c r="J437" s="59" t="str">
        <f>IF(ISBLANK(I437)," ",IF(ISTEXT(I437)," ",IF(I437&lt;=[1]Нормативы!$H$115,"КМС",IF(I437&lt;=[1]Нормативы!$H$116,"КМС",IF(I437&lt;=[1]Нормативы!$L$117,"КМС",IF(I437&lt;=[1]Нормативы!$L$118,"I",IF(I437&lt;=[1]Нормативы!$L$119,"II",IF(I437&lt;=[1]Нормативы!$L$120,"III",IF(I437&lt;=[1]Нормативы!$L$121,"I юн",IF(I437&lt;=[1]Нормативы!$L$122,"II юн",IF(I437&lt;=[1]Нормативы!$L$123,"III юн","б/р")))))))))))</f>
        <v>III</v>
      </c>
    </row>
    <row r="438" spans="1:10" x14ac:dyDescent="0.35">
      <c r="A438" s="14">
        <v>7</v>
      </c>
      <c r="B438" s="21" t="s">
        <v>25</v>
      </c>
      <c r="C438" s="28" t="s">
        <v>280</v>
      </c>
      <c r="E438" s="202">
        <v>41726</v>
      </c>
      <c r="F438" s="28" t="s">
        <v>198</v>
      </c>
      <c r="G438" s="33"/>
      <c r="H438" s="27"/>
      <c r="I438" s="201">
        <v>226.92</v>
      </c>
      <c r="J438" s="59" t="str">
        <f>IF(ISBLANK(I438)," ",IF(ISTEXT(I438)," ",IF(I438&lt;=[1]Нормативы!$H$115,"КМС",IF(I438&lt;=[1]Нормативы!$H$116,"КМС",IF(I438&lt;=[1]Нормативы!$L$117,"КМС",IF(I438&lt;=[1]Нормативы!$L$118,"I",IF(I438&lt;=[1]Нормативы!$L$119,"II",IF(I438&lt;=[1]Нормативы!$L$120,"III",IF(I438&lt;=[1]Нормативы!$L$121,"I юн",IF(I438&lt;=[1]Нормативы!$L$122,"II юн",IF(I438&lt;=[1]Нормативы!$L$123,"III юн","б/р")))))))))))</f>
        <v>I юн</v>
      </c>
    </row>
    <row r="439" spans="1:10" x14ac:dyDescent="0.35">
      <c r="A439" s="14">
        <v>8</v>
      </c>
      <c r="B439" s="14" t="s">
        <v>38</v>
      </c>
      <c r="C439" s="28" t="s">
        <v>329</v>
      </c>
      <c r="E439" s="202">
        <v>41767</v>
      </c>
      <c r="F439" s="28" t="s">
        <v>198</v>
      </c>
      <c r="G439" s="33"/>
      <c r="H439" s="27"/>
      <c r="I439" s="201">
        <v>233.02</v>
      </c>
      <c r="J439" s="59" t="str">
        <f>IF(ISBLANK(I439)," ",IF(ISTEXT(I439)," ",IF(I439&lt;=[1]Нормативы!$H$115,"КМС",IF(I439&lt;=[1]Нормативы!$H$116,"КМС",IF(I439&lt;=[1]Нормативы!$L$117,"КМС",IF(I439&lt;=[1]Нормативы!$L$118,"I",IF(I439&lt;=[1]Нормативы!$L$119,"II",IF(I439&lt;=[1]Нормативы!$L$120,"III",IF(I439&lt;=[1]Нормативы!$L$121,"I юн",IF(I439&lt;=[1]Нормативы!$L$122,"II юн",IF(I439&lt;=[1]Нормативы!$L$123,"III юн","б/р")))))))))))</f>
        <v>I юн</v>
      </c>
    </row>
    <row r="440" spans="1:10" x14ac:dyDescent="0.35">
      <c r="A440" s="14">
        <v>9</v>
      </c>
      <c r="B440" s="14" t="s">
        <v>22</v>
      </c>
      <c r="C440" s="28" t="s">
        <v>286</v>
      </c>
      <c r="E440" s="202">
        <v>41810</v>
      </c>
      <c r="F440" s="28" t="s">
        <v>198</v>
      </c>
      <c r="G440" s="33"/>
      <c r="H440" s="27"/>
      <c r="I440" s="201">
        <v>240.66</v>
      </c>
      <c r="J440" s="59" t="str">
        <f>IF(ISBLANK(I440)," ",IF(ISTEXT(I440)," ",IF(I440&lt;=[1]Нормативы!$H$115,"КМС",IF(I440&lt;=[1]Нормативы!$H$116,"КМС",IF(I440&lt;=[1]Нормативы!$L$117,"КМС",IF(I440&lt;=[1]Нормативы!$L$118,"I",IF(I440&lt;=[1]Нормативы!$L$119,"II",IF(I440&lt;=[1]Нормативы!$L$120,"III",IF(I440&lt;=[1]Нормативы!$L$121,"I юн",IF(I440&lt;=[1]Нормативы!$L$122,"II юн",IF(I440&lt;=[1]Нормативы!$L$123,"III юн","б/р")))))))))))</f>
        <v>I юн</v>
      </c>
    </row>
    <row r="441" spans="1:10" x14ac:dyDescent="0.35">
      <c r="A441" s="14">
        <v>10</v>
      </c>
      <c r="B441" s="14" t="s">
        <v>22</v>
      </c>
      <c r="C441" s="28" t="s">
        <v>322</v>
      </c>
      <c r="E441" s="202">
        <v>41584</v>
      </c>
      <c r="F441" s="28" t="s">
        <v>198</v>
      </c>
      <c r="G441" s="33"/>
      <c r="H441" s="27"/>
      <c r="I441" s="201">
        <v>248.32</v>
      </c>
      <c r="J441" s="59" t="str">
        <f>IF(ISBLANK(I441)," ",IF(ISTEXT(I441)," ",IF(I441&lt;=[1]Нормативы!$H$115,"КМС",IF(I441&lt;=[1]Нормативы!$H$116,"КМС",IF(I441&lt;=[1]Нормативы!$L$117,"КМС",IF(I441&lt;=[1]Нормативы!$L$118,"I",IF(I441&lt;=[1]Нормативы!$L$119,"II",IF(I441&lt;=[1]Нормативы!$L$120,"III",IF(I441&lt;=[1]Нормативы!$L$121,"I юн",IF(I441&lt;=[1]Нормативы!$L$122,"II юн",IF(I441&lt;=[1]Нормативы!$L$123,"III юн","б/р")))))))))))</f>
        <v>II юн</v>
      </c>
    </row>
    <row r="442" spans="1:10" x14ac:dyDescent="0.35">
      <c r="A442" s="14"/>
      <c r="B442" s="114"/>
      <c r="C442" s="222"/>
      <c r="E442" s="114"/>
      <c r="F442" s="114"/>
      <c r="G442" s="33"/>
      <c r="H442" s="114"/>
      <c r="I442" s="127"/>
      <c r="J442" s="59" t="str">
        <f>IF(ISBLANK(I442)," ",IF(ISTEXT(I442)," ",IF(I442&lt;=[1]Нормативы!$H$115,"КМС",IF(I442&lt;=[1]Нормативы!$H$116,"КМС",IF(I442&lt;=[1]Нормативы!$L$117,"КМС",IF(I442&lt;=[1]Нормативы!$L$118,"I",IF(I442&lt;=[1]Нормативы!$L$119,"II",IF(I442&lt;=[1]Нормативы!$L$120,"III",IF(I442&lt;=[1]Нормативы!$L$121,"I юн",IF(I442&lt;=[1]Нормативы!$L$122,"II юн",IF(I442&lt;=[1]Нормативы!$L$123,"III юн","б/р")))))))))))</f>
        <v xml:space="preserve"> </v>
      </c>
    </row>
    <row r="443" spans="1:10" x14ac:dyDescent="0.35">
      <c r="A443" s="221" t="s">
        <v>477</v>
      </c>
      <c r="B443" s="21"/>
      <c r="C443" s="28"/>
      <c r="E443" s="202"/>
      <c r="F443" s="28"/>
      <c r="G443" s="33"/>
      <c r="H443" s="27"/>
      <c r="I443" s="201"/>
      <c r="J443" s="38"/>
    </row>
    <row r="444" spans="1:10" x14ac:dyDescent="0.35">
      <c r="A444" s="14">
        <v>1</v>
      </c>
      <c r="B444" s="21" t="s">
        <v>6</v>
      </c>
      <c r="C444" s="28" t="s">
        <v>258</v>
      </c>
      <c r="E444" s="205">
        <v>40652</v>
      </c>
      <c r="F444" s="28" t="s">
        <v>172</v>
      </c>
      <c r="G444" s="33"/>
      <c r="H444" s="27"/>
      <c r="I444" s="201">
        <v>145.31</v>
      </c>
      <c r="J444" s="59" t="str">
        <f>IF(ISBLANK(I444)," ",IF(ISTEXT(I444)," ",IF(I444&lt;=[1]Нормативы!$H$126,"КМС",IF(I444&lt;=[1]Нормативы!$H$127,"КМС",IF(I444&lt;=[1]Нормативы!$L$128,"КМС",IF(I444&lt;=[1]Нормативы!$L$129,"I",IF(I444&lt;=[1]Нормативы!$L$130,"II",IF(I444&lt;=[1]Нормативы!$L$131,"III",IF(I444&lt;=[1]Нормативы!$L$132,"I юн",IF(I444&lt;=[1]Нормативы!$L$133,"II юн",IF(I444&lt;=[1]Нормативы!$L$134,"III юн","б/р")))))))))))</f>
        <v>I</v>
      </c>
    </row>
    <row r="445" spans="1:10" x14ac:dyDescent="0.35">
      <c r="A445" s="14">
        <v>2</v>
      </c>
      <c r="B445" s="207" t="s">
        <v>6</v>
      </c>
      <c r="C445" s="28" t="s">
        <v>413</v>
      </c>
      <c r="E445" s="205">
        <v>40456</v>
      </c>
      <c r="F445" s="28" t="s">
        <v>193</v>
      </c>
      <c r="G445" s="33"/>
      <c r="H445" s="27"/>
      <c r="I445" s="201">
        <v>150.18</v>
      </c>
      <c r="J445" s="59" t="str">
        <f>IF(ISBLANK(I445)," ",IF(ISTEXT(I445)," ",IF(I445&lt;=[1]Нормативы!$H$126,"КМС",IF(I445&lt;=[1]Нормативы!$H$127,"КМС",IF(I445&lt;=[1]Нормативы!$L$128,"КМС",IF(I445&lt;=[1]Нормативы!$L$129,"I",IF(I445&lt;=[1]Нормативы!$L$130,"II",IF(I445&lt;=[1]Нормативы!$L$131,"III",IF(I445&lt;=[1]Нормативы!$L$132,"I юн",IF(I445&lt;=[1]Нормативы!$L$133,"II юн",IF(I445&lt;=[1]Нормативы!$L$134,"III юн","б/р")))))))))))</f>
        <v>I</v>
      </c>
    </row>
    <row r="446" spans="1:10" x14ac:dyDescent="0.35">
      <c r="A446" s="14">
        <v>3</v>
      </c>
      <c r="B446" s="21" t="s">
        <v>26</v>
      </c>
      <c r="C446" s="28" t="s">
        <v>353</v>
      </c>
      <c r="E446" s="202">
        <v>41108</v>
      </c>
      <c r="F446" s="28" t="s">
        <v>198</v>
      </c>
      <c r="G446" s="33"/>
      <c r="H446" s="27"/>
      <c r="I446" s="201">
        <v>152.29</v>
      </c>
      <c r="J446" s="59" t="str">
        <f>IF(ISBLANK(I446)," ",IF(ISTEXT(I446)," ",IF(I446&lt;=[1]Нормативы!$H$126,"КМС",IF(I446&lt;=[1]Нормативы!$H$127,"КМС",IF(I446&lt;=[1]Нормативы!$L$128,"КМС",IF(I446&lt;=[1]Нормативы!$L$129,"I",IF(I446&lt;=[1]Нормативы!$L$130,"II",IF(I446&lt;=[1]Нормативы!$L$131,"III",IF(I446&lt;=[1]Нормативы!$L$132,"I юн",IF(I446&lt;=[1]Нормативы!$L$133,"II юн",IF(I446&lt;=[1]Нормативы!$L$134,"III юн","б/р")))))))))))</f>
        <v>I</v>
      </c>
    </row>
    <row r="447" spans="1:10" x14ac:dyDescent="0.35">
      <c r="A447" s="14">
        <v>4</v>
      </c>
      <c r="B447" s="21" t="s">
        <v>24</v>
      </c>
      <c r="C447" s="28" t="s">
        <v>257</v>
      </c>
      <c r="E447" s="202">
        <v>40381</v>
      </c>
      <c r="F447" s="28" t="s">
        <v>172</v>
      </c>
      <c r="G447" s="33"/>
      <c r="H447" s="27"/>
      <c r="I447" s="201">
        <v>154.74</v>
      </c>
      <c r="J447" s="59" t="str">
        <f>IF(ISBLANK(I447)," ",IF(ISTEXT(I447)," ",IF(I447&lt;=[1]Нормативы!$H$126,"КМС",IF(I447&lt;=[1]Нормативы!$H$127,"КМС",IF(I447&lt;=[1]Нормативы!$L$128,"КМС",IF(I447&lt;=[1]Нормативы!$L$129,"I",IF(I447&lt;=[1]Нормативы!$L$130,"II",IF(I447&lt;=[1]Нормативы!$L$131,"III",IF(I447&lt;=[1]Нормативы!$L$132,"I юн",IF(I447&lt;=[1]Нормативы!$L$133,"II юн",IF(I447&lt;=[1]Нормативы!$L$134,"III юн","б/р")))))))))))</f>
        <v>II</v>
      </c>
    </row>
    <row r="448" spans="1:10" x14ac:dyDescent="0.35">
      <c r="A448" s="14">
        <v>5</v>
      </c>
      <c r="B448" s="14" t="s">
        <v>6</v>
      </c>
      <c r="C448" s="28" t="s">
        <v>372</v>
      </c>
      <c r="E448" s="202">
        <v>40419</v>
      </c>
      <c r="F448" s="28" t="s">
        <v>198</v>
      </c>
      <c r="G448" s="33"/>
      <c r="H448" s="27"/>
      <c r="I448" s="201">
        <v>157.9</v>
      </c>
      <c r="J448" s="59" t="str">
        <f>IF(ISBLANK(I448)," ",IF(ISTEXT(I448)," ",IF(I448&lt;=[1]Нормативы!$H$126,"КМС",IF(I448&lt;=[1]Нормативы!$H$127,"КМС",IF(I448&lt;=[1]Нормативы!$L$128,"КМС",IF(I448&lt;=[1]Нормативы!$L$129,"I",IF(I448&lt;=[1]Нормативы!$L$130,"II",IF(I448&lt;=[1]Нормативы!$L$131,"III",IF(I448&lt;=[1]Нормативы!$L$132,"I юн",IF(I448&lt;=[1]Нормативы!$L$133,"II юн",IF(I448&lt;=[1]Нормативы!$L$134,"III юн","б/р")))))))))))</f>
        <v>II</v>
      </c>
    </row>
    <row r="449" spans="1:10" x14ac:dyDescent="0.35">
      <c r="A449" s="14">
        <v>6</v>
      </c>
      <c r="B449" s="14" t="s">
        <v>24</v>
      </c>
      <c r="C449" s="28" t="s">
        <v>364</v>
      </c>
      <c r="E449" s="202">
        <v>41027</v>
      </c>
      <c r="F449" s="28" t="s">
        <v>198</v>
      </c>
      <c r="G449" s="33"/>
      <c r="H449" s="27"/>
      <c r="I449" s="201">
        <v>200.88</v>
      </c>
      <c r="J449" s="59" t="str">
        <f>IF(ISBLANK(I449)," ",IF(ISTEXT(I449)," ",IF(I449&lt;=[1]Нормативы!$H$126,"КМС",IF(I449&lt;=[1]Нормативы!$H$127,"КМС",IF(I449&lt;=[1]Нормативы!$L$128,"КМС",IF(I449&lt;=[1]Нормативы!$L$129,"I",IF(I449&lt;=[1]Нормативы!$L$130,"II",IF(I449&lt;=[1]Нормативы!$L$131,"III",IF(I449&lt;=[1]Нормативы!$L$132,"I юн",IF(I449&lt;=[1]Нормативы!$L$133,"II юн",IF(I449&lt;=[1]Нормативы!$L$134,"III юн","б/р")))))))))))</f>
        <v>II</v>
      </c>
    </row>
    <row r="450" spans="1:10" x14ac:dyDescent="0.35">
      <c r="A450" s="14">
        <v>7</v>
      </c>
      <c r="B450" s="14" t="s">
        <v>6</v>
      </c>
      <c r="C450" s="28" t="s">
        <v>301</v>
      </c>
      <c r="E450" s="202">
        <v>40526</v>
      </c>
      <c r="F450" s="28" t="s">
        <v>198</v>
      </c>
      <c r="G450" s="33"/>
      <c r="H450" s="27"/>
      <c r="I450" s="201">
        <v>201.48</v>
      </c>
      <c r="J450" s="59" t="str">
        <f>IF(ISBLANK(I450)," ",IF(ISTEXT(I450)," ",IF(I450&lt;=[1]Нормативы!$H$126,"КМС",IF(I450&lt;=[1]Нормативы!$H$127,"КМС",IF(I450&lt;=[1]Нормативы!$L$128,"КМС",IF(I450&lt;=[1]Нормативы!$L$129,"I",IF(I450&lt;=[1]Нормативы!$L$130,"II",IF(I450&lt;=[1]Нормативы!$L$131,"III",IF(I450&lt;=[1]Нормативы!$L$132,"I юн",IF(I450&lt;=[1]Нормативы!$L$133,"II юн",IF(I450&lt;=[1]Нормативы!$L$134,"III юн","б/р")))))))))))</f>
        <v>II</v>
      </c>
    </row>
    <row r="451" spans="1:10" x14ac:dyDescent="0.35">
      <c r="A451" s="14">
        <v>8</v>
      </c>
      <c r="B451" s="14" t="s">
        <v>24</v>
      </c>
      <c r="C451" s="28" t="s">
        <v>302</v>
      </c>
      <c r="E451" s="202">
        <v>41145</v>
      </c>
      <c r="F451" s="28" t="s">
        <v>198</v>
      </c>
      <c r="G451" s="33"/>
      <c r="H451" s="27"/>
      <c r="I451" s="201">
        <v>203.87</v>
      </c>
      <c r="J451" s="59" t="str">
        <f>IF(ISBLANK(I451)," ",IF(ISTEXT(I451)," ",IF(I451&lt;=[1]Нормативы!$H$126,"КМС",IF(I451&lt;=[1]Нормативы!$H$127,"КМС",IF(I451&lt;=[1]Нормативы!$L$128,"КМС",IF(I451&lt;=[1]Нормативы!$L$129,"I",IF(I451&lt;=[1]Нормативы!$L$130,"II",IF(I451&lt;=[1]Нормативы!$L$131,"III",IF(I451&lt;=[1]Нормативы!$L$132,"I юн",IF(I451&lt;=[1]Нормативы!$L$133,"II юн",IF(I451&lt;=[1]Нормативы!$L$134,"III юн","б/р")))))))))))</f>
        <v>III</v>
      </c>
    </row>
    <row r="452" spans="1:10" x14ac:dyDescent="0.35">
      <c r="A452" s="14">
        <v>9</v>
      </c>
      <c r="B452" s="14" t="s">
        <v>25</v>
      </c>
      <c r="C452" s="28" t="s">
        <v>466</v>
      </c>
      <c r="E452" s="205">
        <v>41113</v>
      </c>
      <c r="F452" s="28" t="s">
        <v>245</v>
      </c>
      <c r="G452" s="33"/>
      <c r="H452" s="27"/>
      <c r="I452" s="201">
        <v>205.3</v>
      </c>
      <c r="J452" s="59" t="str">
        <f>IF(ISBLANK(I452)," ",IF(ISTEXT(I452)," ",IF(I452&lt;=[1]Нормативы!$H$126,"КМС",IF(I452&lt;=[1]Нормативы!$H$127,"КМС",IF(I452&lt;=[1]Нормативы!$L$128,"КМС",IF(I452&lt;=[1]Нормативы!$L$129,"I",IF(I452&lt;=[1]Нормативы!$L$130,"II",IF(I452&lt;=[1]Нормативы!$L$131,"III",IF(I452&lt;=[1]Нормативы!$L$132,"I юн",IF(I452&lt;=[1]Нормативы!$L$133,"II юн",IF(I452&lt;=[1]Нормативы!$L$134,"III юн","б/р")))))))))))</f>
        <v>III</v>
      </c>
    </row>
    <row r="453" spans="1:10" x14ac:dyDescent="0.35">
      <c r="A453" s="14">
        <v>10</v>
      </c>
      <c r="B453" s="14" t="s">
        <v>24</v>
      </c>
      <c r="C453" s="28" t="s">
        <v>369</v>
      </c>
      <c r="E453" s="202">
        <v>40384</v>
      </c>
      <c r="F453" s="28" t="s">
        <v>198</v>
      </c>
      <c r="G453" s="33"/>
      <c r="H453" s="27"/>
      <c r="I453" s="201">
        <v>209.25</v>
      </c>
      <c r="J453" s="59" t="str">
        <f>IF(ISBLANK(I453)," ",IF(ISTEXT(I453)," ",IF(I453&lt;=[1]Нормативы!$H$126,"КМС",IF(I453&lt;=[1]Нормативы!$H$127,"КМС",IF(I453&lt;=[1]Нормативы!$L$128,"КМС",IF(I453&lt;=[1]Нормативы!$L$129,"I",IF(I453&lt;=[1]Нормативы!$L$130,"II",IF(I453&lt;=[1]Нормативы!$L$131,"III",IF(I453&lt;=[1]Нормативы!$L$132,"I юн",IF(I453&lt;=[1]Нормативы!$L$133,"II юн",IF(I453&lt;=[1]Нормативы!$L$134,"III юн","б/р")))))))))))</f>
        <v>III</v>
      </c>
    </row>
    <row r="454" spans="1:10" x14ac:dyDescent="0.35">
      <c r="A454" s="14">
        <v>11</v>
      </c>
      <c r="B454" s="14" t="s">
        <v>25</v>
      </c>
      <c r="C454" s="28" t="s">
        <v>300</v>
      </c>
      <c r="E454" s="202">
        <v>40480</v>
      </c>
      <c r="F454" s="28" t="s">
        <v>198</v>
      </c>
      <c r="G454" s="33"/>
      <c r="H454" s="27"/>
      <c r="I454" s="201">
        <v>209.86</v>
      </c>
      <c r="J454" s="59" t="str">
        <f>IF(ISBLANK(I454)," ",IF(ISTEXT(I454)," ",IF(I454&lt;=[1]Нормативы!$H$126,"КМС",IF(I454&lt;=[1]Нормативы!$H$127,"КМС",IF(I454&lt;=[1]Нормативы!$L$128,"КМС",IF(I454&lt;=[1]Нормативы!$L$129,"I",IF(I454&lt;=[1]Нормативы!$L$130,"II",IF(I454&lt;=[1]Нормативы!$L$131,"III",IF(I454&lt;=[1]Нормативы!$L$132,"I юн",IF(I454&lt;=[1]Нормативы!$L$133,"II юн",IF(I454&lt;=[1]Нормативы!$L$134,"III юн","б/р")))))))))))</f>
        <v>III</v>
      </c>
    </row>
    <row r="455" spans="1:10" x14ac:dyDescent="0.35">
      <c r="A455" s="14">
        <v>12</v>
      </c>
      <c r="B455" s="14" t="s">
        <v>38</v>
      </c>
      <c r="C455" s="28" t="s">
        <v>418</v>
      </c>
      <c r="E455" s="205">
        <v>40818</v>
      </c>
      <c r="F455" s="28" t="s">
        <v>176</v>
      </c>
      <c r="G455" s="33"/>
      <c r="H455" s="27"/>
      <c r="I455" s="201">
        <v>212.07</v>
      </c>
      <c r="J455" s="59" t="str">
        <f>IF(ISBLANK(I455)," ",IF(ISTEXT(I455)," ",IF(I455&lt;=[1]Нормативы!$H$126,"КМС",IF(I455&lt;=[1]Нормативы!$H$127,"КМС",IF(I455&lt;=[1]Нормативы!$L$128,"КМС",IF(I455&lt;=[1]Нормативы!$L$129,"I",IF(I455&lt;=[1]Нормативы!$L$130,"II",IF(I455&lt;=[1]Нормативы!$L$131,"III",IF(I455&lt;=[1]Нормативы!$L$132,"I юн",IF(I455&lt;=[1]Нормативы!$L$133,"II юн",IF(I455&lt;=[1]Нормативы!$L$134,"III юн","б/р")))))))))))</f>
        <v>III</v>
      </c>
    </row>
    <row r="456" spans="1:10" x14ac:dyDescent="0.35">
      <c r="A456" s="14">
        <v>13</v>
      </c>
      <c r="B456" s="21" t="s">
        <v>25</v>
      </c>
      <c r="C456" s="28" t="s">
        <v>417</v>
      </c>
      <c r="E456" s="205">
        <v>40551</v>
      </c>
      <c r="F456" s="28" t="s">
        <v>176</v>
      </c>
      <c r="G456" s="33"/>
      <c r="H456" s="27"/>
      <c r="I456" s="201">
        <v>212.47</v>
      </c>
      <c r="J456" s="59" t="str">
        <f>IF(ISBLANK(I456)," ",IF(ISTEXT(I456)," ",IF(I456&lt;=[1]Нормативы!$H$126,"КМС",IF(I456&lt;=[1]Нормативы!$H$127,"КМС",IF(I456&lt;=[1]Нормативы!$L$128,"КМС",IF(I456&lt;=[1]Нормативы!$L$129,"I",IF(I456&lt;=[1]Нормативы!$L$130,"II",IF(I456&lt;=[1]Нормативы!$L$131,"III",IF(I456&lt;=[1]Нормативы!$L$132,"I юн",IF(I456&lt;=[1]Нормативы!$L$133,"II юн",IF(I456&lt;=[1]Нормативы!$L$134,"III юн","б/р")))))))))))</f>
        <v>III</v>
      </c>
    </row>
    <row r="457" spans="1:10" x14ac:dyDescent="0.35">
      <c r="A457" s="14">
        <v>14</v>
      </c>
      <c r="B457" s="14" t="s">
        <v>22</v>
      </c>
      <c r="C457" s="28" t="s">
        <v>363</v>
      </c>
      <c r="E457" s="202">
        <v>41261</v>
      </c>
      <c r="F457" s="28" t="s">
        <v>198</v>
      </c>
      <c r="G457" s="33"/>
      <c r="H457" s="27"/>
      <c r="I457" s="201">
        <v>213.31</v>
      </c>
      <c r="J457" s="59" t="str">
        <f>IF(ISBLANK(I457)," ",IF(ISTEXT(I457)," ",IF(I457&lt;=[1]Нормативы!$H$126,"КМС",IF(I457&lt;=[1]Нормативы!$H$127,"КМС",IF(I457&lt;=[1]Нормативы!$L$128,"КМС",IF(I457&lt;=[1]Нормативы!$L$129,"I",IF(I457&lt;=[1]Нормативы!$L$130,"II",IF(I457&lt;=[1]Нормативы!$L$131,"III",IF(I457&lt;=[1]Нормативы!$L$132,"I юн",IF(I457&lt;=[1]Нормативы!$L$133,"II юн",IF(I457&lt;=[1]Нормативы!$L$134,"III юн","б/р")))))))))))</f>
        <v>I юн</v>
      </c>
    </row>
    <row r="458" spans="1:10" x14ac:dyDescent="0.35">
      <c r="A458" s="14">
        <v>15</v>
      </c>
      <c r="B458" s="21" t="s">
        <v>25</v>
      </c>
      <c r="C458" s="28" t="s">
        <v>420</v>
      </c>
      <c r="E458" s="205">
        <v>40697</v>
      </c>
      <c r="F458" s="28" t="s">
        <v>176</v>
      </c>
      <c r="G458" s="33"/>
      <c r="H458" s="27"/>
      <c r="I458" s="201">
        <v>215.83</v>
      </c>
      <c r="J458" s="59" t="str">
        <f>IF(ISBLANK(I458)," ",IF(ISTEXT(I458)," ",IF(I458&lt;=[1]Нормативы!$H$126,"КМС",IF(I458&lt;=[1]Нормативы!$H$127,"КМС",IF(I458&lt;=[1]Нормативы!$L$128,"КМС",IF(I458&lt;=[1]Нормативы!$L$129,"I",IF(I458&lt;=[1]Нормативы!$L$130,"II",IF(I458&lt;=[1]Нормативы!$L$131,"III",IF(I458&lt;=[1]Нормативы!$L$132,"I юн",IF(I458&lt;=[1]Нормативы!$L$133,"II юн",IF(I458&lt;=[1]Нормативы!$L$134,"III юн","б/р")))))))))))</f>
        <v>I юн</v>
      </c>
    </row>
    <row r="459" spans="1:10" x14ac:dyDescent="0.35">
      <c r="A459" s="14">
        <v>16</v>
      </c>
      <c r="B459" s="21" t="s">
        <v>38</v>
      </c>
      <c r="C459" s="28" t="s">
        <v>497</v>
      </c>
      <c r="E459" s="202">
        <v>40653</v>
      </c>
      <c r="F459" s="28" t="s">
        <v>198</v>
      </c>
      <c r="G459" s="33"/>
      <c r="H459" s="27"/>
      <c r="I459" s="201">
        <v>217.57</v>
      </c>
      <c r="J459" s="59" t="str">
        <f>IF(ISBLANK(I459)," ",IF(ISTEXT(I459)," ",IF(I459&lt;=[1]Нормативы!$H$126,"КМС",IF(I459&lt;=[1]Нормативы!$H$127,"КМС",IF(I459&lt;=[1]Нормативы!$L$128,"КМС",IF(I459&lt;=[1]Нормативы!$L$129,"I",IF(I459&lt;=[1]Нормативы!$L$130,"II",IF(I459&lt;=[1]Нормативы!$L$131,"III",IF(I459&lt;=[1]Нормативы!$L$132,"I юн",IF(I459&lt;=[1]Нормативы!$L$133,"II юн",IF(I459&lt;=[1]Нормативы!$L$134,"III юн","б/р")))))))))))</f>
        <v>I юн</v>
      </c>
    </row>
    <row r="460" spans="1:10" x14ac:dyDescent="0.35">
      <c r="A460" s="14">
        <v>17</v>
      </c>
      <c r="B460" s="14" t="s">
        <v>38</v>
      </c>
      <c r="C460" s="28" t="s">
        <v>467</v>
      </c>
      <c r="E460" s="205">
        <v>41200</v>
      </c>
      <c r="F460" s="28" t="s">
        <v>245</v>
      </c>
      <c r="G460" s="33"/>
      <c r="H460" s="27"/>
      <c r="I460" s="201">
        <v>218.06</v>
      </c>
      <c r="J460" s="59" t="str">
        <f>IF(ISBLANK(I460)," ",IF(ISTEXT(I460)," ",IF(I460&lt;=[1]Нормативы!$H$126,"КМС",IF(I460&lt;=[1]Нормативы!$H$127,"КМС",IF(I460&lt;=[1]Нормативы!$L$128,"КМС",IF(I460&lt;=[1]Нормативы!$L$129,"I",IF(I460&lt;=[1]Нормативы!$L$130,"II",IF(I460&lt;=[1]Нормативы!$L$131,"III",IF(I460&lt;=[1]Нормативы!$L$132,"I юн",IF(I460&lt;=[1]Нормативы!$L$133,"II юн",IF(I460&lt;=[1]Нормативы!$L$134,"III юн","б/р")))))))))))</f>
        <v>I юн</v>
      </c>
    </row>
    <row r="461" spans="1:10" x14ac:dyDescent="0.35">
      <c r="A461" s="14">
        <v>18</v>
      </c>
      <c r="B461" s="14" t="s">
        <v>38</v>
      </c>
      <c r="C461" s="28" t="s">
        <v>470</v>
      </c>
      <c r="E461" s="205">
        <v>41061</v>
      </c>
      <c r="F461" s="28" t="s">
        <v>245</v>
      </c>
      <c r="G461" s="33"/>
      <c r="H461" s="27"/>
      <c r="I461" s="201">
        <v>220.85</v>
      </c>
      <c r="J461" s="59" t="str">
        <f>IF(ISBLANK(I461)," ",IF(ISTEXT(I461)," ",IF(I461&lt;=[1]Нормативы!$H$126,"КМС",IF(I461&lt;=[1]Нормативы!$H$127,"КМС",IF(I461&lt;=[1]Нормативы!$L$128,"КМС",IF(I461&lt;=[1]Нормативы!$L$129,"I",IF(I461&lt;=[1]Нормативы!$L$130,"II",IF(I461&lt;=[1]Нормативы!$L$131,"III",IF(I461&lt;=[1]Нормативы!$L$132,"I юн",IF(I461&lt;=[1]Нормативы!$L$133,"II юн",IF(I461&lt;=[1]Нормативы!$L$134,"III юн","б/р")))))))))))</f>
        <v>I юн</v>
      </c>
    </row>
    <row r="462" spans="1:10" x14ac:dyDescent="0.35">
      <c r="A462" s="14">
        <v>19</v>
      </c>
      <c r="B462" s="14" t="s">
        <v>22</v>
      </c>
      <c r="C462" s="28" t="s">
        <v>290</v>
      </c>
      <c r="E462" s="202">
        <v>41117</v>
      </c>
      <c r="F462" s="28" t="s">
        <v>198</v>
      </c>
      <c r="G462" s="33"/>
      <c r="H462" s="27"/>
      <c r="I462" s="201">
        <v>220.9</v>
      </c>
      <c r="J462" s="59" t="str">
        <f>IF(ISBLANK(I462)," ",IF(ISTEXT(I462)," ",IF(I462&lt;=[1]Нормативы!$H$126,"КМС",IF(I462&lt;=[1]Нормативы!$H$127,"КМС",IF(I462&lt;=[1]Нормативы!$L$128,"КМС",IF(I462&lt;=[1]Нормативы!$L$129,"I",IF(I462&lt;=[1]Нормативы!$L$130,"II",IF(I462&lt;=[1]Нормативы!$L$131,"III",IF(I462&lt;=[1]Нормативы!$L$132,"I юн",IF(I462&lt;=[1]Нормативы!$L$133,"II юн",IF(I462&lt;=[1]Нормативы!$L$134,"III юн","б/р")))))))))))</f>
        <v>I юн</v>
      </c>
    </row>
    <row r="463" spans="1:10" x14ac:dyDescent="0.35">
      <c r="A463" s="14">
        <v>20</v>
      </c>
      <c r="B463" s="14" t="s">
        <v>22</v>
      </c>
      <c r="C463" s="28" t="s">
        <v>288</v>
      </c>
      <c r="E463" s="202">
        <v>41170</v>
      </c>
      <c r="F463" s="28" t="s">
        <v>198</v>
      </c>
      <c r="G463" s="33"/>
      <c r="H463" s="27"/>
      <c r="I463" s="201">
        <v>224.19</v>
      </c>
      <c r="J463" s="59" t="str">
        <f>IF(ISBLANK(I463)," ",IF(ISTEXT(I463)," ",IF(I463&lt;=[1]Нормативы!$H$126,"КМС",IF(I463&lt;=[1]Нормативы!$H$127,"КМС",IF(I463&lt;=[1]Нормативы!$L$128,"КМС",IF(I463&lt;=[1]Нормативы!$L$129,"I",IF(I463&lt;=[1]Нормативы!$L$130,"II",IF(I463&lt;=[1]Нормативы!$L$131,"III",IF(I463&lt;=[1]Нормативы!$L$132,"I юн",IF(I463&lt;=[1]Нормативы!$L$133,"II юн",IF(I463&lt;=[1]Нормативы!$L$134,"III юн","б/р")))))))))))</f>
        <v>I юн</v>
      </c>
    </row>
    <row r="464" spans="1:10" x14ac:dyDescent="0.35">
      <c r="A464" s="14">
        <v>21</v>
      </c>
      <c r="B464" s="14" t="s">
        <v>38</v>
      </c>
      <c r="C464" s="28" t="s">
        <v>295</v>
      </c>
      <c r="E464" s="202">
        <v>41062</v>
      </c>
      <c r="F464" s="28" t="s">
        <v>198</v>
      </c>
      <c r="G464" s="33"/>
      <c r="H464" s="27"/>
      <c r="I464" s="201">
        <v>224.94</v>
      </c>
      <c r="J464" s="59" t="str">
        <f>IF(ISBLANK(I464)," ",IF(ISTEXT(I464)," ",IF(I464&lt;=[1]Нормативы!$H$126,"КМС",IF(I464&lt;=[1]Нормативы!$H$127,"КМС",IF(I464&lt;=[1]Нормативы!$L$128,"КМС",IF(I464&lt;=[1]Нормативы!$L$129,"I",IF(I464&lt;=[1]Нормативы!$L$130,"II",IF(I464&lt;=[1]Нормативы!$L$131,"III",IF(I464&lt;=[1]Нормативы!$L$132,"I юн",IF(I464&lt;=[1]Нормативы!$L$133,"II юн",IF(I464&lt;=[1]Нормативы!$L$134,"III юн","б/р")))))))))))</f>
        <v>I юн</v>
      </c>
    </row>
    <row r="465" spans="1:10" x14ac:dyDescent="0.35">
      <c r="A465" s="14">
        <v>22</v>
      </c>
      <c r="B465" s="14" t="s">
        <v>38</v>
      </c>
      <c r="C465" s="28" t="s">
        <v>424</v>
      </c>
      <c r="E465" s="205">
        <v>41139</v>
      </c>
      <c r="F465" s="28" t="s">
        <v>176</v>
      </c>
      <c r="G465" s="33"/>
      <c r="H465" s="27"/>
      <c r="I465" s="201">
        <v>225.94</v>
      </c>
      <c r="J465" s="59" t="str">
        <f>IF(ISBLANK(I465)," ",IF(ISTEXT(I465)," ",IF(I465&lt;=[1]Нормативы!$H$126,"КМС",IF(I465&lt;=[1]Нормативы!$H$127,"КМС",IF(I465&lt;=[1]Нормативы!$L$128,"КМС",IF(I465&lt;=[1]Нормативы!$L$129,"I",IF(I465&lt;=[1]Нормативы!$L$130,"II",IF(I465&lt;=[1]Нормативы!$L$131,"III",IF(I465&lt;=[1]Нормативы!$L$132,"I юн",IF(I465&lt;=[1]Нормативы!$L$133,"II юн",IF(I465&lt;=[1]Нормативы!$L$134,"III юн","б/р")))))))))))</f>
        <v>II юн</v>
      </c>
    </row>
    <row r="466" spans="1:10" x14ac:dyDescent="0.35">
      <c r="A466" s="14">
        <v>23</v>
      </c>
      <c r="B466" s="21" t="s">
        <v>26</v>
      </c>
      <c r="C466" s="28" t="s">
        <v>351</v>
      </c>
      <c r="E466" s="202">
        <v>41177</v>
      </c>
      <c r="F466" s="28" t="s">
        <v>198</v>
      </c>
      <c r="G466" s="33"/>
      <c r="H466" s="27"/>
      <c r="I466" s="201">
        <v>238.16</v>
      </c>
      <c r="J466" s="59" t="str">
        <f>IF(ISBLANK(I466)," ",IF(ISTEXT(I466)," ",IF(I466&lt;=[1]Нормативы!$H$126,"КМС",IF(I466&lt;=[1]Нормативы!$H$127,"КМС",IF(I466&lt;=[1]Нормативы!$L$128,"КМС",IF(I466&lt;=[1]Нормативы!$L$129,"I",IF(I466&lt;=[1]Нормативы!$L$130,"II",IF(I466&lt;=[1]Нормативы!$L$131,"III",IF(I466&lt;=[1]Нормативы!$L$132,"I юн",IF(I466&lt;=[1]Нормативы!$L$133,"II юн",IF(I466&lt;=[1]Нормативы!$L$134,"III юн","б/р")))))))))))</f>
        <v>II юн</v>
      </c>
    </row>
    <row r="467" spans="1:10" x14ac:dyDescent="0.35">
      <c r="A467" s="14">
        <v>24</v>
      </c>
      <c r="B467" s="14" t="s">
        <v>22</v>
      </c>
      <c r="C467" s="28" t="s">
        <v>415</v>
      </c>
      <c r="E467" s="205">
        <v>41124</v>
      </c>
      <c r="F467" s="28" t="s">
        <v>176</v>
      </c>
      <c r="G467" s="33"/>
      <c r="H467" s="27"/>
      <c r="I467" s="201">
        <v>239.34</v>
      </c>
      <c r="J467" s="59" t="str">
        <f>IF(ISBLANK(I467)," ",IF(ISTEXT(I467)," ",IF(I467&lt;=[1]Нормативы!$H$126,"КМС",IF(I467&lt;=[1]Нормативы!$H$127,"КМС",IF(I467&lt;=[1]Нормативы!$L$128,"КМС",IF(I467&lt;=[1]Нормативы!$L$129,"I",IF(I467&lt;=[1]Нормативы!$L$130,"II",IF(I467&lt;=[1]Нормативы!$L$131,"III",IF(I467&lt;=[1]Нормативы!$L$132,"I юн",IF(I467&lt;=[1]Нормативы!$L$133,"II юн",IF(I467&lt;=[1]Нормативы!$L$134,"III юн","б/р")))))))))))</f>
        <v>II юн</v>
      </c>
    </row>
    <row r="468" spans="1:10" x14ac:dyDescent="0.35">
      <c r="A468" s="14">
        <v>25</v>
      </c>
      <c r="B468" s="14" t="s">
        <v>22</v>
      </c>
      <c r="C468" s="28" t="s">
        <v>409</v>
      </c>
      <c r="E468" s="200">
        <v>40941</v>
      </c>
      <c r="F468" s="28" t="s">
        <v>193</v>
      </c>
      <c r="G468" s="33"/>
      <c r="H468" s="27"/>
      <c r="I468" s="201">
        <v>243.7</v>
      </c>
      <c r="J468" s="59" t="str">
        <f>IF(ISBLANK(I468)," ",IF(ISTEXT(I468)," ",IF(I468&lt;=[1]Нормативы!$H$126,"КМС",IF(I468&lt;=[1]Нормативы!$H$127,"КМС",IF(I468&lt;=[1]Нормативы!$L$128,"КМС",IF(I468&lt;=[1]Нормативы!$L$129,"I",IF(I468&lt;=[1]Нормативы!$L$130,"II",IF(I468&lt;=[1]Нормативы!$L$131,"III",IF(I468&lt;=[1]Нормативы!$L$132,"I юн",IF(I468&lt;=[1]Нормативы!$L$133,"II юн",IF(I468&lt;=[1]Нормативы!$L$134,"III юн","б/р")))))))))))</f>
        <v>III юн</v>
      </c>
    </row>
    <row r="469" spans="1:10" x14ac:dyDescent="0.35">
      <c r="A469" s="14"/>
      <c r="B469" s="14" t="s">
        <v>6</v>
      </c>
      <c r="C469" s="28" t="s">
        <v>371</v>
      </c>
      <c r="E469" s="202">
        <v>40458</v>
      </c>
      <c r="F469" s="28" t="s">
        <v>198</v>
      </c>
      <c r="G469" s="33"/>
      <c r="H469" s="27"/>
      <c r="I469" s="201" t="s">
        <v>191</v>
      </c>
      <c r="J469" s="38"/>
    </row>
    <row r="470" spans="1:10" x14ac:dyDescent="0.35">
      <c r="A470" s="14"/>
      <c r="B470" s="114"/>
      <c r="C470" s="114"/>
      <c r="E470" s="114"/>
      <c r="F470" s="114"/>
      <c r="G470" s="114"/>
      <c r="H470" s="114"/>
      <c r="I470" s="127"/>
      <c r="J470" s="38"/>
    </row>
    <row r="471" spans="1:10" x14ac:dyDescent="0.35">
      <c r="A471" s="221" t="s">
        <v>208</v>
      </c>
      <c r="B471" s="14"/>
      <c r="C471" s="28"/>
      <c r="E471" s="202"/>
      <c r="F471" s="28"/>
      <c r="G471" s="33"/>
      <c r="H471" s="27"/>
      <c r="I471" s="201"/>
      <c r="J471" s="38"/>
    </row>
    <row r="472" spans="1:10" x14ac:dyDescent="0.35">
      <c r="A472" s="14">
        <v>1</v>
      </c>
      <c r="B472" s="14" t="s">
        <v>24</v>
      </c>
      <c r="C472" s="28" t="s">
        <v>469</v>
      </c>
      <c r="E472" s="205">
        <v>41376</v>
      </c>
      <c r="F472" s="28" t="s">
        <v>245</v>
      </c>
      <c r="G472" s="33"/>
      <c r="H472" s="27"/>
      <c r="I472" s="201">
        <v>159.66999999999999</v>
      </c>
      <c r="J472" s="59" t="str">
        <f>IF(ISBLANK(I472)," ",IF(ISTEXT(I472)," ",IF(I472&lt;=[1]Нормативы!$H$126,"КМС",IF(I472&lt;=[1]Нормативы!$H$127,"КМС",IF(I472&lt;=[1]Нормативы!$L$128,"КМС",IF(I472&lt;=[1]Нормативы!$L$129,"I",IF(I472&lt;=[1]Нормативы!$L$130,"II",IF(I472&lt;=[1]Нормативы!$L$131,"III",IF(I472&lt;=[1]Нормативы!$L$132,"I юн",IF(I472&lt;=[1]Нормативы!$L$133,"II юн",IF(I472&lt;=[1]Нормативы!$L$134,"III юн","б/р")))))))))))</f>
        <v>II</v>
      </c>
    </row>
    <row r="473" spans="1:10" x14ac:dyDescent="0.35">
      <c r="A473" s="14">
        <v>2</v>
      </c>
      <c r="B473" s="21" t="s">
        <v>24</v>
      </c>
      <c r="C473" s="28" t="s">
        <v>262</v>
      </c>
      <c r="E473" s="202">
        <v>41455</v>
      </c>
      <c r="F473" s="28" t="s">
        <v>172</v>
      </c>
      <c r="G473" s="33"/>
      <c r="H473" s="27"/>
      <c r="I473" s="201">
        <v>200.86</v>
      </c>
      <c r="J473" s="59" t="str">
        <f>IF(ISBLANK(I473)," ",IF(ISTEXT(I473)," ",IF(I473&lt;=[1]Нормативы!$H$126,"КМС",IF(I473&lt;=[1]Нормативы!$H$127,"КМС",IF(I473&lt;=[1]Нормативы!$L$128,"КМС",IF(I473&lt;=[1]Нормативы!$L$129,"I",IF(I473&lt;=[1]Нормативы!$L$130,"II",IF(I473&lt;=[1]Нормативы!$L$131,"III",IF(I473&lt;=[1]Нормативы!$L$132,"I юн",IF(I473&lt;=[1]Нормативы!$L$133,"II юн",IF(I473&lt;=[1]Нормативы!$L$134,"III юн","б/р")))))))))))</f>
        <v>II</v>
      </c>
    </row>
    <row r="474" spans="1:10" x14ac:dyDescent="0.35">
      <c r="A474" s="14">
        <v>3</v>
      </c>
      <c r="B474" s="14" t="s">
        <v>38</v>
      </c>
      <c r="C474" s="28" t="s">
        <v>468</v>
      </c>
      <c r="E474" s="205">
        <v>41462</v>
      </c>
      <c r="F474" s="28" t="s">
        <v>245</v>
      </c>
      <c r="G474" s="33"/>
      <c r="H474" s="27"/>
      <c r="I474" s="201">
        <v>210.78</v>
      </c>
      <c r="J474" s="59" t="str">
        <f>IF(ISBLANK(I474)," ",IF(ISTEXT(I474)," ",IF(I474&lt;=[1]Нормативы!$H$126,"КМС",IF(I474&lt;=[1]Нормативы!$H$127,"КМС",IF(I474&lt;=[1]Нормативы!$L$128,"КМС",IF(I474&lt;=[1]Нормативы!$L$129,"I",IF(I474&lt;=[1]Нормативы!$L$130,"II",IF(I474&lt;=[1]Нормативы!$L$131,"III",IF(I474&lt;=[1]Нормативы!$L$132,"I юн",IF(I474&lt;=[1]Нормативы!$L$133,"II юн",IF(I474&lt;=[1]Нормативы!$L$134,"III юн","б/р")))))))))))</f>
        <v>III</v>
      </c>
    </row>
    <row r="475" spans="1:10" x14ac:dyDescent="0.35">
      <c r="A475" s="14">
        <v>4</v>
      </c>
      <c r="B475" s="14" t="s">
        <v>38</v>
      </c>
      <c r="C475" s="28" t="s">
        <v>419</v>
      </c>
      <c r="E475" s="205">
        <v>41338</v>
      </c>
      <c r="F475" s="28" t="s">
        <v>176</v>
      </c>
      <c r="G475" s="33"/>
      <c r="H475" s="27"/>
      <c r="I475" s="201">
        <v>213.2</v>
      </c>
      <c r="J475" s="59" t="str">
        <f>IF(ISBLANK(I475)," ",IF(ISTEXT(I475)," ",IF(I475&lt;=[1]Нормативы!$H$126,"КМС",IF(I475&lt;=[1]Нормативы!$H$127,"КМС",IF(I475&lt;=[1]Нормативы!$L$128,"КМС",IF(I475&lt;=[1]Нормативы!$L$129,"I",IF(I475&lt;=[1]Нормативы!$L$130,"II",IF(I475&lt;=[1]Нормативы!$L$131,"III",IF(I475&lt;=[1]Нормативы!$L$132,"I юн",IF(I475&lt;=[1]Нормативы!$L$133,"II юн",IF(I475&lt;=[1]Нормативы!$L$134,"III юн","б/р")))))))))))</f>
        <v>I юн</v>
      </c>
    </row>
    <row r="476" spans="1:10" x14ac:dyDescent="0.35">
      <c r="A476" s="14">
        <v>5</v>
      </c>
      <c r="B476" s="14" t="s">
        <v>38</v>
      </c>
      <c r="C476" s="28" t="s">
        <v>422</v>
      </c>
      <c r="E476" s="205">
        <v>41335</v>
      </c>
      <c r="F476" s="28" t="s">
        <v>176</v>
      </c>
      <c r="G476" s="33"/>
      <c r="H476" s="27"/>
      <c r="I476" s="201">
        <v>222.41</v>
      </c>
      <c r="J476" s="59" t="str">
        <f>IF(ISBLANK(I476)," ",IF(ISTEXT(I476)," ",IF(I476&lt;=[1]Нормативы!$H$126,"КМС",IF(I476&lt;=[1]Нормативы!$H$127,"КМС",IF(I476&lt;=[1]Нормативы!$L$128,"КМС",IF(I476&lt;=[1]Нормативы!$L$129,"I",IF(I476&lt;=[1]Нормативы!$L$130,"II",IF(I476&lt;=[1]Нормативы!$L$131,"III",IF(I476&lt;=[1]Нормативы!$L$132,"I юн",IF(I476&lt;=[1]Нормативы!$L$133,"II юн",IF(I476&lt;=[1]Нормативы!$L$134,"III юн","б/р")))))))))))</f>
        <v>I юн</v>
      </c>
    </row>
    <row r="477" spans="1:10" x14ac:dyDescent="0.35">
      <c r="A477" s="14">
        <v>6</v>
      </c>
      <c r="B477" s="14" t="s">
        <v>38</v>
      </c>
      <c r="C477" s="28" t="s">
        <v>416</v>
      </c>
      <c r="E477" s="205">
        <v>41562</v>
      </c>
      <c r="F477" s="28" t="s">
        <v>176</v>
      </c>
      <c r="G477" s="33"/>
      <c r="H477" s="27"/>
      <c r="I477" s="201">
        <v>223.24</v>
      </c>
      <c r="J477" s="59" t="str">
        <f>IF(ISBLANK(I477)," ",IF(ISTEXT(I477)," ",IF(I477&lt;=[1]Нормативы!$H$126,"КМС",IF(I477&lt;=[1]Нормативы!$H$127,"КМС",IF(I477&lt;=[1]Нормативы!$L$128,"КМС",IF(I477&lt;=[1]Нормативы!$L$129,"I",IF(I477&lt;=[1]Нормативы!$L$130,"II",IF(I477&lt;=[1]Нормативы!$L$131,"III",IF(I477&lt;=[1]Нормативы!$L$132,"I юн",IF(I477&lt;=[1]Нормативы!$L$133,"II юн",IF(I477&lt;=[1]Нормативы!$L$134,"III юн","б/р")))))))))))</f>
        <v>I юн</v>
      </c>
    </row>
    <row r="478" spans="1:10" x14ac:dyDescent="0.35">
      <c r="A478" s="14">
        <v>7</v>
      </c>
      <c r="B478" s="14" t="s">
        <v>22</v>
      </c>
      <c r="C478" s="28" t="s">
        <v>471</v>
      </c>
      <c r="E478" s="205">
        <v>41626</v>
      </c>
      <c r="F478" s="28" t="s">
        <v>245</v>
      </c>
      <c r="G478" s="33"/>
      <c r="H478" s="27"/>
      <c r="I478" s="201">
        <v>227.39</v>
      </c>
      <c r="J478" s="59" t="str">
        <f>IF(ISBLANK(I478)," ",IF(ISTEXT(I478)," ",IF(I478&lt;=[1]Нормативы!$H$126,"КМС",IF(I478&lt;=[1]Нормативы!$H$127,"КМС",IF(I478&lt;=[1]Нормативы!$L$128,"КМС",IF(I478&lt;=[1]Нормативы!$L$129,"I",IF(I478&lt;=[1]Нормативы!$L$130,"II",IF(I478&lt;=[1]Нормативы!$L$131,"III",IF(I478&lt;=[1]Нормативы!$L$132,"I юн",IF(I478&lt;=[1]Нормативы!$L$133,"II юн",IF(I478&lt;=[1]Нормативы!$L$134,"III юн","б/р")))))))))))</f>
        <v>II юн</v>
      </c>
    </row>
    <row r="479" spans="1:10" x14ac:dyDescent="0.35">
      <c r="A479" s="14">
        <v>8</v>
      </c>
      <c r="B479" s="14" t="s">
        <v>22</v>
      </c>
      <c r="C479" s="28" t="s">
        <v>266</v>
      </c>
      <c r="E479" s="206">
        <v>41700</v>
      </c>
      <c r="F479" s="28" t="s">
        <v>172</v>
      </c>
      <c r="G479" s="33"/>
      <c r="H479" s="27"/>
      <c r="I479" s="201">
        <v>231.08</v>
      </c>
      <c r="J479" s="59" t="str">
        <f>IF(ISBLANK(I479)," ",IF(ISTEXT(I479)," ",IF(I479&lt;=[1]Нормативы!$H$126,"КМС",IF(I479&lt;=[1]Нормативы!$H$127,"КМС",IF(I479&lt;=[1]Нормативы!$L$128,"КМС",IF(I479&lt;=[1]Нормативы!$L$129,"I",IF(I479&lt;=[1]Нормативы!$L$130,"II",IF(I479&lt;=[1]Нормативы!$L$131,"III",IF(I479&lt;=[1]Нормативы!$L$132,"I юн",IF(I479&lt;=[1]Нормативы!$L$133,"II юн",IF(I479&lt;=[1]Нормативы!$L$134,"III юн","б/р")))))))))))</f>
        <v>II юн</v>
      </c>
    </row>
    <row r="480" spans="1:10" x14ac:dyDescent="0.35">
      <c r="A480" s="14">
        <v>9</v>
      </c>
      <c r="B480" s="21" t="s">
        <v>23</v>
      </c>
      <c r="C480" s="28" t="s">
        <v>296</v>
      </c>
      <c r="E480" s="202">
        <v>41327</v>
      </c>
      <c r="F480" s="28" t="s">
        <v>198</v>
      </c>
      <c r="G480" s="33"/>
      <c r="H480" s="27"/>
      <c r="I480" s="201">
        <v>234.49</v>
      </c>
      <c r="J480" s="59" t="str">
        <f>IF(ISBLANK(I480)," ",IF(ISTEXT(I480)," ",IF(I480&lt;=[1]Нормативы!$H$126,"КМС",IF(I480&lt;=[1]Нормативы!$H$127,"КМС",IF(I480&lt;=[1]Нормативы!$L$128,"КМС",IF(I480&lt;=[1]Нормативы!$L$129,"I",IF(I480&lt;=[1]Нормативы!$L$130,"II",IF(I480&lt;=[1]Нормативы!$L$131,"III",IF(I480&lt;=[1]Нормативы!$L$132,"I юн",IF(I480&lt;=[1]Нормативы!$L$133,"II юн",IF(I480&lt;=[1]Нормативы!$L$134,"III юн","б/р")))))))))))</f>
        <v>II юн</v>
      </c>
    </row>
    <row r="481" spans="1:10" x14ac:dyDescent="0.35">
      <c r="A481" s="14">
        <v>10</v>
      </c>
      <c r="B481" s="14" t="s">
        <v>38</v>
      </c>
      <c r="C481" s="28" t="s">
        <v>306</v>
      </c>
      <c r="E481" s="202">
        <v>41528</v>
      </c>
      <c r="F481" s="28" t="s">
        <v>198</v>
      </c>
      <c r="G481" s="33"/>
      <c r="H481" s="27"/>
      <c r="I481" s="201">
        <v>240.03</v>
      </c>
      <c r="J481" s="59" t="str">
        <f>IF(ISBLANK(I481)," ",IF(ISTEXT(I481)," ",IF(I481&lt;=[1]Нормативы!$H$126,"КМС",IF(I481&lt;=[1]Нормативы!$H$127,"КМС",IF(I481&lt;=[1]Нормативы!$L$128,"КМС",IF(I481&lt;=[1]Нормативы!$L$129,"I",IF(I481&lt;=[1]Нормативы!$L$130,"II",IF(I481&lt;=[1]Нормативы!$L$131,"III",IF(I481&lt;=[1]Нормативы!$L$132,"I юн",IF(I481&lt;=[1]Нормативы!$L$133,"II юн",IF(I481&lt;=[1]Нормативы!$L$134,"III юн","б/р")))))))))))</f>
        <v>III юн</v>
      </c>
    </row>
    <row r="482" spans="1:10" x14ac:dyDescent="0.35">
      <c r="A482" s="14">
        <v>11</v>
      </c>
      <c r="B482" s="14" t="s">
        <v>22</v>
      </c>
      <c r="C482" s="28" t="s">
        <v>267</v>
      </c>
      <c r="E482" s="202">
        <v>41733</v>
      </c>
      <c r="F482" s="28" t="s">
        <v>172</v>
      </c>
      <c r="G482" s="33"/>
      <c r="H482" s="27"/>
      <c r="I482" s="201">
        <v>241.04</v>
      </c>
      <c r="J482" s="59" t="str">
        <f>IF(ISBLANK(I482)," ",IF(ISTEXT(I482)," ",IF(I482&lt;=[1]Нормативы!$H$126,"КМС",IF(I482&lt;=[1]Нормативы!$H$127,"КМС",IF(I482&lt;=[1]Нормативы!$L$128,"КМС",IF(I482&lt;=[1]Нормативы!$L$129,"I",IF(I482&lt;=[1]Нормативы!$L$130,"II",IF(I482&lt;=[1]Нормативы!$L$131,"III",IF(I482&lt;=[1]Нормативы!$L$132,"I юн",IF(I482&lt;=[1]Нормативы!$L$133,"II юн",IF(I482&lt;=[1]Нормативы!$L$134,"III юн","б/р")))))))))))</f>
        <v>III юн</v>
      </c>
    </row>
    <row r="483" spans="1:10" x14ac:dyDescent="0.35">
      <c r="A483" s="14">
        <v>12</v>
      </c>
      <c r="B483" s="21" t="s">
        <v>26</v>
      </c>
      <c r="C483" s="28" t="s">
        <v>365</v>
      </c>
      <c r="E483" s="202">
        <v>41304</v>
      </c>
      <c r="F483" s="28" t="s">
        <v>198</v>
      </c>
      <c r="G483" s="33"/>
      <c r="H483" s="27"/>
      <c r="I483" s="201">
        <v>242.57</v>
      </c>
      <c r="J483" s="59" t="str">
        <f>IF(ISBLANK(I483)," ",IF(ISTEXT(I483)," ",IF(I483&lt;=[1]Нормативы!$H$126,"КМС",IF(I483&lt;=[1]Нормативы!$H$127,"КМС",IF(I483&lt;=[1]Нормативы!$L$128,"КМС",IF(I483&lt;=[1]Нормативы!$L$129,"I",IF(I483&lt;=[1]Нормативы!$L$130,"II",IF(I483&lt;=[1]Нормативы!$L$131,"III",IF(I483&lt;=[1]Нормативы!$L$132,"I юн",IF(I483&lt;=[1]Нормативы!$L$133,"II юн",IF(I483&lt;=[1]Нормативы!$L$134,"III юн","б/р")))))))))))</f>
        <v>III юн</v>
      </c>
    </row>
    <row r="484" spans="1:10" x14ac:dyDescent="0.35">
      <c r="A484" s="14">
        <v>13</v>
      </c>
      <c r="B484" s="21" t="s">
        <v>26</v>
      </c>
      <c r="C484" s="28" t="s">
        <v>508</v>
      </c>
      <c r="E484" s="202">
        <v>41499</v>
      </c>
      <c r="F484" s="28" t="s">
        <v>176</v>
      </c>
      <c r="G484" s="33"/>
      <c r="H484" s="27"/>
      <c r="I484" s="201">
        <v>243.26</v>
      </c>
      <c r="J484" s="59" t="str">
        <f>IF(ISBLANK(I484)," ",IF(ISTEXT(I484)," ",IF(I484&lt;=[1]Нормативы!$H$126,"КМС",IF(I484&lt;=[1]Нормативы!$H$127,"КМС",IF(I484&lt;=[1]Нормативы!$L$128,"КМС",IF(I484&lt;=[1]Нормативы!$L$129,"I",IF(I484&lt;=[1]Нормативы!$L$130,"II",IF(I484&lt;=[1]Нормативы!$L$131,"III",IF(I484&lt;=[1]Нормативы!$L$132,"I юн",IF(I484&lt;=[1]Нормативы!$L$133,"II юн",IF(I484&lt;=[1]Нормативы!$L$134,"III юн","б/р")))))))))))</f>
        <v>III юн</v>
      </c>
    </row>
    <row r="485" spans="1:10" x14ac:dyDescent="0.35">
      <c r="A485" s="14">
        <v>14</v>
      </c>
      <c r="B485" s="14" t="s">
        <v>22</v>
      </c>
      <c r="C485" s="28" t="s">
        <v>411</v>
      </c>
      <c r="E485" s="200">
        <v>41784</v>
      </c>
      <c r="F485" s="28" t="s">
        <v>193</v>
      </c>
      <c r="G485" s="33"/>
      <c r="H485" s="27"/>
      <c r="I485" s="201">
        <v>244.38</v>
      </c>
      <c r="J485" s="59" t="str">
        <f>IF(ISBLANK(I485)," ",IF(ISTEXT(I485)," ",IF(I485&lt;=[1]Нормативы!$H$126,"КМС",IF(I485&lt;=[1]Нормативы!$H$127,"КМС",IF(I485&lt;=[1]Нормативы!$L$128,"КМС",IF(I485&lt;=[1]Нормативы!$L$129,"I",IF(I485&lt;=[1]Нормативы!$L$130,"II",IF(I485&lt;=[1]Нормативы!$L$131,"III",IF(I485&lt;=[1]Нормативы!$L$132,"I юн",IF(I485&lt;=[1]Нормативы!$L$133,"II юн",IF(I485&lt;=[1]Нормативы!$L$134,"III юн","б/р")))))))))))</f>
        <v>III юн</v>
      </c>
    </row>
    <row r="486" spans="1:10" x14ac:dyDescent="0.35">
      <c r="A486" s="14"/>
      <c r="B486" s="14"/>
      <c r="C486" s="222"/>
      <c r="E486" s="202"/>
      <c r="F486" s="28"/>
      <c r="G486" s="33"/>
      <c r="H486" s="27"/>
      <c r="I486" s="201"/>
      <c r="J486" s="38"/>
    </row>
    <row r="487" spans="1:10" x14ac:dyDescent="0.35">
      <c r="A487" s="221" t="s">
        <v>486</v>
      </c>
      <c r="B487" s="21"/>
      <c r="C487" s="28"/>
      <c r="E487" s="202"/>
      <c r="F487" s="28"/>
      <c r="G487" s="33"/>
      <c r="H487" s="27"/>
      <c r="I487" s="201"/>
      <c r="J487" s="38"/>
    </row>
    <row r="488" spans="1:10" x14ac:dyDescent="0.35">
      <c r="A488" s="14">
        <v>1</v>
      </c>
      <c r="B488" s="21" t="s">
        <v>24</v>
      </c>
      <c r="C488" s="28" t="s">
        <v>249</v>
      </c>
      <c r="E488" s="202">
        <v>40822</v>
      </c>
      <c r="F488" s="28" t="s">
        <v>172</v>
      </c>
      <c r="G488" s="33"/>
      <c r="H488" s="27"/>
      <c r="I488" s="201">
        <v>405.42</v>
      </c>
      <c r="J488" s="59" t="str">
        <f>IF(ISBLANK(I488)," ",IF(ISTEXT(I488)," ",IF(I488&lt;=[1]Нормативы!$H$137,"КМС",IF(I488&lt;=[1]Нормативы!$H$138,"КМС",IF(I488&lt;=[1]Нормативы!$L$139,"КМС",IF(I488&lt;=[1]Нормативы!$L$140,"I",IF(I488&lt;=[1]Нормативы!$L$141,"II",IF(I488&lt;=[1]Нормативы!$L$142,"III",IF(I488&lt;=[1]Нормативы!$L$143,"I юн",IF(I488&lt;=[1]Нормативы!$L$144,"II юн",IF(I488&lt;=[1]Нормативы!$L$145,"III юн","б/р")))))))))))</f>
        <v>II</v>
      </c>
    </row>
    <row r="489" spans="1:10" x14ac:dyDescent="0.35">
      <c r="A489" s="14">
        <v>2</v>
      </c>
      <c r="B489" s="21" t="s">
        <v>6</v>
      </c>
      <c r="C489" s="28" t="s">
        <v>461</v>
      </c>
      <c r="E489" s="202">
        <v>40816</v>
      </c>
      <c r="F489" s="28" t="s">
        <v>245</v>
      </c>
      <c r="G489" s="33"/>
      <c r="H489" s="27"/>
      <c r="I489" s="201">
        <v>416.73</v>
      </c>
      <c r="J489" s="59" t="str">
        <f>IF(ISBLANK(I489)," ",IF(ISTEXT(I489)," ",IF(I489&lt;=[1]Нормативы!$H$137,"КМС",IF(I489&lt;=[1]Нормативы!$H$138,"КМС",IF(I489&lt;=[1]Нормативы!$L$139,"КМС",IF(I489&lt;=[1]Нормативы!$L$140,"I",IF(I489&lt;=[1]Нормативы!$L$141,"II",IF(I489&lt;=[1]Нормативы!$L$142,"III",IF(I489&lt;=[1]Нормативы!$L$143,"I юн",IF(I489&lt;=[1]Нормативы!$L$144,"II юн",IF(I489&lt;=[1]Нормативы!$L$145,"III юн","б/р")))))))))))</f>
        <v>III</v>
      </c>
    </row>
    <row r="490" spans="1:10" x14ac:dyDescent="0.35">
      <c r="A490" s="221"/>
      <c r="B490" s="21"/>
      <c r="C490" s="28"/>
      <c r="E490" s="202"/>
      <c r="F490" s="28"/>
      <c r="G490" s="33"/>
      <c r="H490" s="27"/>
      <c r="I490" s="201"/>
      <c r="J490" s="59" t="str">
        <f>IF(ISBLANK(I490)," ",IF(ISTEXT(I490)," ",IF(I490&lt;=[1]Нормативы!$H$137,"КМС",IF(I490&lt;=[1]Нормативы!$H$138,"КМС",IF(I490&lt;=[1]Нормативы!$L$139,"КМС",IF(I490&lt;=[1]Нормативы!$L$140,"I",IF(I490&lt;=[1]Нормативы!$L$141,"II",IF(I490&lt;=[1]Нормативы!$L$142,"III",IF(I490&lt;=[1]Нормативы!$L$143,"I юн",IF(I490&lt;=[1]Нормативы!$L$144,"II юн",IF(I490&lt;=[1]Нормативы!$L$145,"III юн","б/р")))))))))))</f>
        <v xml:space="preserve"> </v>
      </c>
    </row>
    <row r="491" spans="1:10" x14ac:dyDescent="0.35">
      <c r="A491" s="221" t="s">
        <v>209</v>
      </c>
      <c r="B491" s="21"/>
      <c r="C491" s="28"/>
      <c r="E491" s="202"/>
      <c r="F491" s="28"/>
      <c r="G491" s="33"/>
      <c r="H491" s="27"/>
      <c r="I491" s="201"/>
      <c r="J491" s="59" t="str">
        <f>IF(ISBLANK(I491)," ",IF(ISTEXT(I491)," ",IF(I491&lt;=[1]Нормативы!$H$137,"КМС",IF(I491&lt;=[1]Нормативы!$H$138,"КМС",IF(I491&lt;=[1]Нормативы!$L$139,"КМС",IF(I491&lt;=[1]Нормативы!$L$140,"I",IF(I491&lt;=[1]Нормативы!$L$141,"II",IF(I491&lt;=[1]Нормативы!$L$142,"III",IF(I491&lt;=[1]Нормативы!$L$143,"I юн",IF(I491&lt;=[1]Нормативы!$L$144,"II юн",IF(I491&lt;=[1]Нормативы!$L$145,"III юн","б/р")))))))))))</f>
        <v xml:space="preserve"> </v>
      </c>
    </row>
    <row r="492" spans="1:10" x14ac:dyDescent="0.35">
      <c r="A492" s="14">
        <v>1</v>
      </c>
      <c r="B492" s="21" t="s">
        <v>25</v>
      </c>
      <c r="C492" s="28" t="s">
        <v>255</v>
      </c>
      <c r="E492" s="202">
        <v>41786</v>
      </c>
      <c r="F492" s="28" t="s">
        <v>172</v>
      </c>
      <c r="G492" s="33"/>
      <c r="H492" s="27"/>
      <c r="I492" s="201">
        <v>417.54</v>
      </c>
      <c r="J492" s="59" t="str">
        <f>IF(ISBLANK(I492)," ",IF(ISTEXT(I492)," ",IF(I492&lt;=[1]Нормативы!$H$137,"КМС",IF(I492&lt;=[1]Нормативы!$H$138,"КМС",IF(I492&lt;=[1]Нормативы!$L$139,"КМС",IF(I492&lt;=[1]Нормативы!$L$140,"I",IF(I492&lt;=[1]Нормативы!$L$141,"II",IF(I492&lt;=[1]Нормативы!$L$142,"III",IF(I492&lt;=[1]Нормативы!$L$143,"I юн",IF(I492&lt;=[1]Нормативы!$L$144,"II юн",IF(I492&lt;=[1]Нормативы!$L$145,"III юн","б/р")))))))))))</f>
        <v>III</v>
      </c>
    </row>
    <row r="493" spans="1:10" x14ac:dyDescent="0.35">
      <c r="A493" s="14">
        <v>2</v>
      </c>
      <c r="B493" s="21" t="s">
        <v>25</v>
      </c>
      <c r="C493" s="28" t="s">
        <v>254</v>
      </c>
      <c r="E493" s="202">
        <v>41737</v>
      </c>
      <c r="F493" s="28" t="s">
        <v>172</v>
      </c>
      <c r="G493" s="33"/>
      <c r="H493" s="27"/>
      <c r="I493" s="201">
        <v>441.83</v>
      </c>
      <c r="J493" s="59" t="str">
        <f>IF(ISBLANK(I493)," ",IF(ISTEXT(I493)," ",IF(I493&lt;=[1]Нормативы!$H$137,"КМС",IF(I493&lt;=[1]Нормативы!$H$138,"КМС",IF(I493&lt;=[1]Нормативы!$L$139,"КМС",IF(I493&lt;=[1]Нормативы!$L$140,"I",IF(I493&lt;=[1]Нормативы!$L$141,"II",IF(I493&lt;=[1]Нормативы!$L$142,"III",IF(I493&lt;=[1]Нормативы!$L$143,"I юн",IF(I493&lt;=[1]Нормативы!$L$144,"II юн",IF(I493&lt;=[1]Нормативы!$L$145,"III юн","б/р")))))))))))</f>
        <v>I юн</v>
      </c>
    </row>
    <row r="494" spans="1:10" x14ac:dyDescent="0.35">
      <c r="A494" s="14">
        <v>3</v>
      </c>
      <c r="B494" s="21" t="s">
        <v>26</v>
      </c>
      <c r="C494" s="28" t="s">
        <v>325</v>
      </c>
      <c r="E494" s="202">
        <v>41688</v>
      </c>
      <c r="F494" s="28" t="s">
        <v>198</v>
      </c>
      <c r="G494" s="33"/>
      <c r="H494" s="27"/>
      <c r="I494" s="201">
        <v>453.54</v>
      </c>
      <c r="J494" s="59" t="str">
        <f>IF(ISBLANK(I494)," ",IF(ISTEXT(I494)," ",IF(I494&lt;=[1]Нормативы!$H$137,"КМС",IF(I494&lt;=[1]Нормативы!$H$138,"КМС",IF(I494&lt;=[1]Нормативы!$L$139,"КМС",IF(I494&lt;=[1]Нормативы!$L$140,"I",IF(I494&lt;=[1]Нормативы!$L$141,"II",IF(I494&lt;=[1]Нормативы!$L$142,"III",IF(I494&lt;=[1]Нормативы!$L$143,"I юн",IF(I494&lt;=[1]Нормативы!$L$144,"II юн",IF(I494&lt;=[1]Нормативы!$L$145,"III юн","б/р")))))))))))</f>
        <v>I юн</v>
      </c>
    </row>
    <row r="495" spans="1:10" x14ac:dyDescent="0.35">
      <c r="A495" s="14"/>
      <c r="B495" s="209"/>
      <c r="C495" s="210"/>
      <c r="E495" s="213"/>
      <c r="F495" s="210"/>
      <c r="G495" s="33"/>
      <c r="H495" s="209"/>
      <c r="I495" s="212"/>
      <c r="J495" s="38"/>
    </row>
    <row r="496" spans="1:10" x14ac:dyDescent="0.35">
      <c r="A496" s="221" t="s">
        <v>487</v>
      </c>
      <c r="B496" s="209"/>
      <c r="C496" s="210"/>
      <c r="E496" s="213"/>
      <c r="F496" s="210"/>
      <c r="G496" s="33"/>
      <c r="H496" s="209"/>
      <c r="I496" s="212"/>
      <c r="J496" s="38"/>
    </row>
    <row r="497" spans="1:20" x14ac:dyDescent="0.35">
      <c r="A497" s="14">
        <v>1</v>
      </c>
      <c r="B497" s="27" t="s">
        <v>24</v>
      </c>
      <c r="C497" s="28" t="s">
        <v>354</v>
      </c>
      <c r="E497" s="202">
        <v>40396</v>
      </c>
      <c r="F497" s="28" t="s">
        <v>198</v>
      </c>
      <c r="G497" s="33"/>
      <c r="H497" s="27"/>
      <c r="I497" s="201">
        <v>348.01</v>
      </c>
      <c r="J497" s="59" t="str">
        <f>IF(ISBLANK(I497)," ",IF(ISTEXT(I497)," ",IF(I497&lt;=[1]Нормативы!$H$148,"КМС",IF(I497&lt;=[1]Нормативы!$H$149,"КМС",IF(I497&lt;=[1]Нормативы!$L$150,"КМС",IF(I497&lt;=[1]Нормативы!$L$151,"I",IF(I497&lt;=[1]Нормативы!$L$152,"II",IF(I497&lt;=[1]Нормативы!$L$153,"III",IF(I497&lt;=[1]Нормативы!$L$154,"I юн",IF(I497&lt;=[1]Нормативы!$L$155,"II юн",IF(I497&lt;=[1]Нормативы!$L$156,"III юн","б/р")))))))))))</f>
        <v>II</v>
      </c>
    </row>
    <row r="498" spans="1:20" x14ac:dyDescent="0.35">
      <c r="A498" s="14">
        <v>2</v>
      </c>
      <c r="B498" s="27" t="s">
        <v>24</v>
      </c>
      <c r="C498" s="28" t="s">
        <v>368</v>
      </c>
      <c r="E498" s="202">
        <v>40593</v>
      </c>
      <c r="F498" s="28" t="s">
        <v>198</v>
      </c>
      <c r="G498" s="33"/>
      <c r="H498" s="27"/>
      <c r="I498" s="201">
        <v>350.15</v>
      </c>
      <c r="J498" s="59" t="str">
        <f>IF(ISBLANK(I498)," ",IF(ISTEXT(I498)," ",IF(I498&lt;=[1]Нормативы!$H$148,"КМС",IF(I498&lt;=[1]Нормативы!$H$149,"КМС",IF(I498&lt;=[1]Нормативы!$L$150,"КМС",IF(I498&lt;=[1]Нормативы!$L$151,"I",IF(I498&lt;=[1]Нормативы!$L$152,"II",IF(I498&lt;=[1]Нормативы!$L$153,"III",IF(I498&lt;=[1]Нормативы!$L$154,"I юн",IF(I498&lt;=[1]Нормативы!$L$155,"II юн",IF(I498&lt;=[1]Нормативы!$L$156,"III юн","б/р")))))))))))</f>
        <v>II</v>
      </c>
    </row>
    <row r="499" spans="1:20" x14ac:dyDescent="0.35">
      <c r="A499" s="14"/>
      <c r="B499" s="209"/>
      <c r="C499" s="222"/>
      <c r="E499" s="213"/>
      <c r="F499" s="210"/>
      <c r="G499" s="33"/>
      <c r="H499" s="209"/>
      <c r="I499" s="212"/>
      <c r="J499" s="59" t="str">
        <f>IF(ISBLANK(I499)," ",IF(ISTEXT(I499)," ",IF(I499&lt;=[1]Нормативы!$H$148,"КМС",IF(I499&lt;=[1]Нормативы!$H$149,"КМС",IF(I499&lt;=[1]Нормативы!$L$150,"КМС",IF(I499&lt;=[1]Нормативы!$L$151,"I",IF(I499&lt;=[1]Нормативы!$L$152,"II",IF(I499&lt;=[1]Нормативы!$L$153,"III",IF(I499&lt;=[1]Нормативы!$L$154,"I юн",IF(I499&lt;=[1]Нормативы!$L$155,"II юн",IF(I499&lt;=[1]Нормативы!$L$156,"III юн","б/р")))))))))))</f>
        <v xml:space="preserve"> </v>
      </c>
    </row>
    <row r="500" spans="1:20" x14ac:dyDescent="0.35">
      <c r="A500" s="221" t="s">
        <v>210</v>
      </c>
      <c r="B500" s="114"/>
      <c r="C500" s="114"/>
      <c r="E500" s="114"/>
      <c r="F500" s="114"/>
      <c r="G500" s="33"/>
      <c r="H500" s="114"/>
      <c r="I500" s="114"/>
      <c r="J500" s="59" t="str">
        <f>IF(ISBLANK(I500)," ",IF(ISTEXT(I500)," ",IF(I500&lt;=[1]Нормативы!$H$148,"КМС",IF(I500&lt;=[1]Нормативы!$H$149,"КМС",IF(I500&lt;=[1]Нормативы!$L$150,"КМС",IF(I500&lt;=[1]Нормативы!$L$151,"I",IF(I500&lt;=[1]Нормативы!$L$152,"II",IF(I500&lt;=[1]Нормативы!$L$153,"III",IF(I500&lt;=[1]Нормативы!$L$154,"I юн",IF(I500&lt;=[1]Нормативы!$L$155,"II юн",IF(I500&lt;=[1]Нормативы!$L$156,"III юн","б/р")))))))))))</f>
        <v xml:space="preserve"> </v>
      </c>
    </row>
    <row r="501" spans="1:20" x14ac:dyDescent="0.35">
      <c r="A501" s="14">
        <v>1</v>
      </c>
      <c r="B501" s="21" t="s">
        <v>25</v>
      </c>
      <c r="C501" s="28" t="s">
        <v>263</v>
      </c>
      <c r="E501" s="206">
        <v>41488</v>
      </c>
      <c r="F501" s="28" t="s">
        <v>172</v>
      </c>
      <c r="G501" s="33"/>
      <c r="H501" s="27"/>
      <c r="I501" s="201">
        <v>359.48</v>
      </c>
      <c r="J501" s="59" t="str">
        <f>IF(ISBLANK(I501)," ",IF(ISTEXT(I501)," ",IF(I501&lt;=[1]Нормативы!$H$148,"КМС",IF(I501&lt;=[1]Нормативы!$H$149,"КМС",IF(I501&lt;=[1]Нормативы!$L$150,"КМС",IF(I501&lt;=[1]Нормативы!$L$151,"I",IF(I501&lt;=[1]Нормативы!$L$152,"II",IF(I501&lt;=[1]Нормативы!$L$153,"III",IF(I501&lt;=[1]Нормативы!$L$154,"I юн",IF(I501&lt;=[1]Нормативы!$L$155,"II юн",IF(I501&lt;=[1]Нормативы!$L$156,"III юн","б/р")))))))))))</f>
        <v>III</v>
      </c>
    </row>
    <row r="502" spans="1:20" x14ac:dyDescent="0.35">
      <c r="A502" s="14">
        <v>2</v>
      </c>
      <c r="B502" s="14" t="s">
        <v>38</v>
      </c>
      <c r="C502" s="28" t="s">
        <v>271</v>
      </c>
      <c r="E502" s="202">
        <v>41835</v>
      </c>
      <c r="F502" s="28" t="s">
        <v>172</v>
      </c>
      <c r="G502" s="33"/>
      <c r="H502" s="27"/>
      <c r="I502" s="201">
        <v>418.34</v>
      </c>
      <c r="J502" s="59" t="str">
        <f>IF(ISBLANK(I502)," ",IF(ISTEXT(I502)," ",IF(I502&lt;=[1]Нормативы!$H$148,"КМС",IF(I502&lt;=[1]Нормативы!$H$149,"КМС",IF(I502&lt;=[1]Нормативы!$L$150,"КМС",IF(I502&lt;=[1]Нормативы!$L$151,"I",IF(I502&lt;=[1]Нормативы!$L$152,"II",IF(I502&lt;=[1]Нормативы!$L$153,"III",IF(I502&lt;=[1]Нормативы!$L$154,"I юн",IF(I502&lt;=[1]Нормативы!$L$155,"II юн",IF(I502&lt;=[1]Нормативы!$L$156,"III юн","б/р")))))))))))</f>
        <v>I юн</v>
      </c>
    </row>
    <row r="503" spans="1:20" x14ac:dyDescent="0.35">
      <c r="A503" s="14">
        <v>3</v>
      </c>
      <c r="B503" s="14" t="s">
        <v>38</v>
      </c>
      <c r="C503" s="28" t="s">
        <v>265</v>
      </c>
      <c r="E503" s="202">
        <v>41695</v>
      </c>
      <c r="F503" s="28" t="s">
        <v>172</v>
      </c>
      <c r="G503" s="33"/>
      <c r="H503" s="27"/>
      <c r="I503" s="201">
        <v>433.5</v>
      </c>
      <c r="J503" s="59" t="str">
        <f>IF(ISBLANK(I503)," ",IF(ISTEXT(I503)," ",IF(I503&lt;=[1]Нормативы!$H$148,"КМС",IF(I503&lt;=[1]Нормативы!$H$149,"КМС",IF(I503&lt;=[1]Нормативы!$L$150,"КМС",IF(I503&lt;=[1]Нормативы!$L$151,"I",IF(I503&lt;=[1]Нормативы!$L$152,"II",IF(I503&lt;=[1]Нормативы!$L$153,"III",IF(I503&lt;=[1]Нормативы!$L$154,"I юн",IF(I503&lt;=[1]Нормативы!$L$155,"II юн",IF(I503&lt;=[1]Нормативы!$L$156,"III юн","б/р")))))))))))</f>
        <v>I юн</v>
      </c>
    </row>
    <row r="504" spans="1:20" x14ac:dyDescent="0.35">
      <c r="A504" s="14">
        <v>4</v>
      </c>
      <c r="B504" s="21" t="s">
        <v>23</v>
      </c>
      <c r="C504" s="28" t="s">
        <v>340</v>
      </c>
      <c r="E504" s="202">
        <v>41744</v>
      </c>
      <c r="F504" s="28" t="s">
        <v>198</v>
      </c>
      <c r="G504" s="33"/>
      <c r="H504" s="27"/>
      <c r="I504" s="201">
        <v>505.05</v>
      </c>
      <c r="J504" s="59" t="str">
        <f>IF(ISBLANK(I504)," ",IF(ISTEXT(I504)," ",IF(I504&lt;=[1]Нормативы!$H$148,"КМС",IF(I504&lt;=[1]Нормативы!$H$149,"КМС",IF(I504&lt;=[1]Нормативы!$L$150,"КМС",IF(I504&lt;=[1]Нормативы!$L$151,"I",IF(I504&lt;=[1]Нормативы!$L$152,"II",IF(I504&lt;=[1]Нормативы!$L$153,"III",IF(I504&lt;=[1]Нормативы!$L$154,"I юн",IF(I504&lt;=[1]Нормативы!$L$155,"II юн",IF(I504&lt;=[1]Нормативы!$L$156,"III юн","б/р")))))))))))</f>
        <v>II юн</v>
      </c>
    </row>
    <row r="505" spans="1:20" x14ac:dyDescent="0.35">
      <c r="A505" s="14">
        <v>5</v>
      </c>
      <c r="B505" s="14" t="s">
        <v>22</v>
      </c>
      <c r="C505" s="28" t="s">
        <v>269</v>
      </c>
      <c r="E505" s="202">
        <v>41753</v>
      </c>
      <c r="F505" s="28" t="s">
        <v>172</v>
      </c>
      <c r="G505" s="33"/>
      <c r="H505" s="27"/>
      <c r="I505" s="201">
        <v>511.46</v>
      </c>
      <c r="J505" s="59" t="str">
        <f>IF(ISBLANK(I505)," ",IF(ISTEXT(I505)," ",IF(I505&lt;=[1]Нормативы!$H$148,"КМС",IF(I505&lt;=[1]Нормативы!$H$149,"КМС",IF(I505&lt;=[1]Нормативы!$L$150,"КМС",IF(I505&lt;=[1]Нормативы!$L$151,"I",IF(I505&lt;=[1]Нормативы!$L$152,"II",IF(I505&lt;=[1]Нормативы!$L$153,"III",IF(I505&lt;=[1]Нормативы!$L$154,"I юн",IF(I505&lt;=[1]Нормативы!$L$155,"II юн",IF(I505&lt;=[1]Нормативы!$L$156,"III юн","б/р")))))))))))</f>
        <v>III юн</v>
      </c>
    </row>
    <row r="506" spans="1:20" x14ac:dyDescent="0.35">
      <c r="A506" s="14">
        <v>6</v>
      </c>
      <c r="B506" s="14" t="s">
        <v>22</v>
      </c>
      <c r="C506" s="28" t="s">
        <v>289</v>
      </c>
      <c r="E506" s="202">
        <v>41953</v>
      </c>
      <c r="F506" s="28" t="s">
        <v>198</v>
      </c>
      <c r="G506" s="33"/>
      <c r="H506" s="27"/>
      <c r="I506" s="201">
        <v>516.91</v>
      </c>
      <c r="J506" s="59" t="str">
        <f>IF(ISBLANK(I506)," ",IF(ISTEXT(I506)," ",IF(I506&lt;=[1]Нормативы!$H$148,"КМС",IF(I506&lt;=[1]Нормативы!$H$149,"КМС",IF(I506&lt;=[1]Нормативы!$L$150,"КМС",IF(I506&lt;=[1]Нормативы!$L$151,"I",IF(I506&lt;=[1]Нормативы!$L$152,"II",IF(I506&lt;=[1]Нормативы!$L$153,"III",IF(I506&lt;=[1]Нормативы!$L$154,"I юн",IF(I506&lt;=[1]Нормативы!$L$155,"II юн",IF(I506&lt;=[1]Нормативы!$L$156,"III юн","б/р")))))))))))</f>
        <v>III юн</v>
      </c>
    </row>
    <row r="507" spans="1:20" s="184" customFormat="1" x14ac:dyDescent="0.35">
      <c r="A507" s="186"/>
      <c r="I507" s="185"/>
      <c r="K507" s="199"/>
    </row>
    <row r="508" spans="1:20" s="229" customFormat="1" ht="14.5" customHeight="1" x14ac:dyDescent="0.3">
      <c r="A508" s="221" t="s">
        <v>488</v>
      </c>
      <c r="C508" s="232"/>
      <c r="D508" s="232"/>
      <c r="E508" s="232"/>
      <c r="F508" s="233"/>
      <c r="G508" s="216"/>
      <c r="H508" s="14"/>
      <c r="I508" s="14"/>
      <c r="J508" s="17"/>
      <c r="L508" s="14"/>
      <c r="N508" s="230"/>
    </row>
    <row r="509" spans="1:20" s="229" customFormat="1" ht="14.5" customHeight="1" x14ac:dyDescent="0.3">
      <c r="A509" s="14">
        <v>1</v>
      </c>
      <c r="B509" s="14" t="s">
        <v>37</v>
      </c>
      <c r="C509" s="214" t="s">
        <v>407</v>
      </c>
      <c r="D509" s="214"/>
      <c r="E509" s="215">
        <v>40297</v>
      </c>
      <c r="F509" s="214" t="s">
        <v>193</v>
      </c>
      <c r="G509" s="216"/>
      <c r="H509" s="14"/>
      <c r="I509" s="217">
        <v>21.71</v>
      </c>
      <c r="J509" s="59" t="str">
        <f>IF(ISBLANK(I509)," ",IF(ISTEXT(I509)," ",IF(I509&lt;=[1]Нормативы!$H$5,"КМС",IF(I509&lt;=[1]Нормативы!$H$6,"КМС",IF(I509&lt;=[1]Нормативы!$L$7,"КМС",IF(I509&lt;=[1]Нормативы!$L$8,"I",IF(I509&lt;=[1]Нормативы!$L$9,"II",IF(I509&lt;=[1]Нормативы!$L$10,"III",IF(I509&lt;=[1]Нормативы!$L$11,"I юн",IF(I509&lt;=[1]Нормативы!$L$12,"II юн",IF(I509&lt;=[1]Нормативы!$L$13,"III юн",IF(ISTEXT(I509)," ",IF(ISBLANK(I509)," ","б/р")))))))))))))</f>
        <v>II</v>
      </c>
      <c r="K509" s="14"/>
      <c r="L509" s="14"/>
      <c r="N509" s="230"/>
    </row>
    <row r="510" spans="1:20" s="229" customFormat="1" ht="14.5" customHeight="1" x14ac:dyDescent="0.3">
      <c r="A510" s="14">
        <v>2</v>
      </c>
      <c r="B510" s="14" t="s">
        <v>6</v>
      </c>
      <c r="C510" s="214" t="s">
        <v>315</v>
      </c>
      <c r="D510" s="214"/>
      <c r="E510" s="215">
        <v>40897</v>
      </c>
      <c r="F510" s="214" t="s">
        <v>198</v>
      </c>
      <c r="G510" s="216"/>
      <c r="H510" s="14"/>
      <c r="I510" s="217">
        <v>22.75</v>
      </c>
      <c r="J510" s="59" t="str">
        <f>IF(ISBLANK(I510)," ",IF(ISTEXT(I510)," ",IF(I510&lt;=[1]Нормативы!$H$5,"КМС",IF(I510&lt;=[1]Нормативы!$H$6,"КМС",IF(I510&lt;=[1]Нормативы!$L$7,"КМС",IF(I510&lt;=[1]Нормативы!$L$8,"I",IF(I510&lt;=[1]Нормативы!$L$9,"II",IF(I510&lt;=[1]Нормативы!$L$10,"III",IF(I510&lt;=[1]Нормативы!$L$11,"I юн",IF(I510&lt;=[1]Нормативы!$L$12,"II юн",IF(I510&lt;=[1]Нормативы!$L$13,"III юн",IF(ISTEXT(I510)," ",IF(ISBLANK(I510)," ","б/р")))))))))))))</f>
        <v>III</v>
      </c>
      <c r="K510" s="14"/>
      <c r="L510" s="228"/>
      <c r="M510" s="230"/>
      <c r="N510" s="230"/>
      <c r="O510" s="230"/>
      <c r="P510" s="230"/>
      <c r="Q510" s="230"/>
      <c r="R510" s="230"/>
      <c r="S510" s="230"/>
      <c r="T510" s="230"/>
    </row>
    <row r="511" spans="1:20" s="229" customFormat="1" ht="14.5" customHeight="1" x14ac:dyDescent="0.3">
      <c r="A511" s="14">
        <v>3</v>
      </c>
      <c r="B511" s="14" t="s">
        <v>26</v>
      </c>
      <c r="C511" s="214" t="s">
        <v>316</v>
      </c>
      <c r="D511" s="214"/>
      <c r="E511" s="215">
        <v>40772</v>
      </c>
      <c r="F511" s="214" t="s">
        <v>198</v>
      </c>
      <c r="G511" s="216"/>
      <c r="H511" s="14"/>
      <c r="I511" s="217">
        <v>27.88</v>
      </c>
      <c r="J511" s="59" t="str">
        <f>IF(ISBLANK(I511)," ",IF(ISTEXT(I511)," ",IF(I511&lt;=[1]Нормативы!$H$5,"КМС",IF(I511&lt;=[1]Нормативы!$H$6,"КМС",IF(I511&lt;=[1]Нормативы!$L$7,"КМС",IF(I511&lt;=[1]Нормативы!$L$8,"I",IF(I511&lt;=[1]Нормативы!$L$9,"II",IF(I511&lt;=[1]Нормативы!$L$10,"III",IF(I511&lt;=[1]Нормативы!$L$11,"I юн",IF(I511&lt;=[1]Нормативы!$L$12,"II юн",IF(I511&lt;=[1]Нормативы!$L$13,"III юн",IF(ISTEXT(I511)," ",IF(ISBLANK(I511)," ","б/р")))))))))))))</f>
        <v>II юн</v>
      </c>
      <c r="K511" s="14"/>
      <c r="L511" s="228"/>
      <c r="M511" s="230"/>
      <c r="N511" s="230"/>
      <c r="O511" s="230"/>
      <c r="P511" s="230"/>
      <c r="Q511" s="230"/>
      <c r="R511" s="230"/>
      <c r="S511" s="230"/>
      <c r="T511" s="230"/>
    </row>
    <row r="512" spans="1:20" s="229" customFormat="1" ht="14.5" customHeight="1" x14ac:dyDescent="0.3">
      <c r="C512" s="222"/>
      <c r="D512" s="222"/>
      <c r="G512" s="216"/>
      <c r="H512" s="14"/>
      <c r="I512" s="14"/>
      <c r="J512" s="59" t="str">
        <f>IF(ISBLANK(I512)," ",IF(ISTEXT(I512)," ",IF(I512&lt;=[1]Нормативы!$H$5,"КМС",IF(I512&lt;=[1]Нормативы!$H$6,"КМС",IF(I512&lt;=[1]Нормативы!$L$7,"КМС",IF(I512&lt;=[1]Нормативы!$L$8,"I",IF(I512&lt;=[1]Нормативы!$L$9,"II",IF(I512&lt;=[1]Нормативы!$L$10,"III",IF(I512&lt;=[1]Нормативы!$L$11,"I юн",IF(I512&lt;=[1]Нормативы!$L$12,"II юн",IF(I512&lt;=[1]Нормативы!$L$13,"III юн",IF(ISTEXT(I512)," ",IF(ISBLANK(I512)," ","б/р")))))))))))))</f>
        <v xml:space="preserve"> </v>
      </c>
      <c r="L512" s="228"/>
      <c r="M512" s="230"/>
      <c r="N512" s="230"/>
      <c r="O512" s="230"/>
      <c r="P512" s="230"/>
      <c r="Q512" s="230"/>
      <c r="R512" s="230"/>
      <c r="S512" s="230"/>
      <c r="T512" s="230"/>
    </row>
    <row r="513" spans="1:20" s="229" customFormat="1" ht="14.5" customHeight="1" x14ac:dyDescent="0.3">
      <c r="A513" s="221" t="s">
        <v>217</v>
      </c>
      <c r="B513" s="14"/>
      <c r="C513" s="214"/>
      <c r="D513" s="214"/>
      <c r="E513" s="215"/>
      <c r="F513" s="214"/>
      <c r="G513" s="216"/>
      <c r="H513" s="14"/>
      <c r="I513" s="217"/>
      <c r="J513" s="59" t="str">
        <f>IF(ISBLANK(I513)," ",IF(ISTEXT(I513)," ",IF(I513&lt;=[1]Нормативы!$H$5,"КМС",IF(I513&lt;=[1]Нормативы!$H$6,"КМС",IF(I513&lt;=[1]Нормативы!$L$7,"КМС",IF(I513&lt;=[1]Нормативы!$L$8,"I",IF(I513&lt;=[1]Нормативы!$L$9,"II",IF(I513&lt;=[1]Нормативы!$L$10,"III",IF(I513&lt;=[1]Нормативы!$L$11,"I юн",IF(I513&lt;=[1]Нормативы!$L$12,"II юн",IF(I513&lt;=[1]Нормативы!$L$13,"III юн",IF(ISTEXT(I513)," ",IF(ISBLANK(I513)," ","б/р")))))))))))))</f>
        <v xml:space="preserve"> </v>
      </c>
      <c r="K513" s="14"/>
      <c r="L513" s="228"/>
      <c r="P513" s="230"/>
      <c r="Q513" s="230"/>
      <c r="R513" s="230"/>
      <c r="S513" s="230"/>
      <c r="T513" s="230"/>
    </row>
    <row r="514" spans="1:20" s="229" customFormat="1" ht="14.5" customHeight="1" x14ac:dyDescent="0.3">
      <c r="A514" s="14">
        <v>1</v>
      </c>
      <c r="B514" s="14" t="s">
        <v>37</v>
      </c>
      <c r="C514" s="214" t="s">
        <v>333</v>
      </c>
      <c r="D514" s="214"/>
      <c r="E514" s="215">
        <v>41326</v>
      </c>
      <c r="F514" s="214" t="s">
        <v>198</v>
      </c>
      <c r="G514" s="216"/>
      <c r="H514" s="14"/>
      <c r="I514" s="217">
        <v>21.87</v>
      </c>
      <c r="J514" s="59" t="str">
        <f>IF(ISBLANK(I514)," ",IF(ISTEXT(I514)," ",IF(I514&lt;=[1]Нормативы!$H$5,"КМС",IF(I514&lt;=[1]Нормативы!$H$6,"КМС",IF(I514&lt;=[1]Нормативы!$L$7,"КМС",IF(I514&lt;=[1]Нормативы!$L$8,"I",IF(I514&lt;=[1]Нормативы!$L$9,"II",IF(I514&lt;=[1]Нормативы!$L$10,"III",IF(I514&lt;=[1]Нормативы!$L$11,"I юн",IF(I514&lt;=[1]Нормативы!$L$12,"II юн",IF(I514&lt;=[1]Нормативы!$L$13,"III юн",IF(ISTEXT(I514)," ",IF(ISBLANK(I514)," ","б/р")))))))))))))</f>
        <v>II</v>
      </c>
      <c r="K514" s="14"/>
      <c r="L514" s="228"/>
      <c r="P514" s="230"/>
      <c r="Q514" s="230"/>
      <c r="R514" s="230"/>
      <c r="S514" s="230"/>
      <c r="T514" s="230"/>
    </row>
    <row r="515" spans="1:20" s="229" customFormat="1" ht="14.5" customHeight="1" x14ac:dyDescent="0.3">
      <c r="A515" s="14">
        <v>2</v>
      </c>
      <c r="B515" s="14" t="s">
        <v>6</v>
      </c>
      <c r="C515" s="214" t="s">
        <v>273</v>
      </c>
      <c r="D515" s="214"/>
      <c r="E515" s="215">
        <v>41302</v>
      </c>
      <c r="F515" s="214" t="s">
        <v>198</v>
      </c>
      <c r="G515" s="216"/>
      <c r="H515" s="14"/>
      <c r="I515" s="217">
        <v>22.37</v>
      </c>
      <c r="J515" s="59" t="str">
        <f>IF(ISBLANK(I515)," ",IF(ISTEXT(I515)," ",IF(I515&lt;=[1]Нормативы!$H$5,"КМС",IF(I515&lt;=[1]Нормативы!$H$6,"КМС",IF(I515&lt;=[1]Нормативы!$L$7,"КМС",IF(I515&lt;=[1]Нормативы!$L$8,"I",IF(I515&lt;=[1]Нормативы!$L$9,"II",IF(I515&lt;=[1]Нормативы!$L$10,"III",IF(I515&lt;=[1]Нормативы!$L$11,"I юн",IF(I515&lt;=[1]Нормативы!$L$12,"II юн",IF(I515&lt;=[1]Нормативы!$L$13,"III юн",IF(ISTEXT(I515)," ",IF(ISBLANK(I515)," ","б/р")))))))))))))</f>
        <v>II</v>
      </c>
      <c r="K515" s="14"/>
      <c r="L515" s="228"/>
      <c r="P515" s="230"/>
      <c r="Q515" s="230"/>
      <c r="R515" s="230"/>
      <c r="S515" s="230"/>
      <c r="T515" s="230"/>
    </row>
    <row r="516" spans="1:20" s="229" customFormat="1" ht="14.5" customHeight="1" x14ac:dyDescent="0.3">
      <c r="A516" s="14">
        <v>3</v>
      </c>
      <c r="B516" s="14" t="s">
        <v>25</v>
      </c>
      <c r="C516" s="214" t="s">
        <v>314</v>
      </c>
      <c r="D516" s="214"/>
      <c r="E516" s="215">
        <v>41409</v>
      </c>
      <c r="F516" s="214" t="s">
        <v>198</v>
      </c>
      <c r="G516" s="216"/>
      <c r="H516" s="14"/>
      <c r="I516" s="217">
        <v>23.28</v>
      </c>
      <c r="J516" s="59" t="str">
        <f>IF(ISBLANK(I516)," ",IF(ISTEXT(I516)," ",IF(I516&lt;=[1]Нормативы!$H$5,"КМС",IF(I516&lt;=[1]Нормативы!$H$6,"КМС",IF(I516&lt;=[1]Нормативы!$L$7,"КМС",IF(I516&lt;=[1]Нормативы!$L$8,"I",IF(I516&lt;=[1]Нормативы!$L$9,"II",IF(I516&lt;=[1]Нормативы!$L$10,"III",IF(I516&lt;=[1]Нормативы!$L$11,"I юн",IF(I516&lt;=[1]Нормативы!$L$12,"II юн",IF(I516&lt;=[1]Нормативы!$L$13,"III юн",IF(ISTEXT(I516)," ",IF(ISBLANK(I516)," ","б/р")))))))))))))</f>
        <v>III</v>
      </c>
      <c r="K516" s="14"/>
      <c r="L516" s="228"/>
      <c r="P516" s="230"/>
      <c r="Q516" s="230"/>
      <c r="R516" s="230"/>
      <c r="S516" s="230"/>
      <c r="T516" s="230"/>
    </row>
    <row r="517" spans="1:20" s="229" customFormat="1" ht="14.5" customHeight="1" x14ac:dyDescent="0.3">
      <c r="A517" s="14">
        <v>4</v>
      </c>
      <c r="B517" s="14" t="s">
        <v>25</v>
      </c>
      <c r="C517" s="214" t="s">
        <v>254</v>
      </c>
      <c r="D517" s="214"/>
      <c r="E517" s="215">
        <v>41737</v>
      </c>
      <c r="F517" s="214" t="s">
        <v>172</v>
      </c>
      <c r="G517" s="216"/>
      <c r="H517" s="14"/>
      <c r="I517" s="217">
        <v>24.5</v>
      </c>
      <c r="J517" s="59" t="str">
        <f>IF(ISBLANK(I517)," ",IF(ISTEXT(I517)," ",IF(I517&lt;=[1]Нормативы!$H$5,"КМС",IF(I517&lt;=[1]Нормативы!$H$6,"КМС",IF(I517&lt;=[1]Нормативы!$L$7,"КМС",IF(I517&lt;=[1]Нормативы!$L$8,"I",IF(I517&lt;=[1]Нормативы!$L$9,"II",IF(I517&lt;=[1]Нормативы!$L$10,"III",IF(I517&lt;=[1]Нормативы!$L$11,"I юн",IF(I517&lt;=[1]Нормативы!$L$12,"II юн",IF(I517&lt;=[1]Нормативы!$L$13,"III юн",IF(ISTEXT(I517)," ",IF(ISBLANK(I517)," ","б/р")))))))))))))</f>
        <v>III</v>
      </c>
      <c r="K517" s="14"/>
      <c r="L517" s="228"/>
      <c r="P517" s="230"/>
      <c r="Q517" s="230"/>
      <c r="R517" s="230"/>
      <c r="S517" s="230"/>
      <c r="T517" s="230"/>
    </row>
    <row r="518" spans="1:20" s="229" customFormat="1" ht="14.5" customHeight="1" x14ac:dyDescent="0.3">
      <c r="A518" s="14">
        <v>5</v>
      </c>
      <c r="B518" s="14"/>
      <c r="C518" s="214" t="s">
        <v>323</v>
      </c>
      <c r="D518" s="214"/>
      <c r="E518" s="215">
        <v>41852</v>
      </c>
      <c r="F518" s="214" t="s">
        <v>198</v>
      </c>
      <c r="G518" s="216"/>
      <c r="H518" s="14"/>
      <c r="I518" s="217">
        <v>26.03</v>
      </c>
      <c r="J518" s="59" t="str">
        <f>IF(ISBLANK(I518)," ",IF(ISTEXT(I518)," ",IF(I518&lt;=[1]Нормативы!$H$5,"КМС",IF(I518&lt;=[1]Нормативы!$H$6,"КМС",IF(I518&lt;=[1]Нормативы!$L$7,"КМС",IF(I518&lt;=[1]Нормативы!$L$8,"I",IF(I518&lt;=[1]Нормативы!$L$9,"II",IF(I518&lt;=[1]Нормативы!$L$10,"III",IF(I518&lt;=[1]Нормативы!$L$11,"I юн",IF(I518&lt;=[1]Нормативы!$L$12,"II юн",IF(I518&lt;=[1]Нормативы!$L$13,"III юн",IF(ISTEXT(I518)," ",IF(ISBLANK(I518)," ","б/р")))))))))))))</f>
        <v>I юн</v>
      </c>
      <c r="K518" s="14"/>
      <c r="L518" s="228"/>
      <c r="P518" s="230"/>
      <c r="Q518" s="230"/>
      <c r="R518" s="230"/>
      <c r="S518" s="230"/>
      <c r="T518" s="230"/>
    </row>
    <row r="519" spans="1:20" s="229" customFormat="1" ht="14.5" customHeight="1" x14ac:dyDescent="0.3">
      <c r="A519" s="14">
        <v>6</v>
      </c>
      <c r="B519" s="14" t="s">
        <v>38</v>
      </c>
      <c r="C519" s="214" t="s">
        <v>328</v>
      </c>
      <c r="D519" s="214"/>
      <c r="E519" s="215">
        <v>41504</v>
      </c>
      <c r="F519" s="214" t="s">
        <v>198</v>
      </c>
      <c r="G519" s="216"/>
      <c r="H519" s="14"/>
      <c r="I519" s="217">
        <v>26.21</v>
      </c>
      <c r="J519" s="59" t="str">
        <f>IF(ISBLANK(I519)," ",IF(ISTEXT(I519)," ",IF(I519&lt;=[1]Нормативы!$H$5,"КМС",IF(I519&lt;=[1]Нормативы!$H$6,"КМС",IF(I519&lt;=[1]Нормативы!$L$7,"КМС",IF(I519&lt;=[1]Нормативы!$L$8,"I",IF(I519&lt;=[1]Нормативы!$L$9,"II",IF(I519&lt;=[1]Нормативы!$L$10,"III",IF(I519&lt;=[1]Нормативы!$L$11,"I юн",IF(I519&lt;=[1]Нормативы!$L$12,"II юн",IF(I519&lt;=[1]Нормативы!$L$13,"III юн",IF(ISTEXT(I519)," ",IF(ISBLANK(I519)," ","б/р")))))))))))))</f>
        <v>I юн</v>
      </c>
      <c r="K519" s="14"/>
      <c r="L519" s="228"/>
      <c r="P519" s="230"/>
      <c r="Q519" s="230"/>
      <c r="R519" s="230"/>
      <c r="S519" s="230"/>
      <c r="T519" s="230"/>
    </row>
    <row r="520" spans="1:20" s="229" customFormat="1" ht="14.5" customHeight="1" x14ac:dyDescent="0.3">
      <c r="A520" s="14">
        <v>7</v>
      </c>
      <c r="B520" s="14" t="s">
        <v>25</v>
      </c>
      <c r="C520" s="214" t="s">
        <v>253</v>
      </c>
      <c r="D520" s="214"/>
      <c r="E520" s="215">
        <v>41932</v>
      </c>
      <c r="F520" s="214" t="s">
        <v>172</v>
      </c>
      <c r="G520" s="216"/>
      <c r="H520" s="14"/>
      <c r="I520" s="217">
        <v>26.32</v>
      </c>
      <c r="J520" s="59" t="str">
        <f>IF(ISBLANK(I520)," ",IF(ISTEXT(I520)," ",IF(I520&lt;=[1]Нормативы!$H$5,"КМС",IF(I520&lt;=[1]Нормативы!$H$6,"КМС",IF(I520&lt;=[1]Нормативы!$L$7,"КМС",IF(I520&lt;=[1]Нормативы!$L$8,"I",IF(I520&lt;=[1]Нормативы!$L$9,"II",IF(I520&lt;=[1]Нормативы!$L$10,"III",IF(I520&lt;=[1]Нормативы!$L$11,"I юн",IF(I520&lt;=[1]Нормативы!$L$12,"II юн",IF(I520&lt;=[1]Нормативы!$L$13,"III юн",IF(ISTEXT(I520)," ",IF(ISBLANK(I520)," ","б/р")))))))))))))</f>
        <v>I юн</v>
      </c>
      <c r="K520" s="14"/>
      <c r="L520" s="228"/>
      <c r="P520" s="230"/>
      <c r="Q520" s="230"/>
      <c r="R520" s="230"/>
      <c r="S520" s="230"/>
      <c r="T520" s="230"/>
    </row>
    <row r="521" spans="1:20" s="229" customFormat="1" ht="14.5" customHeight="1" x14ac:dyDescent="0.3">
      <c r="A521" s="14">
        <v>8</v>
      </c>
      <c r="B521" s="14" t="s">
        <v>25</v>
      </c>
      <c r="C521" s="214" t="s">
        <v>256</v>
      </c>
      <c r="D521" s="214"/>
      <c r="E521" s="215">
        <v>41711</v>
      </c>
      <c r="F521" s="214" t="s">
        <v>172</v>
      </c>
      <c r="G521" s="216"/>
      <c r="H521" s="14"/>
      <c r="I521" s="217">
        <v>27.17</v>
      </c>
      <c r="J521" s="59" t="str">
        <f>IF(ISBLANK(I521)," ",IF(ISTEXT(I521)," ",IF(I521&lt;=[1]Нормативы!$H$5,"КМС",IF(I521&lt;=[1]Нормативы!$H$6,"КМС",IF(I521&lt;=[1]Нормативы!$L$7,"КМС",IF(I521&lt;=[1]Нормативы!$L$8,"I",IF(I521&lt;=[1]Нормативы!$L$9,"II",IF(I521&lt;=[1]Нормативы!$L$10,"III",IF(I521&lt;=[1]Нормативы!$L$11,"I юн",IF(I521&lt;=[1]Нормативы!$L$12,"II юн",IF(I521&lt;=[1]Нормативы!$L$13,"III юн",IF(ISTEXT(I521)," ",IF(ISBLANK(I521)," ","б/р")))))))))))))</f>
        <v>II юн</v>
      </c>
      <c r="K521" s="14"/>
      <c r="L521" s="228"/>
      <c r="P521" s="230"/>
      <c r="Q521" s="230"/>
      <c r="R521" s="230"/>
      <c r="S521" s="230"/>
      <c r="T521" s="230"/>
    </row>
    <row r="522" spans="1:20" s="229" customFormat="1" ht="14.5" customHeight="1" x14ac:dyDescent="0.3">
      <c r="A522" s="14">
        <v>9</v>
      </c>
      <c r="B522" s="14" t="s">
        <v>26</v>
      </c>
      <c r="C522" s="214" t="s">
        <v>325</v>
      </c>
      <c r="D522" s="214"/>
      <c r="E522" s="215">
        <v>41688</v>
      </c>
      <c r="F522" s="214" t="s">
        <v>198</v>
      </c>
      <c r="G522" s="216"/>
      <c r="H522" s="14"/>
      <c r="I522" s="217">
        <v>27.8</v>
      </c>
      <c r="J522" s="59" t="str">
        <f>IF(ISBLANK(I522)," ",IF(ISTEXT(I522)," ",IF(I522&lt;=[1]Нормативы!$H$5,"КМС",IF(I522&lt;=[1]Нормативы!$H$6,"КМС",IF(I522&lt;=[1]Нормативы!$L$7,"КМС",IF(I522&lt;=[1]Нормативы!$L$8,"I",IF(I522&lt;=[1]Нормативы!$L$9,"II",IF(I522&lt;=[1]Нормативы!$L$10,"III",IF(I522&lt;=[1]Нормативы!$L$11,"I юн",IF(I522&lt;=[1]Нормативы!$L$12,"II юн",IF(I522&lt;=[1]Нормативы!$L$13,"III юн",IF(ISTEXT(I522)," ",IF(ISBLANK(I522)," ","б/р")))))))))))))</f>
        <v>II юн</v>
      </c>
      <c r="K522" s="14"/>
      <c r="L522" s="228"/>
      <c r="P522" s="230"/>
      <c r="Q522" s="230"/>
      <c r="R522" s="230"/>
      <c r="S522" s="230"/>
      <c r="T522" s="230"/>
    </row>
    <row r="523" spans="1:20" s="229" customFormat="1" ht="14.5" customHeight="1" x14ac:dyDescent="0.3">
      <c r="A523" s="14">
        <v>10</v>
      </c>
      <c r="B523" s="14" t="s">
        <v>26</v>
      </c>
      <c r="C523" s="214" t="s">
        <v>311</v>
      </c>
      <c r="D523" s="214"/>
      <c r="E523" s="215">
        <v>41915</v>
      </c>
      <c r="F523" s="214" t="s">
        <v>198</v>
      </c>
      <c r="G523" s="216"/>
      <c r="H523" s="14"/>
      <c r="I523" s="217">
        <v>37.270000000000003</v>
      </c>
      <c r="J523" s="59" t="str">
        <f>IF(ISBLANK(I523)," ",IF(ISTEXT(I523)," ",IF(I523&lt;=[1]Нормативы!$H$5,"КМС",IF(I523&lt;=[1]Нормативы!$H$6,"КМС",IF(I523&lt;=[1]Нормативы!$L$7,"КМС",IF(I523&lt;=[1]Нормативы!$L$8,"I",IF(I523&lt;=[1]Нормативы!$L$9,"II",IF(I523&lt;=[1]Нормативы!$L$10,"III",IF(I523&lt;=[1]Нормативы!$L$11,"I юн",IF(I523&lt;=[1]Нормативы!$L$12,"II юн",IF(I523&lt;=[1]Нормативы!$L$13,"III юн",IF(ISTEXT(I523)," ",IF(ISBLANK(I523)," ","б/р")))))))))))))</f>
        <v>б/р</v>
      </c>
      <c r="K523" s="14"/>
      <c r="L523" s="228"/>
      <c r="P523" s="230"/>
      <c r="Q523" s="230"/>
      <c r="R523" s="230"/>
      <c r="S523" s="230"/>
      <c r="T523" s="230"/>
    </row>
    <row r="524" spans="1:20" s="229" customFormat="1" ht="14.5" customHeight="1" x14ac:dyDescent="0.3">
      <c r="A524" s="14"/>
      <c r="B524" s="14" t="s">
        <v>22</v>
      </c>
      <c r="C524" s="214" t="s">
        <v>312</v>
      </c>
      <c r="D524" s="214"/>
      <c r="E524" s="215">
        <v>41882</v>
      </c>
      <c r="F524" s="214" t="s">
        <v>198</v>
      </c>
      <c r="G524" s="216"/>
      <c r="H524" s="14"/>
      <c r="I524" s="217" t="s">
        <v>191</v>
      </c>
      <c r="J524" s="59" t="str">
        <f>IF(ISBLANK(I524)," ",IF(ISTEXT(I524)," ",IF(I524&lt;=[1]Нормативы!$H$5,"КМС",IF(I524&lt;=[1]Нормативы!$H$6,"КМС",IF(I524&lt;=[1]Нормативы!$L$7,"КМС",IF(I524&lt;=[1]Нормативы!$L$8,"I",IF(I524&lt;=[1]Нормативы!$L$9,"II",IF(I524&lt;=[1]Нормативы!$L$10,"III",IF(I524&lt;=[1]Нормативы!$L$11,"I юн",IF(I524&lt;=[1]Нормативы!$L$12,"II юн",IF(I524&lt;=[1]Нормативы!$L$13,"III юн",IF(ISTEXT(I524)," ",IF(ISBLANK(I524)," ","б/р")))))))))))))</f>
        <v xml:space="preserve"> </v>
      </c>
      <c r="K524" s="14"/>
      <c r="L524" s="228"/>
      <c r="P524" s="230"/>
      <c r="Q524" s="230"/>
      <c r="R524" s="230"/>
      <c r="S524" s="230"/>
      <c r="T524" s="230"/>
    </row>
    <row r="525" spans="1:20" s="229" customFormat="1" ht="14.5" customHeight="1" x14ac:dyDescent="0.3">
      <c r="A525" s="14"/>
      <c r="B525" s="14"/>
      <c r="C525" s="222"/>
      <c r="D525" s="222"/>
      <c r="E525" s="215"/>
      <c r="F525" s="214"/>
      <c r="G525" s="216"/>
      <c r="H525" s="14"/>
      <c r="I525" s="217"/>
      <c r="J525" s="59" t="str">
        <f>IF(ISBLANK(I525)," ",IF(ISTEXT(I525)," ",IF(I525&lt;=[1]Нормативы!$H$5,"КМС",IF(I525&lt;=[1]Нормативы!$H$6,"КМС",IF(I525&lt;=[1]Нормативы!$L$7,"КМС",IF(I525&lt;=[1]Нормативы!$L$8,"I",IF(I525&lt;=[1]Нормативы!$L$9,"II",IF(I525&lt;=[1]Нормативы!$L$10,"III",IF(I525&lt;=[1]Нормативы!$L$11,"I юн",IF(I525&lt;=[1]Нормативы!$L$12,"II юн",IF(I525&lt;=[1]Нормативы!$L$13,"III юн",IF(ISTEXT(I525)," ",IF(ISBLANK(I525)," ","б/р")))))))))))))</f>
        <v xml:space="preserve"> </v>
      </c>
      <c r="K525" s="14"/>
      <c r="L525" s="228"/>
      <c r="P525" s="230"/>
      <c r="Q525" s="230"/>
      <c r="R525" s="230"/>
      <c r="S525" s="230"/>
      <c r="T525" s="230"/>
    </row>
    <row r="526" spans="1:20" s="229" customFormat="1" ht="14.5" customHeight="1" x14ac:dyDescent="0.3">
      <c r="A526" s="221" t="s">
        <v>489</v>
      </c>
      <c r="B526" s="14"/>
      <c r="C526" s="214"/>
      <c r="D526" s="214"/>
      <c r="E526" s="215"/>
      <c r="F526" s="214"/>
      <c r="G526" s="216"/>
      <c r="H526" s="14"/>
      <c r="I526" s="217"/>
      <c r="J526" s="231"/>
      <c r="K526" s="14"/>
      <c r="L526" s="228"/>
      <c r="N526" s="230"/>
      <c r="O526" s="230"/>
      <c r="P526" s="230"/>
      <c r="Q526" s="230"/>
      <c r="R526" s="230"/>
      <c r="S526" s="230"/>
      <c r="T526" s="230"/>
    </row>
    <row r="527" spans="1:20" s="229" customFormat="1" ht="14.5" customHeight="1" x14ac:dyDescent="0.3">
      <c r="A527" s="14">
        <v>1</v>
      </c>
      <c r="B527" s="14" t="s">
        <v>6</v>
      </c>
      <c r="C527" s="214" t="s">
        <v>241</v>
      </c>
      <c r="D527" s="214"/>
      <c r="E527" s="215">
        <v>41127</v>
      </c>
      <c r="F527" s="214" t="s">
        <v>198</v>
      </c>
      <c r="G527" s="216"/>
      <c r="H527" s="14"/>
      <c r="I527" s="217">
        <v>19.46</v>
      </c>
      <c r="J527" s="59" t="str">
        <f>IF(ISBLANK(I527)," ",IF(ISTEXT(I527)," ",IF(I527&lt;=[1]Нормативы!$H$16,"КМС",IF(I527&lt;=[1]Нормативы!$H$17,"КМС",IF(I527&lt;=[1]Нормативы!$L$18,"КМС",IF(I527&lt;=[1]Нормативы!$L$19,"I",IF(I527&lt;=[1]Нормативы!$L$20,"II",IF(I527&lt;=[1]Нормативы!$L$21,"III",IF(I527&lt;=[1]Нормативы!$L$22,"I юн",IF(I527&lt;=[1]Нормативы!$L$23,"II юн",IF(I527&lt;=[1]Нормативы!$L$24,"III юн","б/р")))))))))))</f>
        <v>II</v>
      </c>
      <c r="K527" s="14"/>
      <c r="L527" s="228"/>
      <c r="N527" s="230"/>
      <c r="O527" s="230"/>
      <c r="P527" s="230"/>
      <c r="Q527" s="230"/>
      <c r="R527" s="230"/>
      <c r="S527" s="230"/>
      <c r="T527" s="230"/>
    </row>
    <row r="528" spans="1:20" s="229" customFormat="1" ht="14.5" customHeight="1" x14ac:dyDescent="0.3">
      <c r="A528" s="14">
        <v>2</v>
      </c>
      <c r="B528" s="14" t="s">
        <v>26</v>
      </c>
      <c r="C528" s="214" t="s">
        <v>353</v>
      </c>
      <c r="D528" s="214"/>
      <c r="E528" s="215">
        <v>41108</v>
      </c>
      <c r="F528" s="214" t="s">
        <v>198</v>
      </c>
      <c r="G528" s="216"/>
      <c r="H528" s="14"/>
      <c r="I528" s="217">
        <v>19.5</v>
      </c>
      <c r="J528" s="59" t="str">
        <f>IF(ISBLANK(I528)," ",IF(ISTEXT(I528)," ",IF(I528&lt;=[1]Нормативы!$H$16,"КМС",IF(I528&lt;=[1]Нормативы!$H$17,"КМС",IF(I528&lt;=[1]Нормативы!$L$18,"КМС",IF(I528&lt;=[1]Нормативы!$L$19,"I",IF(I528&lt;=[1]Нормативы!$L$20,"II",IF(I528&lt;=[1]Нормативы!$L$21,"III",IF(I528&lt;=[1]Нормативы!$L$22,"I юн",IF(I528&lt;=[1]Нормативы!$L$23,"II юн",IF(I528&lt;=[1]Нормативы!$L$24,"III юн","б/р")))))))))))</f>
        <v>II</v>
      </c>
      <c r="K528" s="14"/>
      <c r="L528" s="228"/>
      <c r="M528" s="230"/>
      <c r="N528" s="230"/>
      <c r="O528" s="230"/>
      <c r="P528" s="230"/>
      <c r="Q528" s="230"/>
      <c r="R528" s="230"/>
      <c r="S528" s="230"/>
      <c r="T528" s="230"/>
    </row>
    <row r="529" spans="1:20" s="229" customFormat="1" ht="14.5" customHeight="1" x14ac:dyDescent="0.3">
      <c r="A529" s="14">
        <v>3</v>
      </c>
      <c r="B529" s="14" t="s">
        <v>24</v>
      </c>
      <c r="C529" s="214" t="s">
        <v>261</v>
      </c>
      <c r="D529" s="214"/>
      <c r="E529" s="215">
        <v>41061</v>
      </c>
      <c r="F529" s="214" t="s">
        <v>172</v>
      </c>
      <c r="G529" s="216"/>
      <c r="H529" s="14"/>
      <c r="I529" s="217">
        <v>19.79</v>
      </c>
      <c r="J529" s="59" t="str">
        <f>IF(ISBLANK(I529)," ",IF(ISTEXT(I529)," ",IF(I529&lt;=[1]Нормативы!$H$16,"КМС",IF(I529&lt;=[1]Нормативы!$H$17,"КМС",IF(I529&lt;=[1]Нормативы!$L$18,"КМС",IF(I529&lt;=[1]Нормативы!$L$19,"I",IF(I529&lt;=[1]Нормативы!$L$20,"II",IF(I529&lt;=[1]Нормативы!$L$21,"III",IF(I529&lt;=[1]Нормативы!$L$22,"I юн",IF(I529&lt;=[1]Нормативы!$L$23,"II юн",IF(I529&lt;=[1]Нормативы!$L$24,"III юн","б/р")))))))))))</f>
        <v>II</v>
      </c>
      <c r="K529" s="14"/>
      <c r="L529" s="228"/>
      <c r="M529" s="230"/>
      <c r="N529" s="230"/>
      <c r="O529" s="230"/>
      <c r="P529" s="230"/>
      <c r="Q529" s="230"/>
      <c r="R529" s="230"/>
      <c r="S529" s="230"/>
      <c r="T529" s="230"/>
    </row>
    <row r="530" spans="1:20" s="229" customFormat="1" ht="14.5" customHeight="1" x14ac:dyDescent="0.3">
      <c r="A530" s="14">
        <v>4</v>
      </c>
      <c r="B530" s="14" t="s">
        <v>24</v>
      </c>
      <c r="C530" s="214" t="s">
        <v>373</v>
      </c>
      <c r="D530" s="214"/>
      <c r="E530" s="215">
        <v>40725</v>
      </c>
      <c r="F530" s="214" t="s">
        <v>198</v>
      </c>
      <c r="G530" s="216"/>
      <c r="H530" s="14"/>
      <c r="I530" s="217">
        <v>20.34</v>
      </c>
      <c r="J530" s="59" t="str">
        <f>IF(ISBLANK(I530)," ",IF(ISTEXT(I530)," ",IF(I530&lt;=[1]Нормативы!$H$16,"КМС",IF(I530&lt;=[1]Нормативы!$H$17,"КМС",IF(I530&lt;=[1]Нормативы!$L$18,"КМС",IF(I530&lt;=[1]Нормативы!$L$19,"I",IF(I530&lt;=[1]Нормативы!$L$20,"II",IF(I530&lt;=[1]Нормативы!$L$21,"III",IF(I530&lt;=[1]Нормативы!$L$22,"I юн",IF(I530&lt;=[1]Нормативы!$L$23,"II юн",IF(I530&lt;=[1]Нормативы!$L$24,"III юн","б/р")))))))))))</f>
        <v>III</v>
      </c>
      <c r="K530" s="14"/>
      <c r="L530" s="228"/>
      <c r="M530" s="230"/>
      <c r="N530" s="230"/>
      <c r="O530" s="230"/>
      <c r="P530" s="230"/>
      <c r="Q530" s="230"/>
      <c r="R530" s="230"/>
      <c r="S530" s="230"/>
      <c r="T530" s="230"/>
    </row>
    <row r="531" spans="1:20" s="229" customFormat="1" ht="14.5" customHeight="1" x14ac:dyDescent="0.3">
      <c r="A531" s="14">
        <v>5</v>
      </c>
      <c r="B531" s="14" t="s">
        <v>6</v>
      </c>
      <c r="C531" s="214" t="s">
        <v>307</v>
      </c>
      <c r="D531" s="214"/>
      <c r="E531" s="215">
        <v>40679</v>
      </c>
      <c r="F531" s="214" t="s">
        <v>198</v>
      </c>
      <c r="G531" s="216"/>
      <c r="H531" s="14"/>
      <c r="I531" s="217">
        <v>20.6</v>
      </c>
      <c r="J531" s="59" t="str">
        <f>IF(ISBLANK(I531)," ",IF(ISTEXT(I531)," ",IF(I531&lt;=[1]Нормативы!$H$16,"КМС",IF(I531&lt;=[1]Нормативы!$H$17,"КМС",IF(I531&lt;=[1]Нормативы!$L$18,"КМС",IF(I531&lt;=[1]Нормативы!$L$19,"I",IF(I531&lt;=[1]Нормативы!$L$20,"II",IF(I531&lt;=[1]Нормативы!$L$21,"III",IF(I531&lt;=[1]Нормативы!$L$22,"I юн",IF(I531&lt;=[1]Нормативы!$L$23,"II юн",IF(I531&lt;=[1]Нормативы!$L$24,"III юн","б/р")))))))))))</f>
        <v>III</v>
      </c>
      <c r="K531" s="14"/>
      <c r="L531" s="228"/>
      <c r="M531" s="230"/>
      <c r="N531" s="230"/>
      <c r="O531" s="230"/>
      <c r="P531" s="230"/>
      <c r="Q531" s="230"/>
      <c r="R531" s="230"/>
      <c r="S531" s="230"/>
      <c r="T531" s="230"/>
    </row>
    <row r="532" spans="1:20" s="229" customFormat="1" ht="14.5" customHeight="1" x14ac:dyDescent="0.3">
      <c r="A532" s="14">
        <v>6</v>
      </c>
      <c r="B532" s="14" t="s">
        <v>24</v>
      </c>
      <c r="C532" s="214" t="s">
        <v>299</v>
      </c>
      <c r="D532" s="214"/>
      <c r="E532" s="215">
        <v>40529</v>
      </c>
      <c r="F532" s="214" t="s">
        <v>198</v>
      </c>
      <c r="G532" s="216"/>
      <c r="H532" s="14"/>
      <c r="I532" s="217">
        <v>22.87</v>
      </c>
      <c r="J532" s="59" t="str">
        <f>IF(ISBLANK(I532)," ",IF(ISTEXT(I532)," ",IF(I532&lt;=[1]Нормативы!$H$16,"КМС",IF(I532&lt;=[1]Нормативы!$H$17,"КМС",IF(I532&lt;=[1]Нормативы!$L$18,"КМС",IF(I532&lt;=[1]Нормативы!$L$19,"I",IF(I532&lt;=[1]Нормативы!$L$20,"II",IF(I532&lt;=[1]Нормативы!$L$21,"III",IF(I532&lt;=[1]Нормативы!$L$22,"I юн",IF(I532&lt;=[1]Нормативы!$L$23,"II юн",IF(I532&lt;=[1]Нормативы!$L$24,"III юн","б/р")))))))))))</f>
        <v>I юн</v>
      </c>
      <c r="K532" s="14"/>
      <c r="L532" s="228"/>
      <c r="M532" s="230"/>
      <c r="N532" s="230"/>
      <c r="O532" s="230"/>
      <c r="P532" s="230"/>
      <c r="Q532" s="230"/>
      <c r="R532" s="230"/>
      <c r="S532" s="230"/>
      <c r="T532" s="230"/>
    </row>
    <row r="533" spans="1:20" s="229" customFormat="1" ht="14.5" customHeight="1" x14ac:dyDescent="0.3">
      <c r="A533" s="14"/>
      <c r="B533" s="14"/>
      <c r="C533" s="222"/>
      <c r="D533" s="222"/>
      <c r="E533" s="215"/>
      <c r="F533" s="214"/>
      <c r="G533" s="216"/>
      <c r="H533" s="14"/>
      <c r="I533" s="217"/>
      <c r="J533" s="59"/>
      <c r="K533" s="14"/>
      <c r="L533" s="228"/>
      <c r="M533" s="230"/>
      <c r="N533" s="230"/>
      <c r="O533" s="230"/>
      <c r="P533" s="230"/>
      <c r="Q533" s="230"/>
      <c r="R533" s="230"/>
      <c r="S533" s="230"/>
      <c r="T533" s="230"/>
    </row>
    <row r="534" spans="1:20" s="229" customFormat="1" ht="14.5" customHeight="1" x14ac:dyDescent="0.3">
      <c r="A534" s="221" t="s">
        <v>218</v>
      </c>
      <c r="B534" s="14"/>
      <c r="C534" s="214"/>
      <c r="D534" s="214"/>
      <c r="E534" s="215"/>
      <c r="F534" s="214"/>
      <c r="G534" s="216"/>
      <c r="H534" s="14"/>
      <c r="I534" s="217"/>
      <c r="J534" s="59" t="str">
        <f>IF(ISBLANK(I534)," ",IF(ISTEXT(I534)," ",IF(I534&lt;=[1]Нормативы!$H$16,"КМС",IF(I534&lt;=[1]Нормативы!$H$17,"КМС",IF(I534&lt;=[1]Нормативы!$L$18,"КМС",IF(I534&lt;=[1]Нормативы!$L$19,"I",IF(I534&lt;=[1]Нормативы!$L$20,"II",IF(I534&lt;=[1]Нормативы!$L$21,"III",IF(I534&lt;=[1]Нормативы!$L$22,"I юн",IF(I534&lt;=[1]Нормативы!$L$23,"II юн",IF(I534&lt;=[1]Нормативы!$L$24,"III юн","б/р")))))))))))</f>
        <v xml:space="preserve"> </v>
      </c>
      <c r="K534" s="14"/>
      <c r="L534" s="228"/>
      <c r="M534" s="230"/>
      <c r="N534" s="230"/>
      <c r="O534" s="230"/>
      <c r="P534" s="230"/>
      <c r="Q534" s="230"/>
      <c r="R534" s="230"/>
      <c r="S534" s="230"/>
      <c r="T534" s="230"/>
    </row>
    <row r="535" spans="1:20" s="229" customFormat="1" ht="14.5" customHeight="1" x14ac:dyDescent="0.3">
      <c r="A535" s="14">
        <v>1</v>
      </c>
      <c r="B535" s="14" t="s">
        <v>25</v>
      </c>
      <c r="C535" s="214" t="s">
        <v>405</v>
      </c>
      <c r="D535" s="214"/>
      <c r="E535" s="215">
        <v>41452</v>
      </c>
      <c r="F535" s="214" t="s">
        <v>193</v>
      </c>
      <c r="G535" s="216"/>
      <c r="H535" s="14"/>
      <c r="I535" s="217">
        <v>23.72</v>
      </c>
      <c r="J535" s="59" t="str">
        <f>IF(ISBLANK(I535)," ",IF(ISTEXT(I535)," ",IF(I535&lt;=[1]Нормативы!$H$16,"КМС",IF(I535&lt;=[1]Нормативы!$H$17,"КМС",IF(I535&lt;=[1]Нормативы!$L$18,"КМС",IF(I535&lt;=[1]Нормативы!$L$19,"I",IF(I535&lt;=[1]Нормативы!$L$20,"II",IF(I535&lt;=[1]Нормативы!$L$21,"III",IF(I535&lt;=[1]Нормативы!$L$22,"I юн",IF(I535&lt;=[1]Нормативы!$L$23,"II юн",IF(I535&lt;=[1]Нормативы!$L$24,"III юн","б/р")))))))))))</f>
        <v>I юн</v>
      </c>
      <c r="K535" s="14"/>
      <c r="L535" s="228"/>
      <c r="M535" s="230"/>
      <c r="N535" s="230"/>
      <c r="O535" s="230"/>
      <c r="P535" s="230"/>
      <c r="Q535" s="230"/>
      <c r="R535" s="230"/>
      <c r="S535" s="230"/>
      <c r="T535" s="230"/>
    </row>
    <row r="536" spans="1:20" s="229" customFormat="1" ht="14.5" customHeight="1" x14ac:dyDescent="0.3">
      <c r="A536" s="14">
        <v>2</v>
      </c>
      <c r="B536" s="14" t="s">
        <v>22</v>
      </c>
      <c r="C536" s="214" t="s">
        <v>366</v>
      </c>
      <c r="D536" s="214"/>
      <c r="E536" s="215">
        <v>41484</v>
      </c>
      <c r="F536" s="214" t="s">
        <v>198</v>
      </c>
      <c r="G536" s="216"/>
      <c r="H536" s="14"/>
      <c r="I536" s="217">
        <v>23.99</v>
      </c>
      <c r="J536" s="59" t="str">
        <f>IF(ISBLANK(I536)," ",IF(ISTEXT(I536)," ",IF(I536&lt;=[1]Нормативы!$H$16,"КМС",IF(I536&lt;=[1]Нормативы!$H$17,"КМС",IF(I536&lt;=[1]Нормативы!$L$18,"КМС",IF(I536&lt;=[1]Нормативы!$L$19,"I",IF(I536&lt;=[1]Нормативы!$L$20,"II",IF(I536&lt;=[1]Нормативы!$L$21,"III",IF(I536&lt;=[1]Нормативы!$L$22,"I юн",IF(I536&lt;=[1]Нормативы!$L$23,"II юн",IF(I536&lt;=[1]Нормативы!$L$24,"III юн","б/р")))))))))))</f>
        <v>II юн</v>
      </c>
      <c r="K536" s="14"/>
      <c r="L536" s="228"/>
      <c r="M536" s="230"/>
      <c r="N536" s="230"/>
      <c r="O536" s="230"/>
      <c r="P536" s="230"/>
      <c r="Q536" s="230"/>
      <c r="R536" s="230"/>
      <c r="S536" s="230"/>
      <c r="T536" s="230"/>
    </row>
    <row r="537" spans="1:20" s="229" customFormat="1" ht="14.5" customHeight="1" x14ac:dyDescent="0.3">
      <c r="A537" s="14">
        <v>3</v>
      </c>
      <c r="B537" s="14" t="s">
        <v>38</v>
      </c>
      <c r="C537" s="214" t="s">
        <v>271</v>
      </c>
      <c r="D537" s="214"/>
      <c r="E537" s="215">
        <v>41835</v>
      </c>
      <c r="F537" s="214" t="s">
        <v>172</v>
      </c>
      <c r="G537" s="216"/>
      <c r="H537" s="14"/>
      <c r="I537" s="217">
        <v>24.24</v>
      </c>
      <c r="J537" s="59" t="str">
        <f>IF(ISBLANK(I537)," ",IF(ISTEXT(I537)," ",IF(I537&lt;=[1]Нормативы!$H$16,"КМС",IF(I537&lt;=[1]Нормативы!$H$17,"КМС",IF(I537&lt;=[1]Нормативы!$L$18,"КМС",IF(I537&lt;=[1]Нормативы!$L$19,"I",IF(I537&lt;=[1]Нормативы!$L$20,"II",IF(I537&lt;=[1]Нормативы!$L$21,"III",IF(I537&lt;=[1]Нормативы!$L$22,"I юн",IF(I537&lt;=[1]Нормативы!$L$23,"II юн",IF(I537&lt;=[1]Нормативы!$L$24,"III юн","б/р")))))))))))</f>
        <v>II юн</v>
      </c>
      <c r="K537" s="14"/>
      <c r="L537" s="228"/>
      <c r="N537" s="230"/>
      <c r="O537" s="230"/>
      <c r="P537" s="230"/>
      <c r="Q537" s="230"/>
      <c r="R537" s="230"/>
      <c r="S537" s="230"/>
      <c r="T537" s="230"/>
    </row>
    <row r="538" spans="1:20" s="229" customFormat="1" ht="14.5" customHeight="1" x14ac:dyDescent="0.3">
      <c r="A538" s="14">
        <v>4</v>
      </c>
      <c r="B538" s="14" t="s">
        <v>22</v>
      </c>
      <c r="C538" s="214" t="s">
        <v>361</v>
      </c>
      <c r="D538" s="214"/>
      <c r="E538" s="215">
        <v>41739</v>
      </c>
      <c r="F538" s="214" t="s">
        <v>198</v>
      </c>
      <c r="G538" s="216"/>
      <c r="H538" s="14"/>
      <c r="I538" s="217">
        <v>26.9</v>
      </c>
      <c r="J538" s="59" t="str">
        <f>IF(ISBLANK(I538)," ",IF(ISTEXT(I538)," ",IF(I538&lt;=[1]Нормативы!$H$16,"КМС",IF(I538&lt;=[1]Нормативы!$H$17,"КМС",IF(I538&lt;=[1]Нормативы!$L$18,"КМС",IF(I538&lt;=[1]Нормативы!$L$19,"I",IF(I538&lt;=[1]Нормативы!$L$20,"II",IF(I538&lt;=[1]Нормативы!$L$21,"III",IF(I538&lt;=[1]Нормативы!$L$22,"I юн",IF(I538&lt;=[1]Нормативы!$L$23,"II юн",IF(I538&lt;=[1]Нормативы!$L$24,"III юн","б/р")))))))))))</f>
        <v>III юн</v>
      </c>
      <c r="K538" s="14"/>
      <c r="L538" s="228"/>
      <c r="N538" s="230"/>
      <c r="O538" s="230"/>
      <c r="P538" s="230"/>
      <c r="Q538" s="230"/>
      <c r="R538" s="230"/>
      <c r="S538" s="230"/>
      <c r="T538" s="230"/>
    </row>
    <row r="539" spans="1:20" s="229" customFormat="1" ht="14.5" customHeight="1" x14ac:dyDescent="0.3">
      <c r="A539" s="14">
        <v>5</v>
      </c>
      <c r="B539" s="14" t="s">
        <v>38</v>
      </c>
      <c r="C539" s="214" t="s">
        <v>414</v>
      </c>
      <c r="D539" s="214"/>
      <c r="E539" s="215">
        <v>41920</v>
      </c>
      <c r="F539" s="214" t="s">
        <v>193</v>
      </c>
      <c r="G539" s="216"/>
      <c r="H539" s="14"/>
      <c r="I539" s="217">
        <v>27</v>
      </c>
      <c r="J539" s="59" t="str">
        <f>IF(ISBLANK(I539)," ",IF(ISTEXT(I539)," ",IF(I539&lt;=[1]Нормативы!$H$16,"КМС",IF(I539&lt;=[1]Нормативы!$H$17,"КМС",IF(I539&lt;=[1]Нормативы!$L$18,"КМС",IF(I539&lt;=[1]Нормативы!$L$19,"I",IF(I539&lt;=[1]Нормативы!$L$20,"II",IF(I539&lt;=[1]Нормативы!$L$21,"III",IF(I539&lt;=[1]Нормативы!$L$22,"I юн",IF(I539&lt;=[1]Нормативы!$L$23,"II юн",IF(I539&lt;=[1]Нормативы!$L$24,"III юн","б/р")))))))))))</f>
        <v>III юн</v>
      </c>
      <c r="K539" s="14"/>
      <c r="L539" s="228"/>
      <c r="N539" s="230"/>
      <c r="O539" s="230"/>
      <c r="P539" s="230"/>
      <c r="Q539" s="230"/>
      <c r="R539" s="230"/>
      <c r="S539" s="230"/>
      <c r="T539" s="230"/>
    </row>
    <row r="540" spans="1:20" s="229" customFormat="1" ht="14.5" customHeight="1" x14ac:dyDescent="0.3">
      <c r="A540" s="14">
        <v>6</v>
      </c>
      <c r="B540" s="14" t="s">
        <v>22</v>
      </c>
      <c r="C540" s="214" t="s">
        <v>268</v>
      </c>
      <c r="D540" s="214"/>
      <c r="E540" s="215">
        <v>41740</v>
      </c>
      <c r="F540" s="214" t="s">
        <v>172</v>
      </c>
      <c r="G540" s="216"/>
      <c r="H540" s="14"/>
      <c r="I540" s="217">
        <v>28.59</v>
      </c>
      <c r="J540" s="59" t="str">
        <f>IF(ISBLANK(I540)," ",IF(ISTEXT(I540)," ",IF(I540&lt;=[1]Нормативы!$H$16,"КМС",IF(I540&lt;=[1]Нормативы!$H$17,"КМС",IF(I540&lt;=[1]Нормативы!$L$18,"КМС",IF(I540&lt;=[1]Нормативы!$L$19,"I",IF(I540&lt;=[1]Нормативы!$L$20,"II",IF(I540&lt;=[1]Нормативы!$L$21,"III",IF(I540&lt;=[1]Нормативы!$L$22,"I юн",IF(I540&lt;=[1]Нормативы!$L$23,"II юн",IF(I540&lt;=[1]Нормативы!$L$24,"III юн","б/р")))))))))))</f>
        <v>б/р</v>
      </c>
      <c r="K540" s="14"/>
      <c r="L540" s="228"/>
      <c r="N540" s="230"/>
      <c r="O540" s="230"/>
      <c r="P540" s="230"/>
      <c r="Q540" s="230"/>
      <c r="R540" s="230"/>
      <c r="S540" s="230"/>
      <c r="T540" s="230"/>
    </row>
    <row r="541" spans="1:20" s="229" customFormat="1" ht="14.5" customHeight="1" x14ac:dyDescent="0.3">
      <c r="A541" s="14">
        <v>7</v>
      </c>
      <c r="B541" s="14" t="s">
        <v>23</v>
      </c>
      <c r="C541" s="214" t="s">
        <v>340</v>
      </c>
      <c r="D541" s="214"/>
      <c r="E541" s="215">
        <v>41744</v>
      </c>
      <c r="F541" s="214" t="s">
        <v>198</v>
      </c>
      <c r="G541" s="216"/>
      <c r="H541" s="14"/>
      <c r="I541" s="217">
        <v>28.77</v>
      </c>
      <c r="J541" s="59" t="str">
        <f>IF(ISBLANK(I541)," ",IF(ISTEXT(I541)," ",IF(I541&lt;=[1]Нормативы!$H$16,"КМС",IF(I541&lt;=[1]Нормативы!$H$17,"КМС",IF(I541&lt;=[1]Нормативы!$L$18,"КМС",IF(I541&lt;=[1]Нормативы!$L$19,"I",IF(I541&lt;=[1]Нормативы!$L$20,"II",IF(I541&lt;=[1]Нормативы!$L$21,"III",IF(I541&lt;=[1]Нормативы!$L$22,"I юн",IF(I541&lt;=[1]Нормативы!$L$23,"II юн",IF(I541&lt;=[1]Нормативы!$L$24,"III юн","б/р")))))))))))</f>
        <v>б/р</v>
      </c>
      <c r="K541" s="14"/>
      <c r="L541" s="228"/>
      <c r="N541" s="230"/>
      <c r="O541" s="230"/>
      <c r="P541" s="230"/>
      <c r="Q541" s="230"/>
      <c r="R541" s="230"/>
      <c r="S541" s="230"/>
      <c r="T541" s="230"/>
    </row>
    <row r="542" spans="1:20" s="229" customFormat="1" ht="14.5" customHeight="1" x14ac:dyDescent="0.3">
      <c r="A542" s="14"/>
      <c r="B542" s="14"/>
      <c r="C542" s="214"/>
      <c r="D542" s="214"/>
      <c r="E542" s="215"/>
      <c r="F542" s="214"/>
      <c r="G542" s="216"/>
      <c r="H542" s="14"/>
      <c r="I542" s="217"/>
      <c r="J542" s="59"/>
      <c r="K542" s="14"/>
      <c r="L542" s="228"/>
      <c r="N542" s="230"/>
      <c r="O542" s="230"/>
      <c r="P542" s="230"/>
      <c r="Q542" s="230"/>
      <c r="R542" s="230"/>
      <c r="S542" s="230"/>
      <c r="T542" s="230"/>
    </row>
    <row r="543" spans="1:20" s="229" customFormat="1" ht="14.5" customHeight="1" x14ac:dyDescent="0.3">
      <c r="A543" s="221" t="s">
        <v>474</v>
      </c>
      <c r="B543" s="14"/>
      <c r="C543" s="214"/>
      <c r="D543" s="214"/>
      <c r="E543" s="215"/>
      <c r="F543" s="214"/>
      <c r="G543" s="216"/>
      <c r="H543" s="14"/>
      <c r="I543" s="217"/>
      <c r="J543" s="231"/>
      <c r="K543" s="14"/>
      <c r="L543" s="228"/>
      <c r="N543" s="230"/>
      <c r="O543" s="230"/>
      <c r="P543" s="230"/>
      <c r="Q543" s="230"/>
      <c r="R543" s="230"/>
      <c r="S543" s="230"/>
      <c r="T543" s="230"/>
    </row>
    <row r="544" spans="1:20" s="229" customFormat="1" ht="14.5" customHeight="1" x14ac:dyDescent="0.3">
      <c r="A544" s="14">
        <v>1</v>
      </c>
      <c r="B544" s="14" t="s">
        <v>6</v>
      </c>
      <c r="C544" s="214" t="s">
        <v>315</v>
      </c>
      <c r="D544" s="214"/>
      <c r="E544" s="215">
        <v>40897</v>
      </c>
      <c r="F544" s="214" t="s">
        <v>198</v>
      </c>
      <c r="G544" s="216"/>
      <c r="H544" s="14"/>
      <c r="I544" s="217">
        <v>56.27</v>
      </c>
      <c r="J544" s="59" t="str">
        <f>IF(ISBLANK(I544)," ",IF(ISTEXT(I544)," ",IF(I544&lt;=[1]Нормативы!$H$71,"КМС",IF(I544&lt;=[1]Нормативы!$H$72,"КМС",IF(I544&lt;=[1]Нормативы!$L$73,"КМС",IF(I544&lt;=[1]Нормативы!$L$74,"I",IF(I544&lt;=[1]Нормативы!$L$75,"II",IF(I544&lt;=[1]Нормативы!$L$76,"III",IF(I544&lt;=[1]Нормативы!$L$77,"I юн",IF(I544&lt;=[1]Нормативы!$L$78,"II юн",IF(I544&lt;=[1]Нормативы!$L$79,"III юн","б/р")))))))))))</f>
        <v>I</v>
      </c>
      <c r="K544" s="14"/>
      <c r="L544" s="228"/>
      <c r="N544" s="230"/>
      <c r="O544" s="230"/>
      <c r="P544" s="230"/>
      <c r="Q544" s="230"/>
      <c r="R544" s="230"/>
      <c r="S544" s="230"/>
      <c r="T544" s="230"/>
    </row>
    <row r="545" spans="1:20" s="229" customFormat="1" ht="14.5" customHeight="1" x14ac:dyDescent="0.3">
      <c r="A545" s="14">
        <v>2</v>
      </c>
      <c r="B545" s="14" t="s">
        <v>24</v>
      </c>
      <c r="C545" s="214" t="s">
        <v>400</v>
      </c>
      <c r="D545" s="214"/>
      <c r="E545" s="215">
        <v>41186</v>
      </c>
      <c r="F545" s="214" t="s">
        <v>193</v>
      </c>
      <c r="G545" s="216"/>
      <c r="H545" s="14"/>
      <c r="I545" s="217">
        <v>59.81</v>
      </c>
      <c r="J545" s="59" t="str">
        <f>IF(ISBLANK(I545)," ",IF(ISTEXT(I545)," ",IF(I545&lt;=[1]Нормативы!$H$71,"КМС",IF(I545&lt;=[1]Нормативы!$H$72,"КМС",IF(I545&lt;=[1]Нормативы!$L$73,"КМС",IF(I545&lt;=[1]Нормативы!$L$74,"I",IF(I545&lt;=[1]Нормативы!$L$75,"II",IF(I545&lt;=[1]Нормативы!$L$76,"III",IF(I545&lt;=[1]Нормативы!$L$77,"I юн",IF(I545&lt;=[1]Нормативы!$L$78,"II юн",IF(I545&lt;=[1]Нормативы!$L$79,"III юн","б/р")))))))))))</f>
        <v>II</v>
      </c>
      <c r="K545" s="14"/>
      <c r="L545" s="228"/>
      <c r="N545" s="230"/>
      <c r="O545" s="230"/>
      <c r="P545" s="230"/>
      <c r="Q545" s="230"/>
      <c r="R545" s="230"/>
      <c r="S545" s="230"/>
      <c r="T545" s="230"/>
    </row>
    <row r="546" spans="1:20" s="229" customFormat="1" ht="14.5" customHeight="1" x14ac:dyDescent="0.3">
      <c r="A546" s="14">
        <v>3</v>
      </c>
      <c r="B546" s="14" t="s">
        <v>24</v>
      </c>
      <c r="C546" s="214" t="s">
        <v>402</v>
      </c>
      <c r="D546" s="214"/>
      <c r="E546" s="215">
        <v>40654</v>
      </c>
      <c r="F546" s="214" t="s">
        <v>193</v>
      </c>
      <c r="G546" s="216"/>
      <c r="H546" s="14"/>
      <c r="I546" s="217">
        <v>102.58</v>
      </c>
      <c r="J546" s="59" t="str">
        <f>IF(ISBLANK(I546)," ",IF(ISTEXT(I546)," ",IF(I546&lt;=[1]Нормативы!$H$71,"КМС",IF(I546&lt;=[1]Нормативы!$H$72,"КМС",IF(I546&lt;=[1]Нормативы!$L$73,"КМС",IF(I546&lt;=[1]Нормативы!$L$74,"I",IF(I546&lt;=[1]Нормативы!$L$75,"II",IF(I546&lt;=[1]Нормативы!$L$76,"III",IF(I546&lt;=[1]Нормативы!$L$77,"I юн",IF(I546&lt;=[1]Нормативы!$L$78,"II юн",IF(I546&lt;=[1]Нормативы!$L$79,"III юн","б/р")))))))))))</f>
        <v>III</v>
      </c>
      <c r="K546" s="14"/>
      <c r="L546" s="228"/>
      <c r="N546" s="230"/>
      <c r="O546" s="230"/>
      <c r="P546" s="230"/>
      <c r="Q546" s="230"/>
      <c r="R546" s="230"/>
      <c r="S546" s="230"/>
      <c r="T546" s="230"/>
    </row>
    <row r="547" spans="1:20" s="229" customFormat="1" ht="14.5" customHeight="1" x14ac:dyDescent="0.3">
      <c r="A547" s="14">
        <v>4</v>
      </c>
      <c r="B547" s="14" t="s">
        <v>25</v>
      </c>
      <c r="C547" s="214" t="s">
        <v>401</v>
      </c>
      <c r="D547" s="214"/>
      <c r="E547" s="215">
        <v>40801</v>
      </c>
      <c r="F547" s="214" t="s">
        <v>193</v>
      </c>
      <c r="G547" s="216"/>
      <c r="H547" s="14"/>
      <c r="I547" s="217">
        <v>105.3</v>
      </c>
      <c r="J547" s="59" t="str">
        <f>IF(ISBLANK(I547)," ",IF(ISTEXT(I547)," ",IF(I547&lt;=[1]Нормативы!$H$71,"КМС",IF(I547&lt;=[1]Нормативы!$H$72,"КМС",IF(I547&lt;=[1]Нормативы!$L$73,"КМС",IF(I547&lt;=[1]Нормативы!$L$74,"I",IF(I547&lt;=[1]Нормативы!$L$75,"II",IF(I547&lt;=[1]Нормативы!$L$76,"III",IF(I547&lt;=[1]Нормативы!$L$77,"I юн",IF(I547&lt;=[1]Нормативы!$L$78,"II юн",IF(I547&lt;=[1]Нормативы!$L$79,"III юн","б/р")))))))))))</f>
        <v>III</v>
      </c>
      <c r="K547" s="14"/>
      <c r="L547" s="228"/>
      <c r="N547" s="230"/>
      <c r="O547" s="230"/>
      <c r="P547" s="230"/>
      <c r="Q547" s="230"/>
      <c r="R547" s="230"/>
      <c r="S547" s="230"/>
      <c r="T547" s="230"/>
    </row>
    <row r="548" spans="1:20" s="229" customFormat="1" ht="14.5" customHeight="1" x14ac:dyDescent="0.3">
      <c r="A548" s="14">
        <v>5</v>
      </c>
      <c r="B548" s="14" t="s">
        <v>25</v>
      </c>
      <c r="C548" s="214" t="s">
        <v>408</v>
      </c>
      <c r="D548" s="214"/>
      <c r="E548" s="215">
        <v>40604</v>
      </c>
      <c r="F548" s="214" t="s">
        <v>193</v>
      </c>
      <c r="G548" s="216"/>
      <c r="H548" s="14"/>
      <c r="I548" s="217">
        <v>106.98</v>
      </c>
      <c r="J548" s="59" t="str">
        <f>IF(ISBLANK(I548)," ",IF(ISTEXT(I548)," ",IF(I548&lt;=[1]Нормативы!$H$71,"КМС",IF(I548&lt;=[1]Нормативы!$H$72,"КМС",IF(I548&lt;=[1]Нормативы!$L$73,"КМС",IF(I548&lt;=[1]Нормативы!$L$74,"I",IF(I548&lt;=[1]Нормативы!$L$75,"II",IF(I548&lt;=[1]Нормативы!$L$76,"III",IF(I548&lt;=[1]Нормативы!$L$77,"I юн",IF(I548&lt;=[1]Нормативы!$L$78,"II юн",IF(I548&lt;=[1]Нормативы!$L$79,"III юн","б/р")))))))))))</f>
        <v>III</v>
      </c>
      <c r="K548" s="14"/>
      <c r="L548" s="228"/>
      <c r="N548" s="230"/>
      <c r="O548" s="230"/>
      <c r="P548" s="230"/>
      <c r="Q548" s="230"/>
      <c r="R548" s="230"/>
      <c r="S548" s="230"/>
      <c r="T548" s="230"/>
    </row>
    <row r="549" spans="1:20" s="229" customFormat="1" ht="14.5" customHeight="1" x14ac:dyDescent="0.3">
      <c r="A549" s="14">
        <v>6</v>
      </c>
      <c r="B549" s="14" t="s">
        <v>26</v>
      </c>
      <c r="C549" s="214" t="s">
        <v>316</v>
      </c>
      <c r="D549" s="214"/>
      <c r="E549" s="215">
        <v>40772</v>
      </c>
      <c r="F549" s="214" t="s">
        <v>198</v>
      </c>
      <c r="G549" s="216"/>
      <c r="H549" s="14"/>
      <c r="I549" s="217">
        <v>107.08</v>
      </c>
      <c r="J549" s="59" t="str">
        <f>IF(ISBLANK(I549)," ",IF(ISTEXT(I549)," ",IF(I549&lt;=[1]Нормативы!$H$71,"КМС",IF(I549&lt;=[1]Нормативы!$H$72,"КМС",IF(I549&lt;=[1]Нормативы!$L$73,"КМС",IF(I549&lt;=[1]Нормативы!$L$74,"I",IF(I549&lt;=[1]Нормативы!$L$75,"II",IF(I549&lt;=[1]Нормативы!$L$76,"III",IF(I549&lt;=[1]Нормативы!$L$77,"I юн",IF(I549&lt;=[1]Нормативы!$L$78,"II юн",IF(I549&lt;=[1]Нормативы!$L$79,"III юн","б/р")))))))))))</f>
        <v>III</v>
      </c>
      <c r="K549" s="14"/>
      <c r="L549" s="228"/>
      <c r="M549" s="230"/>
      <c r="N549" s="230"/>
      <c r="O549" s="230"/>
      <c r="P549" s="230"/>
      <c r="Q549" s="230"/>
      <c r="R549" s="230"/>
      <c r="S549" s="230"/>
      <c r="T549" s="230"/>
    </row>
    <row r="550" spans="1:20" s="229" customFormat="1" ht="14.5" customHeight="1" x14ac:dyDescent="0.3">
      <c r="A550" s="14">
        <v>7</v>
      </c>
      <c r="B550" s="14" t="s">
        <v>25</v>
      </c>
      <c r="C550" s="214" t="s">
        <v>285</v>
      </c>
      <c r="D550" s="214"/>
      <c r="E550" s="215">
        <v>41075</v>
      </c>
      <c r="F550" s="214" t="s">
        <v>198</v>
      </c>
      <c r="G550" s="216"/>
      <c r="H550" s="14"/>
      <c r="I550" s="217">
        <v>110.69</v>
      </c>
      <c r="J550" s="59" t="str">
        <f>IF(ISBLANK(I550)," ",IF(ISTEXT(I550)," ",IF(I550&lt;=[1]Нормативы!$H$71,"КМС",IF(I550&lt;=[1]Нормативы!$H$72,"КМС",IF(I550&lt;=[1]Нормативы!$L$73,"КМС",IF(I550&lt;=[1]Нормативы!$L$74,"I",IF(I550&lt;=[1]Нормативы!$L$75,"II",IF(I550&lt;=[1]Нормативы!$L$76,"III",IF(I550&lt;=[1]Нормативы!$L$77,"I юн",IF(I550&lt;=[1]Нормативы!$L$78,"II юн",IF(I550&lt;=[1]Нормативы!$L$79,"III юн","б/р")))))))))))</f>
        <v>I юн</v>
      </c>
      <c r="K550" s="14"/>
      <c r="L550" s="228"/>
      <c r="M550" s="230"/>
      <c r="N550" s="230"/>
      <c r="O550" s="230"/>
      <c r="P550" s="230"/>
      <c r="Q550" s="230"/>
      <c r="R550" s="230"/>
      <c r="S550" s="230"/>
      <c r="T550" s="230"/>
    </row>
    <row r="551" spans="1:20" s="229" customFormat="1" ht="14.5" customHeight="1" x14ac:dyDescent="0.3">
      <c r="A551" s="14">
        <v>8</v>
      </c>
      <c r="B551" s="14" t="s">
        <v>25</v>
      </c>
      <c r="C551" s="214" t="s">
        <v>403</v>
      </c>
      <c r="D551" s="214"/>
      <c r="E551" s="215">
        <v>40575</v>
      </c>
      <c r="F551" s="214" t="s">
        <v>193</v>
      </c>
      <c r="G551" s="216"/>
      <c r="H551" s="14"/>
      <c r="I551" s="217">
        <v>115.08</v>
      </c>
      <c r="J551" s="59" t="str">
        <f>IF(ISBLANK(I551)," ",IF(ISTEXT(I551)," ",IF(I551&lt;=[1]Нормативы!$H$71,"КМС",IF(I551&lt;=[1]Нормативы!$H$72,"КМС",IF(I551&lt;=[1]Нормативы!$L$73,"КМС",IF(I551&lt;=[1]Нормативы!$L$74,"I",IF(I551&lt;=[1]Нормативы!$L$75,"II",IF(I551&lt;=[1]Нормативы!$L$76,"III",IF(I551&lt;=[1]Нормативы!$L$77,"I юн",IF(I551&lt;=[1]Нормативы!$L$78,"II юн",IF(I551&lt;=[1]Нормативы!$L$79,"III юн","б/р")))))))))))</f>
        <v>II юн</v>
      </c>
      <c r="K551" s="14"/>
      <c r="L551" s="228"/>
      <c r="M551" s="230"/>
      <c r="N551" s="230"/>
      <c r="O551" s="230"/>
      <c r="P551" s="230"/>
      <c r="Q551" s="230"/>
      <c r="R551" s="230"/>
      <c r="S551" s="230"/>
      <c r="T551" s="230"/>
    </row>
    <row r="552" spans="1:20" s="229" customFormat="1" ht="14.5" customHeight="1" x14ac:dyDescent="0.3">
      <c r="A552" s="14"/>
      <c r="B552" s="14"/>
      <c r="C552" s="222"/>
      <c r="D552" s="222"/>
      <c r="E552" s="215"/>
      <c r="F552" s="214"/>
      <c r="G552" s="216"/>
      <c r="H552" s="14"/>
      <c r="I552" s="217"/>
      <c r="J552" s="59" t="str">
        <f>IF(ISBLANK(I552)," ",IF(ISTEXT(I552)," ",IF(I552&lt;=[1]Нормативы!$H$71,"КМС",IF(I552&lt;=[1]Нормативы!$H$72,"КМС",IF(I552&lt;=[1]Нормативы!$L$73,"КМС",IF(I552&lt;=[1]Нормативы!$L$74,"I",IF(I552&lt;=[1]Нормативы!$L$75,"II",IF(I552&lt;=[1]Нормативы!$L$76,"III",IF(I552&lt;=[1]Нормативы!$L$77,"I юн",IF(I552&lt;=[1]Нормативы!$L$78,"II юн",IF(I552&lt;=[1]Нормативы!$L$79,"III юн","б/р")))))))))))</f>
        <v xml:space="preserve"> </v>
      </c>
      <c r="K552" s="14"/>
      <c r="L552" s="228"/>
      <c r="M552" s="230"/>
      <c r="N552" s="230"/>
      <c r="O552" s="230"/>
      <c r="P552" s="230"/>
      <c r="Q552" s="230"/>
      <c r="R552" s="230"/>
      <c r="S552" s="230"/>
      <c r="T552" s="230"/>
    </row>
    <row r="553" spans="1:20" s="229" customFormat="1" ht="14.5" customHeight="1" x14ac:dyDescent="0.3">
      <c r="A553" s="221" t="s">
        <v>211</v>
      </c>
      <c r="B553" s="14"/>
      <c r="C553" s="214"/>
      <c r="D553" s="214"/>
      <c r="E553" s="215"/>
      <c r="F553" s="214"/>
      <c r="G553" s="216"/>
      <c r="H553" s="14"/>
      <c r="I553" s="217"/>
      <c r="J553" s="59" t="str">
        <f>IF(ISBLANK(I553)," ",IF(ISTEXT(I553)," ",IF(I553&lt;=[1]Нормативы!$H$71,"КМС",IF(I553&lt;=[1]Нормативы!$H$72,"КМС",IF(I553&lt;=[1]Нормативы!$L$73,"КМС",IF(I553&lt;=[1]Нормативы!$L$74,"I",IF(I553&lt;=[1]Нормативы!$L$75,"II",IF(I553&lt;=[1]Нормативы!$L$76,"III",IF(I553&lt;=[1]Нормативы!$L$77,"I юн",IF(I553&lt;=[1]Нормативы!$L$78,"II юн",IF(I553&lt;=[1]Нормативы!$L$79,"III юн","б/р")))))))))))</f>
        <v xml:space="preserve"> </v>
      </c>
      <c r="K553" s="14"/>
      <c r="L553" s="228"/>
      <c r="M553" s="230"/>
      <c r="N553" s="230"/>
      <c r="O553" s="230"/>
      <c r="P553" s="230"/>
      <c r="Q553" s="230"/>
      <c r="R553" s="230"/>
      <c r="S553" s="230"/>
      <c r="T553" s="230"/>
    </row>
    <row r="554" spans="1:20" s="229" customFormat="1" ht="14.5" customHeight="1" x14ac:dyDescent="0.3">
      <c r="A554" s="14">
        <v>1</v>
      </c>
      <c r="B554" s="14" t="s">
        <v>25</v>
      </c>
      <c r="C554" s="214" t="s">
        <v>492</v>
      </c>
      <c r="D554" s="214"/>
      <c r="E554" s="215">
        <v>41284</v>
      </c>
      <c r="F554" s="214" t="s">
        <v>193</v>
      </c>
      <c r="G554" s="216"/>
      <c r="H554" s="14"/>
      <c r="I554" s="217">
        <v>59.72</v>
      </c>
      <c r="J554" s="59" t="str">
        <f>IF(ISBLANK(I554)," ",IF(ISTEXT(I554)," ",IF(I554&lt;=[1]Нормативы!$H$71,"КМС",IF(I554&lt;=[1]Нормативы!$H$72,"КМС",IF(I554&lt;=[1]Нормативы!$L$73,"КМС",IF(I554&lt;=[1]Нормативы!$L$74,"I",IF(I554&lt;=[1]Нормативы!$L$75,"II",IF(I554&lt;=[1]Нормативы!$L$76,"III",IF(I554&lt;=[1]Нормативы!$L$77,"I юн",IF(I554&lt;=[1]Нормативы!$L$78,"II юн",IF(I554&lt;=[1]Нормативы!$L$79,"III юн","б/р")))))))))))</f>
        <v>II</v>
      </c>
      <c r="K554" s="14"/>
      <c r="L554" s="228"/>
      <c r="M554" s="230"/>
      <c r="N554" s="230"/>
      <c r="O554" s="230"/>
      <c r="P554" s="230"/>
      <c r="Q554" s="230"/>
      <c r="R554" s="230"/>
      <c r="S554" s="230"/>
      <c r="T554" s="230"/>
    </row>
    <row r="555" spans="1:20" s="229" customFormat="1" ht="14.5" customHeight="1" x14ac:dyDescent="0.3">
      <c r="A555" s="14">
        <v>2</v>
      </c>
      <c r="B555" s="14" t="s">
        <v>25</v>
      </c>
      <c r="C555" s="214" t="s">
        <v>251</v>
      </c>
      <c r="D555" s="214"/>
      <c r="E555" s="215">
        <v>41689</v>
      </c>
      <c r="F555" s="214" t="s">
        <v>172</v>
      </c>
      <c r="G555" s="216"/>
      <c r="H555" s="14"/>
      <c r="I555" s="217">
        <v>59.77</v>
      </c>
      <c r="J555" s="59" t="str">
        <f>IF(ISBLANK(I555)," ",IF(ISTEXT(I555)," ",IF(I555&lt;=[1]Нормативы!$H$71,"КМС",IF(I555&lt;=[1]Нормативы!$H$72,"КМС",IF(I555&lt;=[1]Нормативы!$L$73,"КМС",IF(I555&lt;=[1]Нормативы!$L$74,"I",IF(I555&lt;=[1]Нормативы!$L$75,"II",IF(I555&lt;=[1]Нормативы!$L$76,"III",IF(I555&lt;=[1]Нормативы!$L$77,"I юн",IF(I555&lt;=[1]Нормативы!$L$78,"II юн",IF(I555&lt;=[1]Нормативы!$L$79,"III юн","б/р")))))))))))</f>
        <v>II</v>
      </c>
      <c r="K555" s="14"/>
      <c r="L555" s="228"/>
      <c r="M555" s="230"/>
      <c r="N555" s="230"/>
      <c r="O555" s="230"/>
      <c r="P555" s="230"/>
      <c r="Q555" s="230"/>
      <c r="R555" s="230"/>
      <c r="S555" s="230"/>
      <c r="T555" s="230"/>
    </row>
    <row r="556" spans="1:20" s="229" customFormat="1" ht="14.5" customHeight="1" x14ac:dyDescent="0.3">
      <c r="A556" s="14">
        <v>3</v>
      </c>
      <c r="B556" s="14" t="s">
        <v>25</v>
      </c>
      <c r="C556" s="214" t="s">
        <v>277</v>
      </c>
      <c r="D556" s="214"/>
      <c r="E556" s="215">
        <v>41624</v>
      </c>
      <c r="F556" s="214" t="s">
        <v>198</v>
      </c>
      <c r="G556" s="216"/>
      <c r="H556" s="14"/>
      <c r="I556" s="217">
        <v>100.64</v>
      </c>
      <c r="J556" s="59" t="str">
        <f>IF(ISBLANK(I556)," ",IF(ISTEXT(I556)," ",IF(I556&lt;=[1]Нормативы!$H$71,"КМС",IF(I556&lt;=[1]Нормативы!$H$72,"КМС",IF(I556&lt;=[1]Нормативы!$L$73,"КМС",IF(I556&lt;=[1]Нормативы!$L$74,"I",IF(I556&lt;=[1]Нормативы!$L$75,"II",IF(I556&lt;=[1]Нормативы!$L$76,"III",IF(I556&lt;=[1]Нормативы!$L$77,"I юн",IF(I556&lt;=[1]Нормативы!$L$78,"II юн",IF(I556&lt;=[1]Нормативы!$L$79,"III юн","б/р")))))))))))</f>
        <v>II</v>
      </c>
      <c r="K556" s="14"/>
      <c r="L556" s="228"/>
      <c r="M556" s="230"/>
      <c r="N556" s="230"/>
      <c r="O556" s="230"/>
      <c r="P556" s="230"/>
      <c r="Q556" s="230"/>
      <c r="R556" s="230"/>
      <c r="S556" s="230"/>
      <c r="T556" s="230"/>
    </row>
    <row r="557" spans="1:20" s="229" customFormat="1" ht="14.5" customHeight="1" x14ac:dyDescent="0.3">
      <c r="A557" s="14">
        <v>4</v>
      </c>
      <c r="B557" s="14" t="s">
        <v>25</v>
      </c>
      <c r="C557" s="214" t="s">
        <v>250</v>
      </c>
      <c r="D557" s="214"/>
      <c r="E557" s="215">
        <v>41666</v>
      </c>
      <c r="F557" s="214" t="s">
        <v>172</v>
      </c>
      <c r="G557" s="216"/>
      <c r="H557" s="14"/>
      <c r="I557" s="217">
        <v>101.34</v>
      </c>
      <c r="J557" s="59" t="str">
        <f>IF(ISBLANK(I557)," ",IF(ISTEXT(I557)," ",IF(I557&lt;=[1]Нормативы!$H$71,"КМС",IF(I557&lt;=[1]Нормативы!$H$72,"КМС",IF(I557&lt;=[1]Нормативы!$L$73,"КМС",IF(I557&lt;=[1]Нормативы!$L$74,"I",IF(I557&lt;=[1]Нормативы!$L$75,"II",IF(I557&lt;=[1]Нормативы!$L$76,"III",IF(I557&lt;=[1]Нормативы!$L$77,"I юн",IF(I557&lt;=[1]Нормативы!$L$78,"II юн",IF(I557&lt;=[1]Нормативы!$L$79,"III юн","б/р")))))))))))</f>
        <v>II</v>
      </c>
      <c r="K557" s="14"/>
      <c r="L557" s="228"/>
      <c r="M557" s="230"/>
      <c r="N557" s="230"/>
      <c r="O557" s="230"/>
      <c r="P557" s="230"/>
      <c r="Q557" s="230"/>
      <c r="R557" s="230"/>
      <c r="S557" s="230"/>
      <c r="T557" s="230"/>
    </row>
    <row r="558" spans="1:20" s="229" customFormat="1" ht="14.5" customHeight="1" x14ac:dyDescent="0.3">
      <c r="A558" s="14">
        <v>5</v>
      </c>
      <c r="B558" s="14" t="s">
        <v>38</v>
      </c>
      <c r="C558" s="214" t="s">
        <v>326</v>
      </c>
      <c r="D558" s="214"/>
      <c r="E558" s="215">
        <v>41502</v>
      </c>
      <c r="F558" s="214" t="s">
        <v>198</v>
      </c>
      <c r="G558" s="216"/>
      <c r="H558" s="14"/>
      <c r="I558" s="217">
        <v>101.99</v>
      </c>
      <c r="J558" s="59" t="str">
        <f>IF(ISBLANK(I558)," ",IF(ISTEXT(I558)," ",IF(I558&lt;=[1]Нормативы!$H$71,"КМС",IF(I558&lt;=[1]Нормативы!$H$72,"КМС",IF(I558&lt;=[1]Нормативы!$L$73,"КМС",IF(I558&lt;=[1]Нормативы!$L$74,"I",IF(I558&lt;=[1]Нормативы!$L$75,"II",IF(I558&lt;=[1]Нормативы!$L$76,"III",IF(I558&lt;=[1]Нормативы!$L$77,"I юн",IF(I558&lt;=[1]Нормативы!$L$78,"II юн",IF(I558&lt;=[1]Нормативы!$L$79,"III юн","б/р")))))))))))</f>
        <v>III</v>
      </c>
      <c r="K558" s="14"/>
      <c r="L558" s="228"/>
      <c r="N558" s="230"/>
      <c r="O558" s="230"/>
      <c r="P558" s="230"/>
      <c r="Q558" s="230"/>
      <c r="R558" s="230"/>
      <c r="S558" s="230"/>
      <c r="T558" s="230"/>
    </row>
    <row r="559" spans="1:20" s="229" customFormat="1" ht="14.5" customHeight="1" x14ac:dyDescent="0.3">
      <c r="A559" s="14">
        <v>6</v>
      </c>
      <c r="B559" s="14" t="s">
        <v>24</v>
      </c>
      <c r="C559" s="214" t="s">
        <v>465</v>
      </c>
      <c r="D559" s="214"/>
      <c r="E559" s="215">
        <v>41347</v>
      </c>
      <c r="F559" s="214" t="s">
        <v>245</v>
      </c>
      <c r="G559" s="216"/>
      <c r="H559" s="14"/>
      <c r="I559" s="217">
        <v>102.35</v>
      </c>
      <c r="J559" s="59" t="str">
        <f>IF(ISBLANK(I559)," ",IF(ISTEXT(I559)," ",IF(I559&lt;=[1]Нормативы!$H$71,"КМС",IF(I559&lt;=[1]Нормативы!$H$72,"КМС",IF(I559&lt;=[1]Нормативы!$L$73,"КМС",IF(I559&lt;=[1]Нормативы!$L$74,"I",IF(I559&lt;=[1]Нормативы!$L$75,"II",IF(I559&lt;=[1]Нормативы!$L$76,"III",IF(I559&lt;=[1]Нормативы!$L$77,"I юн",IF(I559&lt;=[1]Нормативы!$L$78,"II юн",IF(I559&lt;=[1]Нормативы!$L$79,"III юн","б/р")))))))))))</f>
        <v>III</v>
      </c>
      <c r="K559" s="14"/>
      <c r="L559" s="228"/>
      <c r="N559" s="230"/>
      <c r="O559" s="230"/>
      <c r="P559" s="230"/>
      <c r="Q559" s="230"/>
      <c r="R559" s="230"/>
      <c r="S559" s="230"/>
      <c r="T559" s="230"/>
    </row>
    <row r="560" spans="1:20" s="229" customFormat="1" ht="14.5" customHeight="1" x14ac:dyDescent="0.3">
      <c r="A560" s="14">
        <v>7</v>
      </c>
      <c r="B560" s="14" t="s">
        <v>24</v>
      </c>
      <c r="C560" s="214" t="s">
        <v>399</v>
      </c>
      <c r="D560" s="214"/>
      <c r="E560" s="215">
        <v>41969</v>
      </c>
      <c r="F560" s="214" t="s">
        <v>193</v>
      </c>
      <c r="G560" s="216"/>
      <c r="H560" s="14"/>
      <c r="I560" s="217">
        <v>102.94</v>
      </c>
      <c r="J560" s="59" t="str">
        <f>IF(ISBLANK(I560)," ",IF(ISTEXT(I560)," ",IF(I560&lt;=[1]Нормативы!$H$71,"КМС",IF(I560&lt;=[1]Нормативы!$H$72,"КМС",IF(I560&lt;=[1]Нормативы!$L$73,"КМС",IF(I560&lt;=[1]Нормативы!$L$74,"I",IF(I560&lt;=[1]Нормативы!$L$75,"II",IF(I560&lt;=[1]Нормативы!$L$76,"III",IF(I560&lt;=[1]Нормативы!$L$77,"I юн",IF(I560&lt;=[1]Нормативы!$L$78,"II юн",IF(I560&lt;=[1]Нормативы!$L$79,"III юн","б/р")))))))))))</f>
        <v>III</v>
      </c>
      <c r="K560" s="14"/>
      <c r="L560" s="228"/>
      <c r="N560" s="230"/>
      <c r="O560" s="230"/>
      <c r="P560" s="230"/>
      <c r="Q560" s="230"/>
      <c r="R560" s="230"/>
      <c r="S560" s="230"/>
      <c r="T560" s="230"/>
    </row>
    <row r="561" spans="1:20" s="229" customFormat="1" ht="14.5" customHeight="1" x14ac:dyDescent="0.3">
      <c r="A561" s="14">
        <v>8</v>
      </c>
      <c r="B561" s="14" t="s">
        <v>25</v>
      </c>
      <c r="C561" s="214" t="s">
        <v>464</v>
      </c>
      <c r="D561" s="214"/>
      <c r="E561" s="215">
        <v>41733</v>
      </c>
      <c r="F561" s="214" t="s">
        <v>245</v>
      </c>
      <c r="G561" s="216"/>
      <c r="H561" s="14"/>
      <c r="I561" s="217">
        <v>104.28</v>
      </c>
      <c r="J561" s="59" t="str">
        <f>IF(ISBLANK(I561)," ",IF(ISTEXT(I561)," ",IF(I561&lt;=[1]Нормативы!$H$71,"КМС",IF(I561&lt;=[1]Нормативы!$H$72,"КМС",IF(I561&lt;=[1]Нормативы!$L$73,"КМС",IF(I561&lt;=[1]Нормативы!$L$74,"I",IF(I561&lt;=[1]Нормативы!$L$75,"II",IF(I561&lt;=[1]Нормативы!$L$76,"III",IF(I561&lt;=[1]Нормативы!$L$77,"I юн",IF(I561&lt;=[1]Нормативы!$L$78,"II юн",IF(I561&lt;=[1]Нормативы!$L$79,"III юн","б/р")))))))))))</f>
        <v>III</v>
      </c>
      <c r="K561" s="14"/>
      <c r="L561" s="228"/>
      <c r="N561" s="230"/>
      <c r="O561" s="230"/>
      <c r="P561" s="230"/>
      <c r="Q561" s="230"/>
      <c r="R561" s="230"/>
      <c r="S561" s="230"/>
      <c r="T561" s="230"/>
    </row>
    <row r="562" spans="1:20" s="229" customFormat="1" ht="14.5" customHeight="1" x14ac:dyDescent="0.3">
      <c r="A562" s="14">
        <v>9</v>
      </c>
      <c r="B562" s="14" t="s">
        <v>38</v>
      </c>
      <c r="C562" s="214" t="s">
        <v>276</v>
      </c>
      <c r="D562" s="214"/>
      <c r="E562" s="215">
        <v>41394</v>
      </c>
      <c r="F562" s="214" t="s">
        <v>198</v>
      </c>
      <c r="G562" s="216"/>
      <c r="H562" s="14"/>
      <c r="I562" s="217">
        <v>105.07</v>
      </c>
      <c r="J562" s="59" t="str">
        <f>IF(ISBLANK(I562)," ",IF(ISTEXT(I562)," ",IF(I562&lt;=[1]Нормативы!$H$71,"КМС",IF(I562&lt;=[1]Нормативы!$H$72,"КМС",IF(I562&lt;=[1]Нормативы!$L$73,"КМС",IF(I562&lt;=[1]Нормативы!$L$74,"I",IF(I562&lt;=[1]Нормативы!$L$75,"II",IF(I562&lt;=[1]Нормативы!$L$76,"III",IF(I562&lt;=[1]Нормативы!$L$77,"I юн",IF(I562&lt;=[1]Нормативы!$L$78,"II юн",IF(I562&lt;=[1]Нормативы!$L$79,"III юн","б/р")))))))))))</f>
        <v>III</v>
      </c>
      <c r="K562" s="14"/>
      <c r="L562" s="228"/>
      <c r="N562" s="230"/>
      <c r="O562" s="230"/>
      <c r="P562" s="230"/>
      <c r="Q562" s="230"/>
      <c r="R562" s="230"/>
      <c r="S562" s="230"/>
      <c r="T562" s="230"/>
    </row>
    <row r="563" spans="1:20" s="229" customFormat="1" ht="14.5" customHeight="1" x14ac:dyDescent="0.3">
      <c r="A563" s="14">
        <v>10</v>
      </c>
      <c r="B563" s="14" t="s">
        <v>25</v>
      </c>
      <c r="C563" s="214" t="s">
        <v>253</v>
      </c>
      <c r="D563" s="214"/>
      <c r="E563" s="215">
        <v>41932</v>
      </c>
      <c r="F563" s="214" t="s">
        <v>172</v>
      </c>
      <c r="G563" s="216"/>
      <c r="H563" s="14"/>
      <c r="I563" s="217">
        <v>105.22</v>
      </c>
      <c r="J563" s="59" t="str">
        <f>IF(ISBLANK(I563)," ",IF(ISTEXT(I563)," ",IF(I563&lt;=[1]Нормативы!$H$71,"КМС",IF(I563&lt;=[1]Нормативы!$H$72,"КМС",IF(I563&lt;=[1]Нормативы!$L$73,"КМС",IF(I563&lt;=[1]Нормативы!$L$74,"I",IF(I563&lt;=[1]Нормативы!$L$75,"II",IF(I563&lt;=[1]Нормативы!$L$76,"III",IF(I563&lt;=[1]Нормативы!$L$77,"I юн",IF(I563&lt;=[1]Нормативы!$L$78,"II юн",IF(I563&lt;=[1]Нормативы!$L$79,"III юн","б/р")))))))))))</f>
        <v>III</v>
      </c>
      <c r="K563" s="14"/>
      <c r="L563" s="228"/>
      <c r="N563" s="230"/>
      <c r="O563" s="230"/>
      <c r="P563" s="230"/>
      <c r="Q563" s="230"/>
      <c r="R563" s="230"/>
      <c r="S563" s="230"/>
      <c r="T563" s="230"/>
    </row>
    <row r="564" spans="1:20" s="229" customFormat="1" ht="14.5" customHeight="1" x14ac:dyDescent="0.3">
      <c r="A564" s="14">
        <v>11</v>
      </c>
      <c r="B564" s="14" t="s">
        <v>25</v>
      </c>
      <c r="C564" s="214" t="s">
        <v>280</v>
      </c>
      <c r="D564" s="214"/>
      <c r="E564" s="215">
        <v>41726</v>
      </c>
      <c r="F564" s="214" t="s">
        <v>198</v>
      </c>
      <c r="G564" s="216"/>
      <c r="H564" s="14"/>
      <c r="I564" s="217">
        <v>108.04</v>
      </c>
      <c r="J564" s="59" t="str">
        <f>IF(ISBLANK(I564)," ",IF(ISTEXT(I564)," ",IF(I564&lt;=[1]Нормативы!$H$71,"КМС",IF(I564&lt;=[1]Нормативы!$H$72,"КМС",IF(I564&lt;=[1]Нормативы!$L$73,"КМС",IF(I564&lt;=[1]Нормативы!$L$74,"I",IF(I564&lt;=[1]Нормативы!$L$75,"II",IF(I564&lt;=[1]Нормативы!$L$76,"III",IF(I564&lt;=[1]Нормативы!$L$77,"I юн",IF(I564&lt;=[1]Нормативы!$L$78,"II юн",IF(I564&lt;=[1]Нормативы!$L$79,"III юн","б/р")))))))))))</f>
        <v>I юн</v>
      </c>
      <c r="K564" s="14"/>
      <c r="L564" s="228"/>
      <c r="N564" s="230"/>
      <c r="O564" s="230"/>
      <c r="P564" s="230"/>
      <c r="Q564" s="230"/>
      <c r="R564" s="230"/>
      <c r="S564" s="230"/>
      <c r="T564" s="230"/>
    </row>
    <row r="565" spans="1:20" s="229" customFormat="1" ht="14.5" customHeight="1" x14ac:dyDescent="0.3">
      <c r="A565" s="14">
        <v>12</v>
      </c>
      <c r="B565" s="14" t="s">
        <v>38</v>
      </c>
      <c r="C565" s="214" t="s">
        <v>252</v>
      </c>
      <c r="D565" s="214"/>
      <c r="E565" s="215">
        <v>41773</v>
      </c>
      <c r="F565" s="214" t="s">
        <v>172</v>
      </c>
      <c r="G565" s="216"/>
      <c r="H565" s="14"/>
      <c r="I565" s="217">
        <v>108.82</v>
      </c>
      <c r="J565" s="59" t="str">
        <f>IF(ISBLANK(I565)," ",IF(ISTEXT(I565)," ",IF(I565&lt;=[1]Нормативы!$H$71,"КМС",IF(I565&lt;=[1]Нормативы!$H$72,"КМС",IF(I565&lt;=[1]Нормативы!$L$73,"КМС",IF(I565&lt;=[1]Нормативы!$L$74,"I",IF(I565&lt;=[1]Нормативы!$L$75,"II",IF(I565&lt;=[1]Нормативы!$L$76,"III",IF(I565&lt;=[1]Нормативы!$L$77,"I юн",IF(I565&lt;=[1]Нормативы!$L$78,"II юн",IF(I565&lt;=[1]Нормативы!$L$79,"III юн","б/р")))))))))))</f>
        <v>I юн</v>
      </c>
      <c r="K565" s="14"/>
      <c r="L565" s="228"/>
      <c r="N565" s="230"/>
      <c r="O565" s="230"/>
      <c r="P565" s="230"/>
      <c r="Q565" s="230"/>
      <c r="R565" s="230"/>
      <c r="S565" s="230"/>
      <c r="T565" s="230"/>
    </row>
    <row r="566" spans="1:20" s="229" customFormat="1" ht="14.5" customHeight="1" x14ac:dyDescent="0.3">
      <c r="A566" s="14">
        <v>13</v>
      </c>
      <c r="B566" s="14" t="s">
        <v>38</v>
      </c>
      <c r="C566" s="214" t="s">
        <v>329</v>
      </c>
      <c r="D566" s="214"/>
      <c r="E566" s="215">
        <v>41767</v>
      </c>
      <c r="F566" s="214" t="s">
        <v>198</v>
      </c>
      <c r="G566" s="216"/>
      <c r="H566" s="14"/>
      <c r="I566" s="217">
        <v>110.25</v>
      </c>
      <c r="J566" s="59" t="str">
        <f>IF(ISBLANK(I566)," ",IF(ISTEXT(I566)," ",IF(I566&lt;=[1]Нормативы!$H$71,"КМС",IF(I566&lt;=[1]Нормативы!$H$72,"КМС",IF(I566&lt;=[1]Нормативы!$L$73,"КМС",IF(I566&lt;=[1]Нормативы!$L$74,"I",IF(I566&lt;=[1]Нормативы!$L$75,"II",IF(I566&lt;=[1]Нормативы!$L$76,"III",IF(I566&lt;=[1]Нормативы!$L$77,"I юн",IF(I566&lt;=[1]Нормативы!$L$78,"II юн",IF(I566&lt;=[1]Нормативы!$L$79,"III юн","б/р")))))))))))</f>
        <v>I юн</v>
      </c>
      <c r="K566" s="14"/>
      <c r="L566" s="228"/>
      <c r="N566" s="230"/>
      <c r="O566" s="230"/>
      <c r="P566" s="230"/>
      <c r="Q566" s="230"/>
      <c r="R566" s="230"/>
      <c r="S566" s="230"/>
      <c r="T566" s="230"/>
    </row>
    <row r="567" spans="1:20" s="229" customFormat="1" ht="14.5" customHeight="1" x14ac:dyDescent="0.3">
      <c r="A567" s="14">
        <v>14</v>
      </c>
      <c r="B567" s="14" t="s">
        <v>38</v>
      </c>
      <c r="C567" s="214" t="s">
        <v>462</v>
      </c>
      <c r="D567" s="214"/>
      <c r="E567" s="215">
        <v>41824</v>
      </c>
      <c r="F567" s="214" t="s">
        <v>245</v>
      </c>
      <c r="G567" s="216"/>
      <c r="H567" s="14"/>
      <c r="I567" s="217">
        <v>113.06</v>
      </c>
      <c r="J567" s="59" t="str">
        <f>IF(ISBLANK(I567)," ",IF(ISTEXT(I567)," ",IF(I567&lt;=[1]Нормативы!$H$71,"КМС",IF(I567&lt;=[1]Нормативы!$H$72,"КМС",IF(I567&lt;=[1]Нормативы!$L$73,"КМС",IF(I567&lt;=[1]Нормативы!$L$74,"I",IF(I567&lt;=[1]Нормативы!$L$75,"II",IF(I567&lt;=[1]Нормативы!$L$76,"III",IF(I567&lt;=[1]Нормативы!$L$77,"I юн",IF(I567&lt;=[1]Нормативы!$L$78,"II юн",IF(I567&lt;=[1]Нормативы!$L$79,"III юн","б/р")))))))))))</f>
        <v>II юн</v>
      </c>
      <c r="K567" s="14"/>
      <c r="L567" s="228"/>
      <c r="N567" s="230"/>
      <c r="O567" s="230"/>
      <c r="P567" s="230"/>
      <c r="Q567" s="230"/>
      <c r="R567" s="230"/>
      <c r="S567" s="230"/>
      <c r="T567" s="230"/>
    </row>
    <row r="568" spans="1:20" s="229" customFormat="1" ht="14.5" customHeight="1" x14ac:dyDescent="0.3">
      <c r="A568" s="14">
        <v>15</v>
      </c>
      <c r="B568" s="14" t="s">
        <v>22</v>
      </c>
      <c r="C568" s="214" t="s">
        <v>286</v>
      </c>
      <c r="D568" s="214"/>
      <c r="E568" s="215">
        <v>41810</v>
      </c>
      <c r="F568" s="214" t="s">
        <v>198</v>
      </c>
      <c r="G568" s="216"/>
      <c r="H568" s="14"/>
      <c r="I568" s="217">
        <v>117.34</v>
      </c>
      <c r="J568" s="59" t="str">
        <f>IF(ISBLANK(I568)," ",IF(ISTEXT(I568)," ",IF(I568&lt;=[1]Нормативы!$H$71,"КМС",IF(I568&lt;=[1]Нормативы!$H$72,"КМС",IF(I568&lt;=[1]Нормативы!$L$73,"КМС",IF(I568&lt;=[1]Нормативы!$L$74,"I",IF(I568&lt;=[1]Нормативы!$L$75,"II",IF(I568&lt;=[1]Нормативы!$L$76,"III",IF(I568&lt;=[1]Нормативы!$L$77,"I юн",IF(I568&lt;=[1]Нормативы!$L$78,"II юн",IF(I568&lt;=[1]Нормативы!$L$79,"III юн","б/р")))))))))))</f>
        <v>II юн</v>
      </c>
      <c r="K568" s="14"/>
      <c r="L568" s="228"/>
      <c r="N568" s="230"/>
      <c r="O568" s="230"/>
      <c r="P568" s="230"/>
      <c r="Q568" s="230"/>
      <c r="R568" s="230"/>
      <c r="S568" s="230"/>
      <c r="T568" s="230"/>
    </row>
    <row r="569" spans="1:20" s="229" customFormat="1" ht="14.5" customHeight="1" x14ac:dyDescent="0.3">
      <c r="A569" s="14">
        <v>16</v>
      </c>
      <c r="B569" s="14" t="s">
        <v>22</v>
      </c>
      <c r="C569" s="214" t="s">
        <v>322</v>
      </c>
      <c r="D569" s="214"/>
      <c r="E569" s="215">
        <v>41584</v>
      </c>
      <c r="F569" s="214" t="s">
        <v>198</v>
      </c>
      <c r="G569" s="216"/>
      <c r="H569" s="14"/>
      <c r="I569" s="217">
        <v>117.9</v>
      </c>
      <c r="J569" s="59" t="str">
        <f>IF(ISBLANK(I569)," ",IF(ISTEXT(I569)," ",IF(I569&lt;=[1]Нормативы!$H$71,"КМС",IF(I569&lt;=[1]Нормативы!$H$72,"КМС",IF(I569&lt;=[1]Нормативы!$L$73,"КМС",IF(I569&lt;=[1]Нормативы!$L$74,"I",IF(I569&lt;=[1]Нормативы!$L$75,"II",IF(I569&lt;=[1]Нормативы!$L$76,"III",IF(I569&lt;=[1]Нормативы!$L$77,"I юн",IF(I569&lt;=[1]Нормативы!$L$78,"II юн",IF(I569&lt;=[1]Нормативы!$L$79,"III юн","б/р")))))))))))</f>
        <v>II юн</v>
      </c>
      <c r="K569" s="14"/>
      <c r="L569" s="228"/>
      <c r="N569" s="230"/>
      <c r="O569" s="230"/>
      <c r="P569" s="230"/>
      <c r="Q569" s="230"/>
      <c r="R569" s="230"/>
      <c r="S569" s="230"/>
      <c r="T569" s="230"/>
    </row>
    <row r="570" spans="1:20" s="229" customFormat="1" ht="14.5" customHeight="1" x14ac:dyDescent="0.3">
      <c r="A570" s="14">
        <v>17</v>
      </c>
      <c r="B570" s="14" t="s">
        <v>26</v>
      </c>
      <c r="C570" s="214" t="s">
        <v>311</v>
      </c>
      <c r="D570" s="214"/>
      <c r="E570" s="215">
        <v>41915</v>
      </c>
      <c r="F570" s="214" t="s">
        <v>198</v>
      </c>
      <c r="G570" s="216"/>
      <c r="H570" s="14"/>
      <c r="I570" s="217">
        <v>124.7</v>
      </c>
      <c r="J570" s="59" t="str">
        <f>IF(ISBLANK(I570)," ",IF(ISTEXT(I570)," ",IF(I570&lt;=[1]Нормативы!$H$71,"КМС",IF(I570&lt;=[1]Нормативы!$H$72,"КМС",IF(I570&lt;=[1]Нормативы!$L$73,"КМС",IF(I570&lt;=[1]Нормативы!$L$74,"I",IF(I570&lt;=[1]Нормативы!$L$75,"II",IF(I570&lt;=[1]Нормативы!$L$76,"III",IF(I570&lt;=[1]Нормативы!$L$77,"I юн",IF(I570&lt;=[1]Нормативы!$L$78,"II юн",IF(I570&lt;=[1]Нормативы!$L$79,"III юн","б/р")))))))))))</f>
        <v>III юн</v>
      </c>
      <c r="K570" s="14"/>
      <c r="L570" s="228"/>
      <c r="N570" s="230"/>
      <c r="O570" s="230"/>
      <c r="P570" s="230"/>
      <c r="Q570" s="230"/>
      <c r="R570" s="230"/>
      <c r="S570" s="230"/>
      <c r="T570" s="230"/>
    </row>
    <row r="571" spans="1:20" s="184" customFormat="1" x14ac:dyDescent="0.35">
      <c r="A571" s="186"/>
      <c r="I571" s="185"/>
      <c r="K571" s="199"/>
    </row>
    <row r="572" spans="1:20" s="184" customFormat="1" x14ac:dyDescent="0.35">
      <c r="A572" s="221" t="s">
        <v>475</v>
      </c>
      <c r="B572" s="14"/>
      <c r="C572" s="214"/>
      <c r="D572" s="214"/>
      <c r="E572" s="215"/>
      <c r="F572" s="214"/>
      <c r="G572" s="216"/>
      <c r="H572" s="14"/>
      <c r="I572" s="217"/>
      <c r="J572" s="231"/>
      <c r="K572" s="199"/>
    </row>
    <row r="573" spans="1:20" s="184" customFormat="1" x14ac:dyDescent="0.35">
      <c r="A573" s="14">
        <v>1</v>
      </c>
      <c r="B573" s="14" t="s">
        <v>6</v>
      </c>
      <c r="C573" s="214" t="s">
        <v>372</v>
      </c>
      <c r="D573" s="214"/>
      <c r="E573" s="215">
        <v>40419</v>
      </c>
      <c r="F573" s="214" t="s">
        <v>198</v>
      </c>
      <c r="G573" s="216"/>
      <c r="H573" s="14"/>
      <c r="I573" s="217">
        <v>47.63</v>
      </c>
      <c r="J573" s="59" t="str">
        <f>IF(ISBLANK(I573)," ",IF(ISTEXT(I573)," ",IF(I573&lt;=[1]Нормативы!$H$82,"КМС",IF(I573&lt;=[1]Нормативы!$H$83,"КМС",IF(I573&lt;=[1]Нормативы!$L$84,"КМС",IF(I573&lt;=[1]Нормативы!$L$85,"I",IF(I573&lt;=[1]Нормативы!$L$86,"II",IF(I573&lt;=[1]Нормативы!$L$87,"III",IF(I573&lt;=[1]Нормативы!$L$88,"I юн",IF(I573&lt;=[1]Нормативы!$L$89,"II юн",IF(I573&lt;=[1]Нормативы!$L$90,"III юн","б/р")))))))))))</f>
        <v>I</v>
      </c>
      <c r="K573" s="199"/>
    </row>
    <row r="574" spans="1:20" s="184" customFormat="1" x14ac:dyDescent="0.35">
      <c r="A574" s="14">
        <v>2</v>
      </c>
      <c r="B574" s="14" t="s">
        <v>6</v>
      </c>
      <c r="C574" s="214" t="s">
        <v>371</v>
      </c>
      <c r="D574" s="214"/>
      <c r="E574" s="215">
        <v>40458</v>
      </c>
      <c r="F574" s="214" t="s">
        <v>198</v>
      </c>
      <c r="G574" s="216"/>
      <c r="H574" s="14"/>
      <c r="I574" s="217">
        <v>47.99</v>
      </c>
      <c r="J574" s="59" t="str">
        <f>IF(ISBLANK(I574)," ",IF(ISTEXT(I574)," ",IF(I574&lt;=[1]Нормативы!$H$82,"КМС",IF(I574&lt;=[1]Нормативы!$H$83,"КМС",IF(I574&lt;=[1]Нормативы!$L$84,"КМС",IF(I574&lt;=[1]Нормативы!$L$85,"I",IF(I574&lt;=[1]Нормативы!$L$86,"II",IF(I574&lt;=[1]Нормативы!$L$87,"III",IF(I574&lt;=[1]Нормативы!$L$88,"I юн",IF(I574&lt;=[1]Нормативы!$L$89,"II юн",IF(I574&lt;=[1]Нормативы!$L$90,"III юн","б/р")))))))))))</f>
        <v>I</v>
      </c>
      <c r="K574" s="199"/>
    </row>
    <row r="575" spans="1:20" s="184" customFormat="1" x14ac:dyDescent="0.35">
      <c r="A575" s="14">
        <v>3</v>
      </c>
      <c r="B575" s="14" t="s">
        <v>6</v>
      </c>
      <c r="C575" s="214" t="s">
        <v>473</v>
      </c>
      <c r="D575" s="214"/>
      <c r="E575" s="215">
        <v>40686</v>
      </c>
      <c r="F575" s="214" t="s">
        <v>172</v>
      </c>
      <c r="G575" s="216"/>
      <c r="H575" s="14"/>
      <c r="I575" s="217">
        <v>50.63</v>
      </c>
      <c r="J575" s="59" t="str">
        <f>IF(ISBLANK(I575)," ",IF(ISTEXT(I575)," ",IF(I575&lt;=[1]Нормативы!$H$82,"КМС",IF(I575&lt;=[1]Нормативы!$H$83,"КМС",IF(I575&lt;=[1]Нормативы!$L$84,"КМС",IF(I575&lt;=[1]Нормативы!$L$85,"I",IF(I575&lt;=[1]Нормативы!$L$86,"II",IF(I575&lt;=[1]Нормативы!$L$87,"III",IF(I575&lt;=[1]Нормативы!$L$88,"I юн",IF(I575&lt;=[1]Нормативы!$L$89,"II юн",IF(I575&lt;=[1]Нормативы!$L$90,"III юн","б/р")))))))))))</f>
        <v>II</v>
      </c>
      <c r="K575" s="199"/>
    </row>
    <row r="576" spans="1:20" s="184" customFormat="1" x14ac:dyDescent="0.35">
      <c r="A576" s="14">
        <v>4</v>
      </c>
      <c r="B576" s="14" t="s">
        <v>24</v>
      </c>
      <c r="C576" s="214" t="s">
        <v>367</v>
      </c>
      <c r="D576" s="214"/>
      <c r="E576" s="215">
        <v>40306</v>
      </c>
      <c r="F576" s="214" t="s">
        <v>198</v>
      </c>
      <c r="G576" s="216"/>
      <c r="H576" s="14"/>
      <c r="I576" s="217">
        <v>51.18</v>
      </c>
      <c r="J576" s="59" t="str">
        <f>IF(ISBLANK(I576)," ",IF(ISTEXT(I576)," ",IF(I576&lt;=[1]Нормативы!$H$82,"КМС",IF(I576&lt;=[1]Нормативы!$H$83,"КМС",IF(I576&lt;=[1]Нормативы!$L$84,"КМС",IF(I576&lt;=[1]Нормативы!$L$85,"I",IF(I576&lt;=[1]Нормативы!$L$86,"II",IF(I576&lt;=[1]Нормативы!$L$87,"III",IF(I576&lt;=[1]Нормативы!$L$88,"I юн",IF(I576&lt;=[1]Нормативы!$L$89,"II юн",IF(I576&lt;=[1]Нормативы!$L$90,"III юн","б/р")))))))))))</f>
        <v>II</v>
      </c>
      <c r="K576" s="199"/>
    </row>
    <row r="577" spans="1:11" s="184" customFormat="1" x14ac:dyDescent="0.35">
      <c r="A577" s="14">
        <v>5</v>
      </c>
      <c r="B577" s="14" t="s">
        <v>24</v>
      </c>
      <c r="C577" s="214" t="s">
        <v>370</v>
      </c>
      <c r="D577" s="214"/>
      <c r="E577" s="215">
        <v>40718</v>
      </c>
      <c r="F577" s="214" t="s">
        <v>198</v>
      </c>
      <c r="G577" s="216"/>
      <c r="H577" s="14"/>
      <c r="I577" s="217">
        <v>51.38</v>
      </c>
      <c r="J577" s="59" t="str">
        <f>IF(ISBLANK(I577)," ",IF(ISTEXT(I577)," ",IF(I577&lt;=[1]Нормативы!$H$82,"КМС",IF(I577&lt;=[1]Нормативы!$H$83,"КМС",IF(I577&lt;=[1]Нормативы!$L$84,"КМС",IF(I577&lt;=[1]Нормативы!$L$85,"I",IF(I577&lt;=[1]Нормативы!$L$86,"II",IF(I577&lt;=[1]Нормативы!$L$87,"III",IF(I577&lt;=[1]Нормативы!$L$88,"I юн",IF(I577&lt;=[1]Нормативы!$L$89,"II юн",IF(I577&lt;=[1]Нормативы!$L$90,"III юн","б/р")))))))))))</f>
        <v>II</v>
      </c>
      <c r="K577" s="199"/>
    </row>
    <row r="578" spans="1:11" s="184" customFormat="1" x14ac:dyDescent="0.35">
      <c r="A578" s="14">
        <v>6</v>
      </c>
      <c r="B578" s="14" t="s">
        <v>24</v>
      </c>
      <c r="C578" s="214" t="s">
        <v>259</v>
      </c>
      <c r="D578" s="214"/>
      <c r="E578" s="215">
        <v>40745</v>
      </c>
      <c r="F578" s="214" t="s">
        <v>172</v>
      </c>
      <c r="G578" s="216"/>
      <c r="H578" s="14"/>
      <c r="I578" s="217">
        <v>51.41</v>
      </c>
      <c r="J578" s="59" t="str">
        <f>IF(ISBLANK(I578)," ",IF(ISTEXT(I578)," ",IF(I578&lt;=[1]Нормативы!$H$82,"КМС",IF(I578&lt;=[1]Нормативы!$H$83,"КМС",IF(I578&lt;=[1]Нормативы!$L$84,"КМС",IF(I578&lt;=[1]Нормативы!$L$85,"I",IF(I578&lt;=[1]Нормативы!$L$86,"II",IF(I578&lt;=[1]Нормативы!$L$87,"III",IF(I578&lt;=[1]Нормативы!$L$88,"I юн",IF(I578&lt;=[1]Нормативы!$L$89,"II юн",IF(I578&lt;=[1]Нормативы!$L$90,"III юн","б/р")))))))))))</f>
        <v>II</v>
      </c>
      <c r="K578" s="199"/>
    </row>
    <row r="579" spans="1:11" s="184" customFormat="1" x14ac:dyDescent="0.35">
      <c r="A579" s="14">
        <v>7</v>
      </c>
      <c r="B579" s="14" t="s">
        <v>6</v>
      </c>
      <c r="C579" s="214" t="s">
        <v>301</v>
      </c>
      <c r="D579" s="214"/>
      <c r="E579" s="215">
        <v>40526</v>
      </c>
      <c r="F579" s="214" t="s">
        <v>198</v>
      </c>
      <c r="G579" s="216"/>
      <c r="H579" s="14"/>
      <c r="I579" s="217">
        <v>53.4</v>
      </c>
      <c r="J579" s="59" t="str">
        <f>IF(ISBLANK(I579)," ",IF(ISTEXT(I579)," ",IF(I579&lt;=[1]Нормативы!$H$82,"КМС",IF(I579&lt;=[1]Нормативы!$H$83,"КМС",IF(I579&lt;=[1]Нормативы!$L$84,"КМС",IF(I579&lt;=[1]Нормативы!$L$85,"I",IF(I579&lt;=[1]Нормативы!$L$86,"II",IF(I579&lt;=[1]Нормативы!$L$87,"III",IF(I579&lt;=[1]Нормативы!$L$88,"I юн",IF(I579&lt;=[1]Нормативы!$L$89,"II юн",IF(I579&lt;=[1]Нормативы!$L$90,"III юн","б/р")))))))))))</f>
        <v>II</v>
      </c>
      <c r="K579" s="199"/>
    </row>
    <row r="580" spans="1:11" s="184" customFormat="1" x14ac:dyDescent="0.35">
      <c r="A580" s="14">
        <v>8</v>
      </c>
      <c r="B580" s="14" t="s">
        <v>24</v>
      </c>
      <c r="C580" s="214" t="s">
        <v>364</v>
      </c>
      <c r="D580" s="214"/>
      <c r="E580" s="215">
        <v>41027</v>
      </c>
      <c r="F580" s="214" t="s">
        <v>198</v>
      </c>
      <c r="G580" s="216"/>
      <c r="H580" s="14"/>
      <c r="I580" s="217">
        <v>53.53</v>
      </c>
      <c r="J580" s="59" t="str">
        <f>IF(ISBLANK(I580)," ",IF(ISTEXT(I580)," ",IF(I580&lt;=[1]Нормативы!$H$82,"КМС",IF(I580&lt;=[1]Нормативы!$H$83,"КМС",IF(I580&lt;=[1]Нормативы!$L$84,"КМС",IF(I580&lt;=[1]Нормативы!$L$85,"I",IF(I580&lt;=[1]Нормативы!$L$86,"II",IF(I580&lt;=[1]Нормативы!$L$87,"III",IF(I580&lt;=[1]Нормативы!$L$88,"I юн",IF(I580&lt;=[1]Нормативы!$L$89,"II юн",IF(I580&lt;=[1]Нормативы!$L$90,"III юн","б/р")))))))))))</f>
        <v>II</v>
      </c>
      <c r="K580" s="199"/>
    </row>
    <row r="581" spans="1:11" s="184" customFormat="1" x14ac:dyDescent="0.35">
      <c r="A581" s="14">
        <v>9</v>
      </c>
      <c r="B581" s="14" t="s">
        <v>24</v>
      </c>
      <c r="C581" s="214" t="s">
        <v>260</v>
      </c>
      <c r="D581" s="214"/>
      <c r="E581" s="215">
        <v>40803</v>
      </c>
      <c r="F581" s="214" t="s">
        <v>172</v>
      </c>
      <c r="G581" s="216"/>
      <c r="H581" s="14"/>
      <c r="I581" s="217">
        <v>54.16</v>
      </c>
      <c r="J581" s="59" t="str">
        <f>IF(ISBLANK(I581)," ",IF(ISTEXT(I581)," ",IF(I581&lt;=[1]Нормативы!$H$82,"КМС",IF(I581&lt;=[1]Нормативы!$H$83,"КМС",IF(I581&lt;=[1]Нормативы!$L$84,"КМС",IF(I581&lt;=[1]Нормативы!$L$85,"I",IF(I581&lt;=[1]Нормативы!$L$86,"II",IF(I581&lt;=[1]Нормативы!$L$87,"III",IF(I581&lt;=[1]Нормативы!$L$88,"I юн",IF(I581&lt;=[1]Нормативы!$L$89,"II юн",IF(I581&lt;=[1]Нормативы!$L$90,"III юн","б/р")))))))))))</f>
        <v>II</v>
      </c>
      <c r="K581" s="199"/>
    </row>
    <row r="582" spans="1:11" s="184" customFormat="1" x14ac:dyDescent="0.35">
      <c r="A582" s="14">
        <v>10</v>
      </c>
      <c r="B582" s="14" t="s">
        <v>24</v>
      </c>
      <c r="C582" s="214" t="s">
        <v>299</v>
      </c>
      <c r="D582" s="214"/>
      <c r="E582" s="215">
        <v>40529</v>
      </c>
      <c r="F582" s="214" t="s">
        <v>198</v>
      </c>
      <c r="G582" s="216"/>
      <c r="H582" s="14"/>
      <c r="I582" s="217">
        <v>55.33</v>
      </c>
      <c r="J582" s="59" t="str">
        <f>IF(ISBLANK(I582)," ",IF(ISTEXT(I582)," ",IF(I582&lt;=[1]Нормативы!$H$82,"КМС",IF(I582&lt;=[1]Нормативы!$H$83,"КМС",IF(I582&lt;=[1]Нормативы!$L$84,"КМС",IF(I582&lt;=[1]Нормативы!$L$85,"I",IF(I582&lt;=[1]Нормативы!$L$86,"II",IF(I582&lt;=[1]Нормативы!$L$87,"III",IF(I582&lt;=[1]Нормативы!$L$88,"I юн",IF(I582&lt;=[1]Нормативы!$L$89,"II юн",IF(I582&lt;=[1]Нормативы!$L$90,"III юн","б/р")))))))))))</f>
        <v>II</v>
      </c>
      <c r="K582" s="199"/>
    </row>
    <row r="583" spans="1:11" s="184" customFormat="1" x14ac:dyDescent="0.35">
      <c r="A583" s="14">
        <v>11</v>
      </c>
      <c r="B583" s="14" t="s">
        <v>6</v>
      </c>
      <c r="C583" s="214" t="s">
        <v>241</v>
      </c>
      <c r="D583" s="214"/>
      <c r="E583" s="215">
        <v>41127</v>
      </c>
      <c r="F583" s="214" t="s">
        <v>198</v>
      </c>
      <c r="G583" s="216"/>
      <c r="H583" s="14"/>
      <c r="I583" s="217">
        <v>56.19</v>
      </c>
      <c r="J583" s="59" t="str">
        <f>IF(ISBLANK(I583)," ",IF(ISTEXT(I583)," ",IF(I583&lt;=[1]Нормативы!$H$82,"КМС",IF(I583&lt;=[1]Нормативы!$H$83,"КМС",IF(I583&lt;=[1]Нормативы!$L$84,"КМС",IF(I583&lt;=[1]Нормативы!$L$85,"I",IF(I583&lt;=[1]Нормативы!$L$86,"II",IF(I583&lt;=[1]Нормативы!$L$87,"III",IF(I583&lt;=[1]Нормативы!$L$88,"I юн",IF(I583&lt;=[1]Нормативы!$L$89,"II юн",IF(I583&lt;=[1]Нормативы!$L$90,"III юн","б/р")))))))))))</f>
        <v>III</v>
      </c>
      <c r="K583" s="199"/>
    </row>
    <row r="584" spans="1:11" s="184" customFormat="1" x14ac:dyDescent="0.35">
      <c r="A584" s="14">
        <v>12</v>
      </c>
      <c r="B584" s="14" t="s">
        <v>25</v>
      </c>
      <c r="C584" s="214" t="s">
        <v>300</v>
      </c>
      <c r="D584" s="214"/>
      <c r="E584" s="215">
        <v>40480</v>
      </c>
      <c r="F584" s="214" t="s">
        <v>198</v>
      </c>
      <c r="G584" s="216"/>
      <c r="H584" s="14"/>
      <c r="I584" s="217">
        <v>56.57</v>
      </c>
      <c r="J584" s="59" t="str">
        <f>IF(ISBLANK(I584)," ",IF(ISTEXT(I584)," ",IF(I584&lt;=[1]Нормативы!$H$82,"КМС",IF(I584&lt;=[1]Нормативы!$H$83,"КМС",IF(I584&lt;=[1]Нормативы!$L$84,"КМС",IF(I584&lt;=[1]Нормативы!$L$85,"I",IF(I584&lt;=[1]Нормативы!$L$86,"II",IF(I584&lt;=[1]Нормативы!$L$87,"III",IF(I584&lt;=[1]Нормативы!$L$88,"I юн",IF(I584&lt;=[1]Нормативы!$L$89,"II юн",IF(I584&lt;=[1]Нормативы!$L$90,"III юн","б/р")))))))))))</f>
        <v>III</v>
      </c>
      <c r="K584" s="199"/>
    </row>
    <row r="585" spans="1:11" s="184" customFormat="1" x14ac:dyDescent="0.35">
      <c r="A585" s="14">
        <v>13</v>
      </c>
      <c r="B585" s="14" t="s">
        <v>24</v>
      </c>
      <c r="C585" s="214" t="s">
        <v>302</v>
      </c>
      <c r="D585" s="214"/>
      <c r="E585" s="215">
        <v>41145</v>
      </c>
      <c r="F585" s="214" t="s">
        <v>198</v>
      </c>
      <c r="G585" s="216"/>
      <c r="H585" s="14"/>
      <c r="I585" s="217">
        <v>56.59</v>
      </c>
      <c r="J585" s="59" t="str">
        <f>IF(ISBLANK(I585)," ",IF(ISTEXT(I585)," ",IF(I585&lt;=[1]Нормативы!$H$82,"КМС",IF(I585&lt;=[1]Нормативы!$H$83,"КМС",IF(I585&lt;=[1]Нормативы!$L$84,"КМС",IF(I585&lt;=[1]Нормативы!$L$85,"I",IF(I585&lt;=[1]Нормативы!$L$86,"II",IF(I585&lt;=[1]Нормативы!$L$87,"III",IF(I585&lt;=[1]Нормативы!$L$88,"I юн",IF(I585&lt;=[1]Нормативы!$L$89,"II юн",IF(I585&lt;=[1]Нормативы!$L$90,"III юн","б/р")))))))))))</f>
        <v>III</v>
      </c>
      <c r="K585" s="199"/>
    </row>
    <row r="586" spans="1:11" s="184" customFormat="1" x14ac:dyDescent="0.35">
      <c r="A586" s="14">
        <v>14</v>
      </c>
      <c r="B586" s="14" t="s">
        <v>24</v>
      </c>
      <c r="C586" s="214" t="s">
        <v>369</v>
      </c>
      <c r="D586" s="214"/>
      <c r="E586" s="215">
        <v>40384</v>
      </c>
      <c r="F586" s="214" t="s">
        <v>198</v>
      </c>
      <c r="G586" s="216"/>
      <c r="H586" s="14"/>
      <c r="I586" s="217">
        <v>56.67</v>
      </c>
      <c r="J586" s="59" t="str">
        <f>IF(ISBLANK(I586)," ",IF(ISTEXT(I586)," ",IF(I586&lt;=[1]Нормативы!$H$82,"КМС",IF(I586&lt;=[1]Нормативы!$H$83,"КМС",IF(I586&lt;=[1]Нормативы!$L$84,"КМС",IF(I586&lt;=[1]Нормативы!$L$85,"I",IF(I586&lt;=[1]Нормативы!$L$86,"II",IF(I586&lt;=[1]Нормативы!$L$87,"III",IF(I586&lt;=[1]Нормативы!$L$88,"I юн",IF(I586&lt;=[1]Нормативы!$L$89,"II юн",IF(I586&lt;=[1]Нормативы!$L$90,"III юн","б/р")))))))))))</f>
        <v>III</v>
      </c>
      <c r="K586" s="199"/>
    </row>
    <row r="587" spans="1:11" s="184" customFormat="1" x14ac:dyDescent="0.35">
      <c r="A587" s="14">
        <v>15</v>
      </c>
      <c r="B587" s="14" t="s">
        <v>25</v>
      </c>
      <c r="C587" s="214" t="s">
        <v>466</v>
      </c>
      <c r="D587" s="214"/>
      <c r="E587" s="215">
        <v>41113</v>
      </c>
      <c r="F587" s="214" t="s">
        <v>245</v>
      </c>
      <c r="G587" s="216"/>
      <c r="H587" s="14"/>
      <c r="I587" s="217">
        <v>56.99</v>
      </c>
      <c r="J587" s="59" t="str">
        <f>IF(ISBLANK(I587)," ",IF(ISTEXT(I587)," ",IF(I587&lt;=[1]Нормативы!$H$82,"КМС",IF(I587&lt;=[1]Нормативы!$H$83,"КМС",IF(I587&lt;=[1]Нормативы!$L$84,"КМС",IF(I587&lt;=[1]Нормативы!$L$85,"I",IF(I587&lt;=[1]Нормативы!$L$86,"II",IF(I587&lt;=[1]Нормативы!$L$87,"III",IF(I587&lt;=[1]Нормативы!$L$88,"I юн",IF(I587&lt;=[1]Нормативы!$L$89,"II юн",IF(I587&lt;=[1]Нормативы!$L$90,"III юн","б/р")))))))))))</f>
        <v>III</v>
      </c>
      <c r="K587" s="199"/>
    </row>
    <row r="588" spans="1:11" s="184" customFormat="1" x14ac:dyDescent="0.35">
      <c r="A588" s="14">
        <v>16</v>
      </c>
      <c r="B588" s="14" t="s">
        <v>25</v>
      </c>
      <c r="C588" s="214" t="s">
        <v>298</v>
      </c>
      <c r="D588" s="214"/>
      <c r="E588" s="215">
        <v>40884</v>
      </c>
      <c r="F588" s="214" t="s">
        <v>198</v>
      </c>
      <c r="G588" s="216"/>
      <c r="H588" s="14"/>
      <c r="I588" s="217">
        <v>57.02</v>
      </c>
      <c r="J588" s="59" t="str">
        <f>IF(ISBLANK(I588)," ",IF(ISTEXT(I588)," ",IF(I588&lt;=[1]Нормативы!$H$82,"КМС",IF(I588&lt;=[1]Нормативы!$H$83,"КМС",IF(I588&lt;=[1]Нормативы!$L$84,"КМС",IF(I588&lt;=[1]Нормативы!$L$85,"I",IF(I588&lt;=[1]Нормативы!$L$86,"II",IF(I588&lt;=[1]Нормативы!$L$87,"III",IF(I588&lt;=[1]Нормативы!$L$88,"I юн",IF(I588&lt;=[1]Нормативы!$L$89,"II юн",IF(I588&lt;=[1]Нормативы!$L$90,"III юн","б/р")))))))))))</f>
        <v>III</v>
      </c>
    </row>
    <row r="589" spans="1:11" s="184" customFormat="1" x14ac:dyDescent="0.35">
      <c r="A589" s="14">
        <v>17</v>
      </c>
      <c r="B589" s="14" t="s">
        <v>25</v>
      </c>
      <c r="C589" s="214" t="s">
        <v>420</v>
      </c>
      <c r="D589" s="214"/>
      <c r="E589" s="215">
        <v>40697</v>
      </c>
      <c r="F589" s="214" t="s">
        <v>176</v>
      </c>
      <c r="G589" s="216"/>
      <c r="H589" s="14"/>
      <c r="I589" s="217">
        <v>57.85</v>
      </c>
      <c r="J589" s="59" t="str">
        <f>IF(ISBLANK(I589)," ",IF(ISTEXT(I589)," ",IF(I589&lt;=[1]Нормативы!$H$82,"КМС",IF(I589&lt;=[1]Нормативы!$H$83,"КМС",IF(I589&lt;=[1]Нормативы!$L$84,"КМС",IF(I589&lt;=[1]Нормативы!$L$85,"I",IF(I589&lt;=[1]Нормативы!$L$86,"II",IF(I589&lt;=[1]Нормативы!$L$87,"III",IF(I589&lt;=[1]Нормативы!$L$88,"I юн",IF(I589&lt;=[1]Нормативы!$L$89,"II юн",IF(I589&lt;=[1]Нормативы!$L$90,"III юн","б/р")))))))))))</f>
        <v>III</v>
      </c>
    </row>
    <row r="590" spans="1:11" s="184" customFormat="1" x14ac:dyDescent="0.35">
      <c r="A590" s="14">
        <v>18</v>
      </c>
      <c r="B590" s="14" t="s">
        <v>25</v>
      </c>
      <c r="C590" s="214" t="s">
        <v>417</v>
      </c>
      <c r="D590" s="214"/>
      <c r="E590" s="215">
        <v>40551</v>
      </c>
      <c r="F590" s="214" t="s">
        <v>176</v>
      </c>
      <c r="G590" s="216"/>
      <c r="H590" s="14"/>
      <c r="I590" s="217">
        <v>57.89</v>
      </c>
      <c r="J590" s="59" t="str">
        <f>IF(ISBLANK(I590)," ",IF(ISTEXT(I590)," ",IF(I590&lt;=[1]Нормативы!$H$82,"КМС",IF(I590&lt;=[1]Нормативы!$H$83,"КМС",IF(I590&lt;=[1]Нормативы!$L$84,"КМС",IF(I590&lt;=[1]Нормативы!$L$85,"I",IF(I590&lt;=[1]Нормативы!$L$86,"II",IF(I590&lt;=[1]Нормативы!$L$87,"III",IF(I590&lt;=[1]Нормативы!$L$88,"I юн",IF(I590&lt;=[1]Нормативы!$L$89,"II юн",IF(I590&lt;=[1]Нормативы!$L$90,"III юн","б/р")))))))))))</f>
        <v>III</v>
      </c>
    </row>
    <row r="591" spans="1:11" s="184" customFormat="1" x14ac:dyDescent="0.35">
      <c r="A591" s="14">
        <v>19</v>
      </c>
      <c r="B591" s="14" t="s">
        <v>25</v>
      </c>
      <c r="C591" s="214" t="s">
        <v>421</v>
      </c>
      <c r="D591" s="214"/>
      <c r="E591" s="215">
        <v>40502</v>
      </c>
      <c r="F591" s="214" t="s">
        <v>176</v>
      </c>
      <c r="G591" s="216"/>
      <c r="H591" s="14"/>
      <c r="I591" s="217">
        <v>57.97</v>
      </c>
      <c r="J591" s="59" t="str">
        <f>IF(ISBLANK(I591)," ",IF(ISTEXT(I591)," ",IF(I591&lt;=[1]Нормативы!$H$82,"КМС",IF(I591&lt;=[1]Нормативы!$H$83,"КМС",IF(I591&lt;=[1]Нормативы!$L$84,"КМС",IF(I591&lt;=[1]Нормативы!$L$85,"I",IF(I591&lt;=[1]Нормативы!$L$86,"II",IF(I591&lt;=[1]Нормативы!$L$87,"III",IF(I591&lt;=[1]Нормативы!$L$88,"I юн",IF(I591&lt;=[1]Нормативы!$L$89,"II юн",IF(I591&lt;=[1]Нормативы!$L$90,"III юн","б/р")))))))))))</f>
        <v>III</v>
      </c>
    </row>
    <row r="592" spans="1:11" s="184" customFormat="1" x14ac:dyDescent="0.35">
      <c r="A592" s="14">
        <v>20</v>
      </c>
      <c r="B592" s="14" t="s">
        <v>38</v>
      </c>
      <c r="C592" s="214" t="s">
        <v>418</v>
      </c>
      <c r="D592" s="214"/>
      <c r="E592" s="215">
        <v>40818</v>
      </c>
      <c r="F592" s="214" t="s">
        <v>176</v>
      </c>
      <c r="G592" s="216"/>
      <c r="H592" s="14"/>
      <c r="I592" s="217">
        <v>58.44</v>
      </c>
      <c r="J592" s="59" t="str">
        <f>IF(ISBLANK(I592)," ",IF(ISTEXT(I592)," ",IF(I592&lt;=[1]Нормативы!$H$82,"КМС",IF(I592&lt;=[1]Нормативы!$H$83,"КМС",IF(I592&lt;=[1]Нормативы!$L$84,"КМС",IF(I592&lt;=[1]Нормативы!$L$85,"I",IF(I592&lt;=[1]Нормативы!$L$86,"II",IF(I592&lt;=[1]Нормативы!$L$87,"III",IF(I592&lt;=[1]Нормативы!$L$88,"I юн",IF(I592&lt;=[1]Нормативы!$L$89,"II юн",IF(I592&lt;=[1]Нормативы!$L$90,"III юн","б/р")))))))))))</f>
        <v>III</v>
      </c>
    </row>
    <row r="593" spans="1:10" s="184" customFormat="1" x14ac:dyDescent="0.35">
      <c r="A593" s="14">
        <v>21</v>
      </c>
      <c r="B593" s="218" t="s">
        <v>38</v>
      </c>
      <c r="C593" s="214" t="s">
        <v>497</v>
      </c>
      <c r="D593" s="214"/>
      <c r="E593" s="215">
        <v>40653</v>
      </c>
      <c r="F593" s="214" t="s">
        <v>198</v>
      </c>
      <c r="G593" s="216"/>
      <c r="H593" s="14"/>
      <c r="I593" s="217">
        <v>59.22</v>
      </c>
      <c r="J593" s="59" t="str">
        <f>IF(ISBLANK(I593)," ",IF(ISTEXT(I593)," ",IF(I593&lt;=[1]Нормативы!$H$82,"КМС",IF(I593&lt;=[1]Нормативы!$H$83,"КМС",IF(I593&lt;=[1]Нормативы!$L$84,"КМС",IF(I593&lt;=[1]Нормативы!$L$85,"I",IF(I593&lt;=[1]Нормативы!$L$86,"II",IF(I593&lt;=[1]Нормативы!$L$87,"III",IF(I593&lt;=[1]Нормативы!$L$88,"I юн",IF(I593&lt;=[1]Нормативы!$L$89,"II юн",IF(I593&lt;=[1]Нормативы!$L$90,"III юн","б/р")))))))))))</f>
        <v>III</v>
      </c>
    </row>
    <row r="594" spans="1:10" s="184" customFormat="1" x14ac:dyDescent="0.35">
      <c r="A594" s="14">
        <v>22</v>
      </c>
      <c r="B594" s="14" t="s">
        <v>22</v>
      </c>
      <c r="C594" s="214" t="s">
        <v>290</v>
      </c>
      <c r="D594" s="214"/>
      <c r="E594" s="215">
        <v>41117</v>
      </c>
      <c r="F594" s="214" t="s">
        <v>198</v>
      </c>
      <c r="G594" s="216"/>
      <c r="H594" s="14"/>
      <c r="I594" s="217">
        <v>59.34</v>
      </c>
      <c r="J594" s="59" t="str">
        <f>IF(ISBLANK(I594)," ",IF(ISTEXT(I594)," ",IF(I594&lt;=[1]Нормативы!$H$82,"КМС",IF(I594&lt;=[1]Нормативы!$H$83,"КМС",IF(I594&lt;=[1]Нормативы!$L$84,"КМС",IF(I594&lt;=[1]Нормативы!$L$85,"I",IF(I594&lt;=[1]Нормативы!$L$86,"II",IF(I594&lt;=[1]Нормативы!$L$87,"III",IF(I594&lt;=[1]Нормативы!$L$88,"I юн",IF(I594&lt;=[1]Нормативы!$L$89,"II юн",IF(I594&lt;=[1]Нормативы!$L$90,"III юн","б/р")))))))))))</f>
        <v>III</v>
      </c>
    </row>
    <row r="595" spans="1:10" s="54" customFormat="1" x14ac:dyDescent="0.35">
      <c r="A595" s="14">
        <v>23</v>
      </c>
      <c r="B595" s="14" t="s">
        <v>38</v>
      </c>
      <c r="C595" s="214" t="s">
        <v>467</v>
      </c>
      <c r="D595" s="214"/>
      <c r="E595" s="215">
        <v>41200</v>
      </c>
      <c r="F595" s="214" t="s">
        <v>245</v>
      </c>
      <c r="G595" s="216"/>
      <c r="H595" s="14"/>
      <c r="I595" s="217">
        <v>59.39</v>
      </c>
      <c r="J595" s="59" t="str">
        <f>IF(ISBLANK(I595)," ",IF(ISTEXT(I595)," ",IF(I595&lt;=[1]Нормативы!$H$82,"КМС",IF(I595&lt;=[1]Нормативы!$H$83,"КМС",IF(I595&lt;=[1]Нормативы!$L$84,"КМС",IF(I595&lt;=[1]Нормативы!$L$85,"I",IF(I595&lt;=[1]Нормативы!$L$86,"II",IF(I595&lt;=[1]Нормативы!$L$87,"III",IF(I595&lt;=[1]Нормативы!$L$88,"I юн",IF(I595&lt;=[1]Нормативы!$L$89,"II юн",IF(I595&lt;=[1]Нормативы!$L$90,"III юн","б/р")))))))))))</f>
        <v>III</v>
      </c>
    </row>
    <row r="596" spans="1:10" s="54" customFormat="1" x14ac:dyDescent="0.35">
      <c r="A596" s="14">
        <v>24</v>
      </c>
      <c r="B596" s="14" t="s">
        <v>25</v>
      </c>
      <c r="C596" s="214" t="s">
        <v>423</v>
      </c>
      <c r="D596" s="214"/>
      <c r="E596" s="215">
        <v>40874</v>
      </c>
      <c r="F596" s="214" t="s">
        <v>176</v>
      </c>
      <c r="G596" s="216"/>
      <c r="H596" s="14"/>
      <c r="I596" s="217">
        <v>59.46</v>
      </c>
      <c r="J596" s="59" t="str">
        <f>IF(ISBLANK(I596)," ",IF(ISTEXT(I596)," ",IF(I596&lt;=[1]Нормативы!$H$82,"КМС",IF(I596&lt;=[1]Нормативы!$H$83,"КМС",IF(I596&lt;=[1]Нормативы!$L$84,"КМС",IF(I596&lt;=[1]Нормативы!$L$85,"I",IF(I596&lt;=[1]Нормативы!$L$86,"II",IF(I596&lt;=[1]Нормативы!$L$87,"III",IF(I596&lt;=[1]Нормативы!$L$88,"I юн",IF(I596&lt;=[1]Нормативы!$L$89,"II юн",IF(I596&lt;=[1]Нормативы!$L$90,"III юн","б/р")))))))))))</f>
        <v>III</v>
      </c>
    </row>
    <row r="597" spans="1:10" s="54" customFormat="1" x14ac:dyDescent="0.35">
      <c r="A597" s="14">
        <v>25</v>
      </c>
      <c r="B597" s="14" t="s">
        <v>22</v>
      </c>
      <c r="C597" s="214" t="s">
        <v>363</v>
      </c>
      <c r="D597" s="214"/>
      <c r="E597" s="215">
        <v>41261</v>
      </c>
      <c r="F597" s="214" t="s">
        <v>198</v>
      </c>
      <c r="G597" s="216"/>
      <c r="H597" s="14"/>
      <c r="I597" s="217">
        <v>59.73</v>
      </c>
      <c r="J597" s="59" t="str">
        <f>IF(ISBLANK(I597)," ",IF(ISTEXT(I597)," ",IF(I597&lt;=[1]Нормативы!$H$82,"КМС",IF(I597&lt;=[1]Нормативы!$H$83,"КМС",IF(I597&lt;=[1]Нормативы!$L$84,"КМС",IF(I597&lt;=[1]Нормативы!$L$85,"I",IF(I597&lt;=[1]Нормативы!$L$86,"II",IF(I597&lt;=[1]Нормативы!$L$87,"III",IF(I597&lt;=[1]Нормативы!$L$88,"I юн",IF(I597&lt;=[1]Нормативы!$L$89,"II юн",IF(I597&lt;=[1]Нормативы!$L$90,"III юн","б/р")))))))))))</f>
        <v>III</v>
      </c>
    </row>
    <row r="598" spans="1:10" s="54" customFormat="1" x14ac:dyDescent="0.35">
      <c r="A598" s="14">
        <v>26</v>
      </c>
      <c r="B598" s="14" t="s">
        <v>38</v>
      </c>
      <c r="C598" s="214" t="s">
        <v>470</v>
      </c>
      <c r="D598" s="214"/>
      <c r="E598" s="215">
        <v>41061</v>
      </c>
      <c r="F598" s="214" t="s">
        <v>245</v>
      </c>
      <c r="G598" s="216"/>
      <c r="H598" s="14"/>
      <c r="I598" s="217">
        <v>100.48</v>
      </c>
      <c r="J598" s="59" t="str">
        <f>IF(ISBLANK(I598)," ",IF(ISTEXT(I598)," ",IF(I598&lt;=[1]Нормативы!$H$82,"КМС",IF(I598&lt;=[1]Нормативы!$H$83,"КМС",IF(I598&lt;=[1]Нормативы!$L$84,"КМС",IF(I598&lt;=[1]Нормативы!$L$85,"I",IF(I598&lt;=[1]Нормативы!$L$86,"II",IF(I598&lt;=[1]Нормативы!$L$87,"III",IF(I598&lt;=[1]Нормативы!$L$88,"I юн",IF(I598&lt;=[1]Нормативы!$L$89,"II юн",IF(I598&lt;=[1]Нормативы!$L$90,"III юн","б/р")))))))))))</f>
        <v>I юн</v>
      </c>
    </row>
    <row r="599" spans="1:10" s="54" customFormat="1" x14ac:dyDescent="0.35">
      <c r="A599" s="14">
        <v>27</v>
      </c>
      <c r="B599" s="14" t="s">
        <v>38</v>
      </c>
      <c r="C599" s="214" t="s">
        <v>424</v>
      </c>
      <c r="D599" s="214"/>
      <c r="E599" s="215">
        <v>41139</v>
      </c>
      <c r="F599" s="214" t="s">
        <v>176</v>
      </c>
      <c r="G599" s="216"/>
      <c r="H599" s="14"/>
      <c r="I599" s="217">
        <v>101.92</v>
      </c>
      <c r="J599" s="59" t="str">
        <f>IF(ISBLANK(I599)," ",IF(ISTEXT(I599)," ",IF(I599&lt;=[1]Нормативы!$H$82,"КМС",IF(I599&lt;=[1]Нормативы!$H$83,"КМС",IF(I599&lt;=[1]Нормативы!$L$84,"КМС",IF(I599&lt;=[1]Нормативы!$L$85,"I",IF(I599&lt;=[1]Нормативы!$L$86,"II",IF(I599&lt;=[1]Нормативы!$L$87,"III",IF(I599&lt;=[1]Нормативы!$L$88,"I юн",IF(I599&lt;=[1]Нормативы!$L$89,"II юн",IF(I599&lt;=[1]Нормативы!$L$90,"III юн","б/р")))))))))))</f>
        <v>I юн</v>
      </c>
    </row>
    <row r="600" spans="1:10" s="54" customFormat="1" x14ac:dyDescent="0.35">
      <c r="A600" s="14">
        <v>28</v>
      </c>
      <c r="B600" s="14" t="s">
        <v>22</v>
      </c>
      <c r="C600" s="214" t="s">
        <v>288</v>
      </c>
      <c r="D600" s="214"/>
      <c r="E600" s="215">
        <v>41170</v>
      </c>
      <c r="F600" s="214" t="s">
        <v>198</v>
      </c>
      <c r="G600" s="216"/>
      <c r="H600" s="14"/>
      <c r="I600" s="217">
        <v>102.66</v>
      </c>
      <c r="J600" s="59" t="str">
        <f>IF(ISBLANK(I600)," ",IF(ISTEXT(I600)," ",IF(I600&lt;=[1]Нормативы!$H$82,"КМС",IF(I600&lt;=[1]Нормативы!$H$83,"КМС",IF(I600&lt;=[1]Нормативы!$L$84,"КМС",IF(I600&lt;=[1]Нормативы!$L$85,"I",IF(I600&lt;=[1]Нормативы!$L$86,"II",IF(I600&lt;=[1]Нормативы!$L$87,"III",IF(I600&lt;=[1]Нормативы!$L$88,"I юн",IF(I600&lt;=[1]Нормативы!$L$89,"II юн",IF(I600&lt;=[1]Нормативы!$L$90,"III юн","б/р")))))))))))</f>
        <v>I юн</v>
      </c>
    </row>
    <row r="601" spans="1:10" s="54" customFormat="1" x14ac:dyDescent="0.35">
      <c r="A601" s="14">
        <v>29</v>
      </c>
      <c r="B601" s="14" t="s">
        <v>38</v>
      </c>
      <c r="C601" s="214" t="s">
        <v>295</v>
      </c>
      <c r="D601" s="214"/>
      <c r="E601" s="215">
        <v>41062</v>
      </c>
      <c r="F601" s="214" t="s">
        <v>198</v>
      </c>
      <c r="G601" s="216"/>
      <c r="H601" s="14"/>
      <c r="I601" s="217">
        <v>102.9</v>
      </c>
      <c r="J601" s="59" t="str">
        <f>IF(ISBLANK(I601)," ",IF(ISTEXT(I601)," ",IF(I601&lt;=[1]Нормативы!$H$82,"КМС",IF(I601&lt;=[1]Нормативы!$H$83,"КМС",IF(I601&lt;=[1]Нормативы!$L$84,"КМС",IF(I601&lt;=[1]Нормативы!$L$85,"I",IF(I601&lt;=[1]Нормативы!$L$86,"II",IF(I601&lt;=[1]Нормативы!$L$87,"III",IF(I601&lt;=[1]Нормативы!$L$88,"I юн",IF(I601&lt;=[1]Нормативы!$L$89,"II юн",IF(I601&lt;=[1]Нормативы!$L$90,"III юн","б/р")))))))))))</f>
        <v>I юн</v>
      </c>
    </row>
    <row r="602" spans="1:10" s="54" customFormat="1" x14ac:dyDescent="0.35">
      <c r="A602" s="14">
        <v>30</v>
      </c>
      <c r="B602" s="14" t="s">
        <v>22</v>
      </c>
      <c r="C602" s="214" t="s">
        <v>415</v>
      </c>
      <c r="D602" s="214"/>
      <c r="E602" s="215">
        <v>41124</v>
      </c>
      <c r="F602" s="214" t="s">
        <v>176</v>
      </c>
      <c r="G602" s="216"/>
      <c r="H602" s="14"/>
      <c r="I602" s="217">
        <v>108.16</v>
      </c>
      <c r="J602" s="59" t="str">
        <f>IF(ISBLANK(I602)," ",IF(ISTEXT(I602)," ",IF(I602&lt;=[1]Нормативы!$H$82,"КМС",IF(I602&lt;=[1]Нормативы!$H$83,"КМС",IF(I602&lt;=[1]Нормативы!$L$84,"КМС",IF(I602&lt;=[1]Нормативы!$L$85,"I",IF(I602&lt;=[1]Нормативы!$L$86,"II",IF(I602&lt;=[1]Нормативы!$L$87,"III",IF(I602&lt;=[1]Нормативы!$L$88,"I юн",IF(I602&lt;=[1]Нормативы!$L$89,"II юн",IF(I602&lt;=[1]Нормативы!$L$90,"III юн","б/р")))))))))))</f>
        <v>II юн</v>
      </c>
    </row>
    <row r="603" spans="1:10" s="54" customFormat="1" x14ac:dyDescent="0.35">
      <c r="A603" s="14">
        <v>31</v>
      </c>
      <c r="B603" s="14" t="s">
        <v>26</v>
      </c>
      <c r="C603" s="214" t="s">
        <v>351</v>
      </c>
      <c r="D603" s="214"/>
      <c r="E603" s="215">
        <v>41177</v>
      </c>
      <c r="F603" s="214" t="s">
        <v>198</v>
      </c>
      <c r="G603" s="216"/>
      <c r="H603" s="14"/>
      <c r="I603" s="217">
        <v>113.56</v>
      </c>
      <c r="J603" s="59" t="str">
        <f>IF(ISBLANK(I603)," ",IF(ISTEXT(I603)," ",IF(I603&lt;=[1]Нормативы!$H$82,"КМС",IF(I603&lt;=[1]Нормативы!$H$83,"КМС",IF(I603&lt;=[1]Нормативы!$L$84,"КМС",IF(I603&lt;=[1]Нормативы!$L$85,"I",IF(I603&lt;=[1]Нормативы!$L$86,"II",IF(I603&lt;=[1]Нормативы!$L$87,"III",IF(I603&lt;=[1]Нормативы!$L$88,"I юн",IF(I603&lt;=[1]Нормативы!$L$89,"II юн",IF(I603&lt;=[1]Нормативы!$L$90,"III юн","б/р")))))))))))</f>
        <v>III юн</v>
      </c>
    </row>
    <row r="604" spans="1:10" s="54" customFormat="1" x14ac:dyDescent="0.35">
      <c r="A604" s="14">
        <v>32</v>
      </c>
      <c r="B604" s="14" t="s">
        <v>22</v>
      </c>
      <c r="C604" s="214" t="s">
        <v>409</v>
      </c>
      <c r="D604" s="214"/>
      <c r="E604" s="215">
        <v>40941</v>
      </c>
      <c r="F604" s="214" t="s">
        <v>193</v>
      </c>
      <c r="G604" s="216"/>
      <c r="H604" s="14"/>
      <c r="I604" s="217">
        <v>115.96</v>
      </c>
      <c r="J604" s="59" t="str">
        <f>IF(ISBLANK(I604)," ",IF(ISTEXT(I604)," ",IF(I604&lt;=[1]Нормативы!$H$82,"КМС",IF(I604&lt;=[1]Нормативы!$H$83,"КМС",IF(I604&lt;=[1]Нормативы!$L$84,"КМС",IF(I604&lt;=[1]Нормативы!$L$85,"I",IF(I604&lt;=[1]Нормативы!$L$86,"II",IF(I604&lt;=[1]Нормативы!$L$87,"III",IF(I604&lt;=[1]Нормативы!$L$88,"I юн",IF(I604&lt;=[1]Нормативы!$L$89,"II юн",IF(I604&lt;=[1]Нормативы!$L$90,"III юн","б/р")))))))))))</f>
        <v>III юн</v>
      </c>
    </row>
    <row r="605" spans="1:10" s="54" customFormat="1" x14ac:dyDescent="0.35">
      <c r="A605" s="14">
        <v>33</v>
      </c>
      <c r="B605" s="14" t="s">
        <v>26</v>
      </c>
      <c r="C605" s="214" t="s">
        <v>294</v>
      </c>
      <c r="D605" s="214"/>
      <c r="E605" s="215">
        <v>41152</v>
      </c>
      <c r="F605" s="214" t="s">
        <v>198</v>
      </c>
      <c r="G605" s="216"/>
      <c r="H605" s="14"/>
      <c r="I605" s="217">
        <v>122.15</v>
      </c>
      <c r="J605" s="59" t="str">
        <f>IF(ISBLANK(I605)," ",IF(ISTEXT(I605)," ",IF(I605&lt;=[1]Нормативы!$H$82,"КМС",IF(I605&lt;=[1]Нормативы!$H$83,"КМС",IF(I605&lt;=[1]Нормативы!$L$84,"КМС",IF(I605&lt;=[1]Нормативы!$L$85,"I",IF(I605&lt;=[1]Нормативы!$L$86,"II",IF(I605&lt;=[1]Нормативы!$L$87,"III",IF(I605&lt;=[1]Нормативы!$L$88,"I юн",IF(I605&lt;=[1]Нормативы!$L$89,"II юн",IF(I605&lt;=[1]Нормативы!$L$90,"III юн","б/р")))))))))))</f>
        <v>б/р</v>
      </c>
    </row>
    <row r="606" spans="1:10" s="54" customFormat="1" x14ac:dyDescent="0.35">
      <c r="A606" s="14"/>
      <c r="B606" s="14" t="s">
        <v>26</v>
      </c>
      <c r="C606" s="214" t="s">
        <v>352</v>
      </c>
      <c r="D606" s="214"/>
      <c r="E606" s="215">
        <v>41089</v>
      </c>
      <c r="F606" s="214" t="s">
        <v>198</v>
      </c>
      <c r="G606" s="216"/>
      <c r="H606" s="14"/>
      <c r="I606" s="217" t="s">
        <v>191</v>
      </c>
      <c r="J606" s="59" t="str">
        <f>IF(ISBLANK(I606)," ",IF(ISTEXT(I606)," ",IF(I606&lt;=[1]Нормативы!$H$82,"КМС",IF(I606&lt;=[1]Нормативы!$H$83,"КМС",IF(I606&lt;=[1]Нормативы!$L$84,"КМС",IF(I606&lt;=[1]Нормативы!$L$85,"I",IF(I606&lt;=[1]Нормативы!$L$86,"II",IF(I606&lt;=[1]Нормативы!$L$87,"III",IF(I606&lt;=[1]Нормативы!$L$88,"I юн",IF(I606&lt;=[1]Нормативы!$L$89,"II юн",IF(I606&lt;=[1]Нормативы!$L$90,"III юн","б/р")))))))))))</f>
        <v xml:space="preserve"> </v>
      </c>
    </row>
    <row r="607" spans="1:10" s="54" customFormat="1" x14ac:dyDescent="0.35">
      <c r="A607" s="14"/>
      <c r="B607" s="14"/>
      <c r="C607" s="222"/>
      <c r="D607" s="222"/>
      <c r="E607" s="215"/>
      <c r="F607" s="214"/>
      <c r="G607" s="216"/>
      <c r="H607" s="14"/>
      <c r="I607" s="217"/>
      <c r="J607" s="231"/>
    </row>
    <row r="608" spans="1:10" s="54" customFormat="1" x14ac:dyDescent="0.35">
      <c r="A608" s="221" t="s">
        <v>212</v>
      </c>
      <c r="B608" s="14"/>
      <c r="C608" s="214"/>
      <c r="D608" s="214"/>
      <c r="E608" s="215"/>
      <c r="F608" s="214"/>
      <c r="G608" s="216"/>
      <c r="H608" s="14"/>
      <c r="I608" s="217"/>
      <c r="J608" s="59" t="str">
        <f>IF(ISBLANK(I608)," ",IF(ISTEXT(I608)," ",IF(I608&lt;=[1]Нормативы!$H$82,"КМС",IF(I608&lt;=[1]Нормативы!$H$83,"КМС",IF(I608&lt;=[1]Нормативы!$L$84,"КМС",IF(I608&lt;=[1]Нормативы!$L$85,"I",IF(I608&lt;=[1]Нормативы!$L$86,"II",IF(I608&lt;=[1]Нормативы!$L$87,"III",IF(I608&lt;=[1]Нормативы!$L$88,"I юн",IF(I608&lt;=[1]Нормативы!$L$89,"II юн",IF(I608&lt;=[1]Нормативы!$L$90,"III юн","б/р")))))))))))</f>
        <v xml:space="preserve"> </v>
      </c>
    </row>
    <row r="609" spans="1:10" s="54" customFormat="1" x14ac:dyDescent="0.35">
      <c r="A609" s="14">
        <v>1</v>
      </c>
      <c r="B609" s="14" t="s">
        <v>24</v>
      </c>
      <c r="C609" s="214" t="s">
        <v>262</v>
      </c>
      <c r="D609" s="214"/>
      <c r="E609" s="215">
        <v>41455</v>
      </c>
      <c r="F609" s="214" t="s">
        <v>172</v>
      </c>
      <c r="G609" s="216"/>
      <c r="H609" s="14"/>
      <c r="I609" s="217">
        <v>53.59</v>
      </c>
      <c r="J609" s="59" t="str">
        <f>IF(ISBLANK(I609)," ",IF(ISTEXT(I609)," ",IF(I609&lt;=[1]Нормативы!$H$82,"КМС",IF(I609&lt;=[1]Нормативы!$H$83,"КМС",IF(I609&lt;=[1]Нормативы!$L$84,"КМС",IF(I609&lt;=[1]Нормативы!$L$85,"I",IF(I609&lt;=[1]Нормативы!$L$86,"II",IF(I609&lt;=[1]Нормативы!$L$87,"III",IF(I609&lt;=[1]Нормативы!$L$88,"I юн",IF(I609&lt;=[1]Нормативы!$L$89,"II юн",IF(I609&lt;=[1]Нормативы!$L$90,"III юн","б/р")))))))))))</f>
        <v>II</v>
      </c>
    </row>
    <row r="610" spans="1:10" s="54" customFormat="1" x14ac:dyDescent="0.35">
      <c r="A610" s="14">
        <v>2</v>
      </c>
      <c r="B610" s="14" t="s">
        <v>24</v>
      </c>
      <c r="C610" s="214" t="s">
        <v>469</v>
      </c>
      <c r="D610" s="214"/>
      <c r="E610" s="215">
        <v>41376</v>
      </c>
      <c r="F610" s="214" t="s">
        <v>245</v>
      </c>
      <c r="G610" s="216"/>
      <c r="H610" s="14"/>
      <c r="I610" s="217">
        <v>53.97</v>
      </c>
      <c r="J610" s="59" t="str">
        <f>IF(ISBLANK(I610)," ",IF(ISTEXT(I610)," ",IF(I610&lt;=[1]Нормативы!$H$82,"КМС",IF(I610&lt;=[1]Нормативы!$H$83,"КМС",IF(I610&lt;=[1]Нормативы!$L$84,"КМС",IF(I610&lt;=[1]Нормативы!$L$85,"I",IF(I610&lt;=[1]Нормативы!$L$86,"II",IF(I610&lt;=[1]Нормативы!$L$87,"III",IF(I610&lt;=[1]Нормативы!$L$88,"I юн",IF(I610&lt;=[1]Нормативы!$L$89,"II юн",IF(I610&lt;=[1]Нормативы!$L$90,"III юн","б/р")))))))))))</f>
        <v>II</v>
      </c>
    </row>
    <row r="611" spans="1:10" s="54" customFormat="1" x14ac:dyDescent="0.35">
      <c r="A611" s="14">
        <v>3</v>
      </c>
      <c r="B611" s="14" t="s">
        <v>25</v>
      </c>
      <c r="C611" s="214" t="s">
        <v>406</v>
      </c>
      <c r="D611" s="214"/>
      <c r="E611" s="215">
        <v>41363</v>
      </c>
      <c r="F611" s="214" t="s">
        <v>193</v>
      </c>
      <c r="G611" s="216"/>
      <c r="H611" s="14"/>
      <c r="I611" s="217">
        <v>54.42</v>
      </c>
      <c r="J611" s="59" t="str">
        <f>IF(ISBLANK(I611)," ",IF(ISTEXT(I611)," ",IF(I611&lt;=[1]Нормативы!$H$82,"КМС",IF(I611&lt;=[1]Нормативы!$H$83,"КМС",IF(I611&lt;=[1]Нормативы!$L$84,"КМС",IF(I611&lt;=[1]Нормативы!$L$85,"I",IF(I611&lt;=[1]Нормативы!$L$86,"II",IF(I611&lt;=[1]Нормативы!$L$87,"III",IF(I611&lt;=[1]Нормативы!$L$88,"I юн",IF(I611&lt;=[1]Нормативы!$L$89,"II юн",IF(I611&lt;=[1]Нормативы!$L$90,"III юн","б/р")))))))))))</f>
        <v>II</v>
      </c>
    </row>
    <row r="612" spans="1:10" s="54" customFormat="1" x14ac:dyDescent="0.35">
      <c r="A612" s="14">
        <v>4</v>
      </c>
      <c r="B612" s="14" t="s">
        <v>24</v>
      </c>
      <c r="C612" s="214" t="s">
        <v>410</v>
      </c>
      <c r="D612" s="214"/>
      <c r="E612" s="215">
        <v>41478</v>
      </c>
      <c r="F612" s="214" t="s">
        <v>193</v>
      </c>
      <c r="G612" s="216"/>
      <c r="H612" s="14"/>
      <c r="I612" s="217">
        <v>56.38</v>
      </c>
      <c r="J612" s="59" t="str">
        <f>IF(ISBLANK(I612)," ",IF(ISTEXT(I612)," ",IF(I612&lt;=[1]Нормативы!$H$82,"КМС",IF(I612&lt;=[1]Нормативы!$H$83,"КМС",IF(I612&lt;=[1]Нормативы!$L$84,"КМС",IF(I612&lt;=[1]Нормативы!$L$85,"I",IF(I612&lt;=[1]Нормативы!$L$86,"II",IF(I612&lt;=[1]Нормативы!$L$87,"III",IF(I612&lt;=[1]Нормативы!$L$88,"I юн",IF(I612&lt;=[1]Нормативы!$L$89,"II юн",IF(I612&lt;=[1]Нормативы!$L$90,"III юн","б/р")))))))))))</f>
        <v>III</v>
      </c>
    </row>
    <row r="613" spans="1:10" s="54" customFormat="1" x14ac:dyDescent="0.35">
      <c r="A613" s="14">
        <v>5</v>
      </c>
      <c r="B613" s="14" t="s">
        <v>38</v>
      </c>
      <c r="C613" s="214" t="s">
        <v>419</v>
      </c>
      <c r="D613" s="214"/>
      <c r="E613" s="215">
        <v>41338</v>
      </c>
      <c r="F613" s="214" t="s">
        <v>176</v>
      </c>
      <c r="G613" s="216"/>
      <c r="H613" s="14"/>
      <c r="I613" s="217">
        <v>56.52</v>
      </c>
      <c r="J613" s="59" t="str">
        <f>IF(ISBLANK(I613)," ",IF(ISTEXT(I613)," ",IF(I613&lt;=[1]Нормативы!$H$82,"КМС",IF(I613&lt;=[1]Нормативы!$H$83,"КМС",IF(I613&lt;=[1]Нормативы!$L$84,"КМС",IF(I613&lt;=[1]Нормативы!$L$85,"I",IF(I613&lt;=[1]Нормативы!$L$86,"II",IF(I613&lt;=[1]Нормативы!$L$87,"III",IF(I613&lt;=[1]Нормативы!$L$88,"I юн",IF(I613&lt;=[1]Нормативы!$L$89,"II юн",IF(I613&lt;=[1]Нормативы!$L$90,"III юн","б/р")))))))))))</f>
        <v>III</v>
      </c>
    </row>
    <row r="614" spans="1:10" s="54" customFormat="1" x14ac:dyDescent="0.35">
      <c r="A614" s="14">
        <v>6</v>
      </c>
      <c r="B614" s="14" t="s">
        <v>38</v>
      </c>
      <c r="C614" s="214" t="s">
        <v>468</v>
      </c>
      <c r="D614" s="214"/>
      <c r="E614" s="215">
        <v>41462</v>
      </c>
      <c r="F614" s="214" t="s">
        <v>245</v>
      </c>
      <c r="G614" s="216"/>
      <c r="H614" s="14"/>
      <c r="I614" s="217">
        <v>59.77</v>
      </c>
      <c r="J614" s="59" t="str">
        <f>IF(ISBLANK(I614)," ",IF(ISTEXT(I614)," ",IF(I614&lt;=[1]Нормативы!$H$82,"КМС",IF(I614&lt;=[1]Нормативы!$H$83,"КМС",IF(I614&lt;=[1]Нормативы!$L$84,"КМС",IF(I614&lt;=[1]Нормативы!$L$85,"I",IF(I614&lt;=[1]Нормативы!$L$86,"II",IF(I614&lt;=[1]Нормативы!$L$87,"III",IF(I614&lt;=[1]Нормативы!$L$88,"I юн",IF(I614&lt;=[1]Нормативы!$L$89,"II юн",IF(I614&lt;=[1]Нормативы!$L$90,"III юн","б/р")))))))))))</f>
        <v>III</v>
      </c>
    </row>
    <row r="615" spans="1:10" s="54" customFormat="1" x14ac:dyDescent="0.35">
      <c r="A615" s="14">
        <v>7</v>
      </c>
      <c r="B615" s="14" t="s">
        <v>38</v>
      </c>
      <c r="C615" s="214" t="s">
        <v>422</v>
      </c>
      <c r="D615" s="214"/>
      <c r="E615" s="215">
        <v>41335</v>
      </c>
      <c r="F615" s="214" t="s">
        <v>176</v>
      </c>
      <c r="G615" s="216"/>
      <c r="H615" s="14"/>
      <c r="I615" s="217">
        <v>103.34</v>
      </c>
      <c r="J615" s="59" t="str">
        <f>IF(ISBLANK(I615)," ",IF(ISTEXT(I615)," ",IF(I615&lt;=[1]Нормативы!$H$82,"КМС",IF(I615&lt;=[1]Нормативы!$H$83,"КМС",IF(I615&lt;=[1]Нормативы!$L$84,"КМС",IF(I615&lt;=[1]Нормативы!$L$85,"I",IF(I615&lt;=[1]Нормативы!$L$86,"II",IF(I615&lt;=[1]Нормативы!$L$87,"III",IF(I615&lt;=[1]Нормативы!$L$88,"I юн",IF(I615&lt;=[1]Нормативы!$L$89,"II юн",IF(I615&lt;=[1]Нормативы!$L$90,"III юн","б/р")))))))))))</f>
        <v>I юн</v>
      </c>
    </row>
    <row r="616" spans="1:10" s="54" customFormat="1" x14ac:dyDescent="0.35">
      <c r="A616" s="14">
        <v>8</v>
      </c>
      <c r="B616" s="14" t="s">
        <v>38</v>
      </c>
      <c r="C616" s="214" t="s">
        <v>270</v>
      </c>
      <c r="D616" s="214"/>
      <c r="E616" s="215">
        <v>41792</v>
      </c>
      <c r="F616" s="214" t="s">
        <v>172</v>
      </c>
      <c r="G616" s="216"/>
      <c r="H616" s="14"/>
      <c r="I616" s="217">
        <v>105.62</v>
      </c>
      <c r="J616" s="59" t="str">
        <f>IF(ISBLANK(I616)," ",IF(ISTEXT(I616)," ",IF(I616&lt;=[1]Нормативы!$H$82,"КМС",IF(I616&lt;=[1]Нормативы!$H$83,"КМС",IF(I616&lt;=[1]Нормативы!$L$84,"КМС",IF(I616&lt;=[1]Нормативы!$L$85,"I",IF(I616&lt;=[1]Нормативы!$L$86,"II",IF(I616&lt;=[1]Нормативы!$L$87,"III",IF(I616&lt;=[1]Нормативы!$L$88,"I юн",IF(I616&lt;=[1]Нормативы!$L$89,"II юн",IF(I616&lt;=[1]Нормативы!$L$90,"III юн","б/р")))))))))))</f>
        <v>II юн</v>
      </c>
    </row>
    <row r="617" spans="1:10" s="54" customFormat="1" x14ac:dyDescent="0.35">
      <c r="A617" s="14">
        <v>9</v>
      </c>
      <c r="B617" s="14" t="s">
        <v>22</v>
      </c>
      <c r="C617" s="214" t="s">
        <v>471</v>
      </c>
      <c r="D617" s="214"/>
      <c r="E617" s="215">
        <v>41626</v>
      </c>
      <c r="F617" s="214" t="s">
        <v>245</v>
      </c>
      <c r="G617" s="216"/>
      <c r="H617" s="14"/>
      <c r="I617" s="217">
        <v>105.85</v>
      </c>
      <c r="J617" s="59" t="str">
        <f>IF(ISBLANK(I617)," ",IF(ISTEXT(I617)," ",IF(I617&lt;=[1]Нормативы!$H$82,"КМС",IF(I617&lt;=[1]Нормативы!$H$83,"КМС",IF(I617&lt;=[1]Нормативы!$L$84,"КМС",IF(I617&lt;=[1]Нормативы!$L$85,"I",IF(I617&lt;=[1]Нормативы!$L$86,"II",IF(I617&lt;=[1]Нормативы!$L$87,"III",IF(I617&lt;=[1]Нормативы!$L$88,"I юн",IF(I617&lt;=[1]Нормативы!$L$89,"II юн",IF(I617&lt;=[1]Нормативы!$L$90,"III юн","б/р")))))))))))</f>
        <v>II юн</v>
      </c>
    </row>
    <row r="618" spans="1:10" s="54" customFormat="1" x14ac:dyDescent="0.35">
      <c r="A618" s="14">
        <v>10</v>
      </c>
      <c r="B618" s="14" t="s">
        <v>38</v>
      </c>
      <c r="C618" s="214" t="s">
        <v>416</v>
      </c>
      <c r="D618" s="214"/>
      <c r="E618" s="215">
        <v>41562</v>
      </c>
      <c r="F618" s="214" t="s">
        <v>176</v>
      </c>
      <c r="G618" s="216"/>
      <c r="H618" s="14"/>
      <c r="I618" s="217">
        <v>106.4</v>
      </c>
      <c r="J618" s="59" t="str">
        <f>IF(ISBLANK(I618)," ",IF(ISTEXT(I618)," ",IF(I618&lt;=[1]Нормативы!$H$82,"КМС",IF(I618&lt;=[1]Нормативы!$H$83,"КМС",IF(I618&lt;=[1]Нормативы!$L$84,"КМС",IF(I618&lt;=[1]Нормативы!$L$85,"I",IF(I618&lt;=[1]Нормативы!$L$86,"II",IF(I618&lt;=[1]Нормативы!$L$87,"III",IF(I618&lt;=[1]Нормативы!$L$88,"I юн",IF(I618&lt;=[1]Нормативы!$L$89,"II юн",IF(I618&lt;=[1]Нормативы!$L$90,"III юн","б/р")))))))))))</f>
        <v>II юн</v>
      </c>
    </row>
    <row r="619" spans="1:10" s="54" customFormat="1" x14ac:dyDescent="0.35">
      <c r="A619" s="14">
        <v>11</v>
      </c>
      <c r="B619" s="14" t="s">
        <v>22</v>
      </c>
      <c r="C619" s="214" t="s">
        <v>266</v>
      </c>
      <c r="D619" s="214"/>
      <c r="E619" s="215">
        <v>41700</v>
      </c>
      <c r="F619" s="214" t="s">
        <v>172</v>
      </c>
      <c r="G619" s="216"/>
      <c r="H619" s="14"/>
      <c r="I619" s="217">
        <v>106.9</v>
      </c>
      <c r="J619" s="59" t="str">
        <f>IF(ISBLANK(I619)," ",IF(ISTEXT(I619)," ",IF(I619&lt;=[1]Нормативы!$H$82,"КМС",IF(I619&lt;=[1]Нормативы!$H$83,"КМС",IF(I619&lt;=[1]Нормативы!$L$84,"КМС",IF(I619&lt;=[1]Нормативы!$L$85,"I",IF(I619&lt;=[1]Нормативы!$L$86,"II",IF(I619&lt;=[1]Нормативы!$L$87,"III",IF(I619&lt;=[1]Нормативы!$L$88,"I юн",IF(I619&lt;=[1]Нормативы!$L$89,"II юн",IF(I619&lt;=[1]Нормативы!$L$90,"III юн","б/р")))))))))))</f>
        <v>II юн</v>
      </c>
    </row>
    <row r="620" spans="1:10" s="54" customFormat="1" x14ac:dyDescent="0.35">
      <c r="A620" s="14">
        <v>12</v>
      </c>
      <c r="B620" s="14" t="s">
        <v>38</v>
      </c>
      <c r="C620" s="214" t="s">
        <v>272</v>
      </c>
      <c r="D620" s="214"/>
      <c r="E620" s="215">
        <v>41926</v>
      </c>
      <c r="F620" s="214" t="s">
        <v>172</v>
      </c>
      <c r="G620" s="216"/>
      <c r="H620" s="14"/>
      <c r="I620" s="217">
        <v>108.37</v>
      </c>
      <c r="J620" s="59" t="str">
        <f>IF(ISBLANK(I620)," ",IF(ISTEXT(I620)," ",IF(I620&lt;=[1]Нормативы!$H$82,"КМС",IF(I620&lt;=[1]Нормативы!$H$83,"КМС",IF(I620&lt;=[1]Нормативы!$L$84,"КМС",IF(I620&lt;=[1]Нормативы!$L$85,"I",IF(I620&lt;=[1]Нормативы!$L$86,"II",IF(I620&lt;=[1]Нормативы!$L$87,"III",IF(I620&lt;=[1]Нормативы!$L$88,"I юн",IF(I620&lt;=[1]Нормативы!$L$89,"II юн",IF(I620&lt;=[1]Нормативы!$L$90,"III юн","б/р")))))))))))</f>
        <v>II юн</v>
      </c>
    </row>
    <row r="621" spans="1:10" s="54" customFormat="1" x14ac:dyDescent="0.35">
      <c r="A621" s="14">
        <v>13</v>
      </c>
      <c r="B621" s="14" t="s">
        <v>23</v>
      </c>
      <c r="C621" s="214" t="s">
        <v>296</v>
      </c>
      <c r="D621" s="214"/>
      <c r="E621" s="215">
        <v>41327</v>
      </c>
      <c r="F621" s="214" t="s">
        <v>198</v>
      </c>
      <c r="G621" s="216"/>
      <c r="H621" s="14"/>
      <c r="I621" s="217">
        <v>109.64</v>
      </c>
      <c r="J621" s="59" t="str">
        <f>IF(ISBLANK(I621)," ",IF(ISTEXT(I621)," ",IF(I621&lt;=[1]Нормативы!$H$82,"КМС",IF(I621&lt;=[1]Нормативы!$H$83,"КМС",IF(I621&lt;=[1]Нормативы!$L$84,"КМС",IF(I621&lt;=[1]Нормативы!$L$85,"I",IF(I621&lt;=[1]Нормативы!$L$86,"II",IF(I621&lt;=[1]Нормативы!$L$87,"III",IF(I621&lt;=[1]Нормативы!$L$88,"I юн",IF(I621&lt;=[1]Нормативы!$L$89,"II юн",IF(I621&lt;=[1]Нормативы!$L$90,"III юн","б/р")))))))))))</f>
        <v>II юн</v>
      </c>
    </row>
    <row r="622" spans="1:10" s="54" customFormat="1" x14ac:dyDescent="0.35">
      <c r="A622" s="14">
        <v>14</v>
      </c>
      <c r="B622" s="14" t="s">
        <v>26</v>
      </c>
      <c r="C622" s="214" t="s">
        <v>374</v>
      </c>
      <c r="D622" s="214"/>
      <c r="E622" s="215">
        <v>41603</v>
      </c>
      <c r="F622" s="214" t="s">
        <v>198</v>
      </c>
      <c r="G622" s="216"/>
      <c r="H622" s="14"/>
      <c r="I622" s="217">
        <v>109.69</v>
      </c>
      <c r="J622" s="59" t="str">
        <f>IF(ISBLANK(I622)," ",IF(ISTEXT(I622)," ",IF(I622&lt;=[1]Нормативы!$H$82,"КМС",IF(I622&lt;=[1]Нормативы!$H$83,"КМС",IF(I622&lt;=[1]Нормативы!$L$84,"КМС",IF(I622&lt;=[1]Нормативы!$L$85,"I",IF(I622&lt;=[1]Нормативы!$L$86,"II",IF(I622&lt;=[1]Нормативы!$L$87,"III",IF(I622&lt;=[1]Нормативы!$L$88,"I юн",IF(I622&lt;=[1]Нормативы!$L$89,"II юн",IF(I622&lt;=[1]Нормативы!$L$90,"III юн","б/р")))))))))))</f>
        <v>II юн</v>
      </c>
    </row>
    <row r="623" spans="1:10" s="54" customFormat="1" x14ac:dyDescent="0.35">
      <c r="A623" s="14">
        <v>15</v>
      </c>
      <c r="B623" s="14" t="s">
        <v>26</v>
      </c>
      <c r="C623" s="214" t="s">
        <v>508</v>
      </c>
      <c r="D623" s="214"/>
      <c r="E623" s="215">
        <v>41499</v>
      </c>
      <c r="F623" s="214" t="s">
        <v>176</v>
      </c>
      <c r="G623" s="216"/>
      <c r="H623" s="14"/>
      <c r="I623" s="217">
        <v>109.84</v>
      </c>
      <c r="J623" s="59" t="str">
        <f>IF(ISBLANK(I623)," ",IF(ISTEXT(I623)," ",IF(I623&lt;=[1]Нормативы!$H$82,"КМС",IF(I623&lt;=[1]Нормативы!$H$83,"КМС",IF(I623&lt;=[1]Нормативы!$L$84,"КМС",IF(I623&lt;=[1]Нормативы!$L$85,"I",IF(I623&lt;=[1]Нормативы!$L$86,"II",IF(I623&lt;=[1]Нормативы!$L$87,"III",IF(I623&lt;=[1]Нормативы!$L$88,"I юн",IF(I623&lt;=[1]Нормативы!$L$89,"II юн",IF(I623&lt;=[1]Нормативы!$L$90,"III юн","б/р")))))))))))</f>
        <v>II юн</v>
      </c>
    </row>
    <row r="624" spans="1:10" s="54" customFormat="1" x14ac:dyDescent="0.35">
      <c r="A624" s="14">
        <v>16</v>
      </c>
      <c r="B624" s="14" t="s">
        <v>22</v>
      </c>
      <c r="C624" s="214" t="s">
        <v>411</v>
      </c>
      <c r="D624" s="214"/>
      <c r="E624" s="215">
        <v>41784</v>
      </c>
      <c r="F624" s="214" t="s">
        <v>193</v>
      </c>
      <c r="G624" s="216"/>
      <c r="H624" s="14"/>
      <c r="I624" s="217">
        <v>110.37</v>
      </c>
      <c r="J624" s="59" t="str">
        <f>IF(ISBLANK(I624)," ",IF(ISTEXT(I624)," ",IF(I624&lt;=[1]Нормативы!$H$82,"КМС",IF(I624&lt;=[1]Нормативы!$H$83,"КМС",IF(I624&lt;=[1]Нормативы!$L$84,"КМС",IF(I624&lt;=[1]Нормативы!$L$85,"I",IF(I624&lt;=[1]Нормативы!$L$86,"II",IF(I624&lt;=[1]Нормативы!$L$87,"III",IF(I624&lt;=[1]Нормативы!$L$88,"I юн",IF(I624&lt;=[1]Нормативы!$L$89,"II юн",IF(I624&lt;=[1]Нормативы!$L$90,"III юн","б/р")))))))))))</f>
        <v>II юн</v>
      </c>
    </row>
    <row r="625" spans="1:10" s="54" customFormat="1" x14ac:dyDescent="0.35">
      <c r="A625" s="14">
        <v>17</v>
      </c>
      <c r="B625" s="14" t="s">
        <v>26</v>
      </c>
      <c r="C625" s="214" t="s">
        <v>365</v>
      </c>
      <c r="D625" s="214"/>
      <c r="E625" s="215">
        <v>41304</v>
      </c>
      <c r="F625" s="214" t="s">
        <v>198</v>
      </c>
      <c r="G625" s="216"/>
      <c r="H625" s="14"/>
      <c r="I625" s="217">
        <v>111.41</v>
      </c>
      <c r="J625" s="59" t="str">
        <f>IF(ISBLANK(I625)," ",IF(ISTEXT(I625)," ",IF(I625&lt;=[1]Нормативы!$H$82,"КМС",IF(I625&lt;=[1]Нормативы!$H$83,"КМС",IF(I625&lt;=[1]Нормативы!$L$84,"КМС",IF(I625&lt;=[1]Нормативы!$L$85,"I",IF(I625&lt;=[1]Нормативы!$L$86,"II",IF(I625&lt;=[1]Нормативы!$L$87,"III",IF(I625&lt;=[1]Нормативы!$L$88,"I юн",IF(I625&lt;=[1]Нормативы!$L$89,"II юн",IF(I625&lt;=[1]Нормативы!$L$90,"III юн","б/р")))))))))))</f>
        <v>III юн</v>
      </c>
    </row>
    <row r="626" spans="1:10" s="54" customFormat="1" x14ac:dyDescent="0.35">
      <c r="A626" s="14">
        <v>18</v>
      </c>
      <c r="B626" s="14" t="s">
        <v>38</v>
      </c>
      <c r="C626" s="214" t="s">
        <v>306</v>
      </c>
      <c r="D626" s="214"/>
      <c r="E626" s="215">
        <v>41528</v>
      </c>
      <c r="F626" s="214" t="s">
        <v>198</v>
      </c>
      <c r="G626" s="216"/>
      <c r="H626" s="14"/>
      <c r="I626" s="217">
        <v>111.56</v>
      </c>
      <c r="J626" s="59" t="str">
        <f>IF(ISBLANK(I626)," ",IF(ISTEXT(I626)," ",IF(I626&lt;=[1]Нормативы!$H$82,"КМС",IF(I626&lt;=[1]Нормативы!$H$83,"КМС",IF(I626&lt;=[1]Нормативы!$L$84,"КМС",IF(I626&lt;=[1]Нормативы!$L$85,"I",IF(I626&lt;=[1]Нормативы!$L$86,"II",IF(I626&lt;=[1]Нормативы!$L$87,"III",IF(I626&lt;=[1]Нормативы!$L$88,"I юн",IF(I626&lt;=[1]Нормативы!$L$89,"II юн",IF(I626&lt;=[1]Нормативы!$L$90,"III юн","б/р")))))))))))</f>
        <v>III юн</v>
      </c>
    </row>
    <row r="627" spans="1:10" s="54" customFormat="1" x14ac:dyDescent="0.35">
      <c r="A627" s="14">
        <v>19</v>
      </c>
      <c r="B627" s="14" t="s">
        <v>22</v>
      </c>
      <c r="C627" s="214" t="s">
        <v>267</v>
      </c>
      <c r="D627" s="214"/>
      <c r="E627" s="215">
        <v>41733</v>
      </c>
      <c r="F627" s="214" t="s">
        <v>172</v>
      </c>
      <c r="G627" s="216"/>
      <c r="H627" s="14"/>
      <c r="I627" s="217">
        <v>113.35</v>
      </c>
      <c r="J627" s="59" t="str">
        <f>IF(ISBLANK(I627)," ",IF(ISTEXT(I627)," ",IF(I627&lt;=[1]Нормативы!$H$82,"КМС",IF(I627&lt;=[1]Нормативы!$H$83,"КМС",IF(I627&lt;=[1]Нормативы!$L$84,"КМС",IF(I627&lt;=[1]Нормативы!$L$85,"I",IF(I627&lt;=[1]Нормативы!$L$86,"II",IF(I627&lt;=[1]Нормативы!$L$87,"III",IF(I627&lt;=[1]Нормативы!$L$88,"I юн",IF(I627&lt;=[1]Нормативы!$L$89,"II юн",IF(I627&lt;=[1]Нормативы!$L$90,"III юн","б/р")))))))))))</f>
        <v>III юн</v>
      </c>
    </row>
    <row r="628" spans="1:10" s="54" customFormat="1" x14ac:dyDescent="0.35">
      <c r="A628" s="14">
        <v>20</v>
      </c>
      <c r="B628" s="14" t="s">
        <v>22</v>
      </c>
      <c r="C628" s="214" t="s">
        <v>264</v>
      </c>
      <c r="D628" s="214"/>
      <c r="E628" s="215">
        <v>41681</v>
      </c>
      <c r="F628" s="214" t="s">
        <v>172</v>
      </c>
      <c r="G628" s="216"/>
      <c r="H628" s="14"/>
      <c r="I628" s="217">
        <v>113.87</v>
      </c>
      <c r="J628" s="59" t="str">
        <f>IF(ISBLANK(I628)," ",IF(ISTEXT(I628)," ",IF(I628&lt;=[1]Нормативы!$H$82,"КМС",IF(I628&lt;=[1]Нормативы!$H$83,"КМС",IF(I628&lt;=[1]Нормативы!$L$84,"КМС",IF(I628&lt;=[1]Нормативы!$L$85,"I",IF(I628&lt;=[1]Нормативы!$L$86,"II",IF(I628&lt;=[1]Нормативы!$L$87,"III",IF(I628&lt;=[1]Нормативы!$L$88,"I юн",IF(I628&lt;=[1]Нормативы!$L$89,"II юн",IF(I628&lt;=[1]Нормативы!$L$90,"III юн","б/р")))))))))))</f>
        <v>III юн</v>
      </c>
    </row>
    <row r="629" spans="1:10" s="54" customFormat="1" x14ac:dyDescent="0.35">
      <c r="A629" s="14">
        <v>21</v>
      </c>
      <c r="B629" s="14" t="s">
        <v>22</v>
      </c>
      <c r="C629" s="214" t="s">
        <v>269</v>
      </c>
      <c r="D629" s="214"/>
      <c r="E629" s="215">
        <v>41753</v>
      </c>
      <c r="F629" s="214" t="s">
        <v>172</v>
      </c>
      <c r="G629" s="216"/>
      <c r="H629" s="14"/>
      <c r="I629" s="217">
        <v>115.39</v>
      </c>
      <c r="J629" s="59" t="str">
        <f>IF(ISBLANK(I629)," ",IF(ISTEXT(I629)," ",IF(I629&lt;=[1]Нормативы!$H$82,"КМС",IF(I629&lt;=[1]Нормативы!$H$83,"КМС",IF(I629&lt;=[1]Нормативы!$L$84,"КМС",IF(I629&lt;=[1]Нормативы!$L$85,"I",IF(I629&lt;=[1]Нормативы!$L$86,"II",IF(I629&lt;=[1]Нормативы!$L$87,"III",IF(I629&lt;=[1]Нормативы!$L$88,"I юн",IF(I629&lt;=[1]Нормативы!$L$89,"II юн",IF(I629&lt;=[1]Нормативы!$L$90,"III юн","б/р")))))))))))</f>
        <v>III юн</v>
      </c>
    </row>
    <row r="630" spans="1:10" s="54" customFormat="1" x14ac:dyDescent="0.35">
      <c r="A630" s="14"/>
      <c r="B630" s="14" t="s">
        <v>23</v>
      </c>
      <c r="C630" s="214" t="s">
        <v>305</v>
      </c>
      <c r="D630" s="214"/>
      <c r="E630" s="215">
        <v>41829</v>
      </c>
      <c r="F630" s="214" t="s">
        <v>198</v>
      </c>
      <c r="G630" s="216"/>
      <c r="H630" s="14"/>
      <c r="I630" s="217" t="s">
        <v>191</v>
      </c>
      <c r="J630" s="59" t="str">
        <f>IF(ISBLANK(I630)," ",IF(ISTEXT(I630)," ",IF(I630&lt;=[1]Нормативы!$H$82,"КМС",IF(I630&lt;=[1]Нормативы!$H$83,"КМС",IF(I630&lt;=[1]Нормативы!$L$84,"КМС",IF(I630&lt;=[1]Нормативы!$L$85,"I",IF(I630&lt;=[1]Нормативы!$L$86,"II",IF(I630&lt;=[1]Нормативы!$L$87,"III",IF(I630&lt;=[1]Нормативы!$L$88,"I юн",IF(I630&lt;=[1]Нормативы!$L$89,"II юн",IF(I630&lt;=[1]Нормативы!$L$90,"III юн","б/р")))))))))))</f>
        <v xml:space="preserve"> </v>
      </c>
    </row>
    <row r="631" spans="1:10" s="54" customFormat="1" x14ac:dyDescent="0.35">
      <c r="A631" s="124"/>
      <c r="I631" s="117"/>
    </row>
    <row r="632" spans="1:10" s="54" customFormat="1" x14ac:dyDescent="0.35">
      <c r="A632" s="221" t="s">
        <v>484</v>
      </c>
      <c r="B632" s="14"/>
      <c r="C632" s="214"/>
      <c r="D632" s="214"/>
      <c r="E632" s="215"/>
      <c r="F632" s="214"/>
      <c r="G632" s="216"/>
      <c r="H632" s="14"/>
      <c r="I632" s="217"/>
      <c r="J632" s="231"/>
    </row>
    <row r="633" spans="1:10" s="54" customFormat="1" x14ac:dyDescent="0.35">
      <c r="A633" s="14">
        <v>1</v>
      </c>
      <c r="B633" s="14" t="s">
        <v>24</v>
      </c>
      <c r="C633" s="214" t="s">
        <v>249</v>
      </c>
      <c r="D633" s="214"/>
      <c r="E633" s="215">
        <v>40822</v>
      </c>
      <c r="F633" s="214" t="s">
        <v>172</v>
      </c>
      <c r="G633" s="216"/>
      <c r="H633" s="14"/>
      <c r="I633" s="217">
        <v>151.65</v>
      </c>
      <c r="J633" s="59" t="str">
        <f>IF(ISBLANK(I633)," ",IF(ISTEXT(I633)," ",IF(I633&lt;=[1]Нормативы!$H$93,"КМС",IF(I633&lt;=[1]Нормативы!$H$94,"КМС",IF(I633&lt;=[1]Нормативы!$L$95,"КМС",IF(I633&lt;=[1]Нормативы!$L$96,"I",IF(I633&lt;=[1]Нормативы!$L$97,"II",IF(I633&lt;=[1]Нормативы!$L$98,"III",IF(I633&lt;=[1]Нормативы!$L$99,"I юн",IF(I633&lt;=[1]Нормативы!$L$100,"II юн",IF(I633&lt;=[1]Нормативы!$L$101,"III юн","б/р")))))))))))</f>
        <v>II</v>
      </c>
    </row>
    <row r="634" spans="1:10" s="54" customFormat="1" x14ac:dyDescent="0.35">
      <c r="A634" s="221"/>
      <c r="B634" s="14"/>
      <c r="C634" s="214"/>
      <c r="D634" s="214"/>
      <c r="E634" s="215"/>
      <c r="F634" s="214"/>
      <c r="G634" s="216"/>
      <c r="H634" s="14"/>
      <c r="I634" s="217"/>
      <c r="J634" s="231"/>
    </row>
    <row r="635" spans="1:10" s="54" customFormat="1" x14ac:dyDescent="0.35">
      <c r="A635" s="221" t="s">
        <v>215</v>
      </c>
      <c r="B635" s="14"/>
      <c r="C635" s="214"/>
      <c r="D635" s="214"/>
      <c r="E635" s="215"/>
      <c r="F635" s="214"/>
      <c r="G635" s="216"/>
      <c r="H635" s="14"/>
      <c r="I635" s="217"/>
      <c r="J635" s="231"/>
    </row>
    <row r="636" spans="1:10" s="54" customFormat="1" x14ac:dyDescent="0.35">
      <c r="A636" s="14">
        <v>1</v>
      </c>
      <c r="B636" s="14" t="s">
        <v>25</v>
      </c>
      <c r="C636" s="214" t="s">
        <v>255</v>
      </c>
      <c r="D636" s="214"/>
      <c r="E636" s="215">
        <v>41786</v>
      </c>
      <c r="F636" s="214" t="s">
        <v>172</v>
      </c>
      <c r="G636" s="216"/>
      <c r="H636" s="14"/>
      <c r="I636" s="217">
        <v>157.43</v>
      </c>
      <c r="J636" s="59" t="str">
        <f>IF(ISBLANK(I636)," ",IF(ISTEXT(I636)," ",IF(I636&lt;=[1]Нормативы!$H$93,"КМС",IF(I636&lt;=[1]Нормативы!$H$94,"КМС",IF(I636&lt;=[1]Нормативы!$L$95,"КМС",IF(I636&lt;=[1]Нормативы!$L$96,"I",IF(I636&lt;=[1]Нормативы!$L$97,"II",IF(I636&lt;=[1]Нормативы!$L$98,"III",IF(I636&lt;=[1]Нормативы!$L$99,"I юн",IF(I636&lt;=[1]Нормативы!$L$100,"II юн",IF(I636&lt;=[1]Нормативы!$L$101,"III юн","б/р")))))))))))</f>
        <v>III</v>
      </c>
    </row>
    <row r="637" spans="1:10" s="54" customFormat="1" x14ac:dyDescent="0.35">
      <c r="A637" s="14">
        <v>2</v>
      </c>
      <c r="B637" s="14" t="s">
        <v>25</v>
      </c>
      <c r="C637" s="214" t="s">
        <v>492</v>
      </c>
      <c r="D637" s="214"/>
      <c r="E637" s="215">
        <v>41284</v>
      </c>
      <c r="F637" s="214" t="s">
        <v>193</v>
      </c>
      <c r="G637" s="216"/>
      <c r="H637" s="14"/>
      <c r="I637" s="217">
        <v>208.06</v>
      </c>
      <c r="J637" s="59" t="str">
        <f>IF(ISBLANK(I637)," ",IF(ISTEXT(I637)," ",IF(I637&lt;=[1]Нормативы!$H$93,"КМС",IF(I637&lt;=[1]Нормативы!$H$94,"КМС",IF(I637&lt;=[1]Нормативы!$L$95,"КМС",IF(I637&lt;=[1]Нормативы!$L$96,"I",IF(I637&lt;=[1]Нормативы!$L$97,"II",IF(I637&lt;=[1]Нормативы!$L$98,"III",IF(I637&lt;=[1]Нормативы!$L$99,"I юн",IF(I637&lt;=[1]Нормативы!$L$100,"II юн",IF(I637&lt;=[1]Нормативы!$L$101,"III юн","б/р")))))))))))</f>
        <v>I юн</v>
      </c>
    </row>
    <row r="638" spans="1:10" s="54" customFormat="1" x14ac:dyDescent="0.35">
      <c r="A638" s="14">
        <v>3</v>
      </c>
      <c r="B638" s="14" t="s">
        <v>25</v>
      </c>
      <c r="C638" s="214" t="s">
        <v>256</v>
      </c>
      <c r="D638" s="214"/>
      <c r="E638" s="215">
        <v>41711</v>
      </c>
      <c r="F638" s="214" t="s">
        <v>172</v>
      </c>
      <c r="G638" s="216"/>
      <c r="H638" s="14"/>
      <c r="I638" s="217">
        <v>212.68</v>
      </c>
      <c r="J638" s="59" t="str">
        <f>IF(ISBLANK(I638)," ",IF(ISTEXT(I638)," ",IF(I638&lt;=[1]Нормативы!$H$93,"КМС",IF(I638&lt;=[1]Нормативы!$H$94,"КМС",IF(I638&lt;=[1]Нормативы!$L$95,"КМС",IF(I638&lt;=[1]Нормативы!$L$96,"I",IF(I638&lt;=[1]Нормативы!$L$97,"II",IF(I638&lt;=[1]Нормативы!$L$98,"III",IF(I638&lt;=[1]Нормативы!$L$99,"I юн",IF(I638&lt;=[1]Нормативы!$L$100,"II юн",IF(I638&lt;=[1]Нормативы!$L$101,"III юн","б/р")))))))))))</f>
        <v>I юн</v>
      </c>
    </row>
    <row r="639" spans="1:10" s="54" customFormat="1" x14ac:dyDescent="0.35">
      <c r="A639" s="14">
        <v>4</v>
      </c>
      <c r="B639" s="14" t="s">
        <v>25</v>
      </c>
      <c r="C639" s="214" t="s">
        <v>278</v>
      </c>
      <c r="D639" s="214"/>
      <c r="E639" s="215">
        <v>41889</v>
      </c>
      <c r="F639" s="214" t="s">
        <v>198</v>
      </c>
      <c r="G639" s="216"/>
      <c r="H639" s="14"/>
      <c r="I639" s="217">
        <v>215.93</v>
      </c>
      <c r="J639" s="59" t="str">
        <f>IF(ISBLANK(I639)," ",IF(ISTEXT(I639)," ",IF(I639&lt;=[1]Нормативы!$H$93,"КМС",IF(I639&lt;=[1]Нормативы!$H$94,"КМС",IF(I639&lt;=[1]Нормативы!$L$95,"КМС",IF(I639&lt;=[1]Нормативы!$L$96,"I",IF(I639&lt;=[1]Нормативы!$L$97,"II",IF(I639&lt;=[1]Нормативы!$L$98,"III",IF(I639&lt;=[1]Нормативы!$L$99,"I юн",IF(I639&lt;=[1]Нормативы!$L$100,"II юн",IF(I639&lt;=[1]Нормативы!$L$101,"III юн","б/р")))))))))))</f>
        <v>I юн</v>
      </c>
    </row>
    <row r="640" spans="1:10" s="54" customFormat="1" x14ac:dyDescent="0.35">
      <c r="A640" s="14">
        <v>5</v>
      </c>
      <c r="B640" s="14" t="s">
        <v>38</v>
      </c>
      <c r="C640" s="214" t="s">
        <v>252</v>
      </c>
      <c r="D640" s="214"/>
      <c r="E640" s="215">
        <v>41773</v>
      </c>
      <c r="F640" s="214" t="s">
        <v>172</v>
      </c>
      <c r="G640" s="216"/>
      <c r="H640" s="14"/>
      <c r="I640" s="217">
        <v>216.37</v>
      </c>
      <c r="J640" s="59" t="str">
        <f>IF(ISBLANK(I640)," ",IF(ISTEXT(I640)," ",IF(I640&lt;=[1]Нормативы!$H$93,"КМС",IF(I640&lt;=[1]Нормативы!$H$94,"КМС",IF(I640&lt;=[1]Нормативы!$L$95,"КМС",IF(I640&lt;=[1]Нормативы!$L$96,"I",IF(I640&lt;=[1]Нормативы!$L$97,"II",IF(I640&lt;=[1]Нормативы!$L$98,"III",IF(I640&lt;=[1]Нормативы!$L$99,"I юн",IF(I640&lt;=[1]Нормативы!$L$100,"II юн",IF(I640&lt;=[1]Нормативы!$L$101,"III юн","б/р")))))))))))</f>
        <v>I юн</v>
      </c>
    </row>
    <row r="641" spans="1:10" s="54" customFormat="1" x14ac:dyDescent="0.35">
      <c r="A641" s="14">
        <v>6</v>
      </c>
      <c r="B641" s="14" t="s">
        <v>38</v>
      </c>
      <c r="C641" s="214" t="s">
        <v>328</v>
      </c>
      <c r="D641" s="214"/>
      <c r="E641" s="215">
        <v>41504</v>
      </c>
      <c r="F641" s="214" t="s">
        <v>198</v>
      </c>
      <c r="G641" s="216"/>
      <c r="H641" s="14"/>
      <c r="I641" s="217">
        <v>216.77</v>
      </c>
      <c r="J641" s="59" t="str">
        <f>IF(ISBLANK(I641)," ",IF(ISTEXT(I641)," ",IF(I641&lt;=[1]Нормативы!$H$93,"КМС",IF(I641&lt;=[1]Нормативы!$H$94,"КМС",IF(I641&lt;=[1]Нормативы!$L$95,"КМС",IF(I641&lt;=[1]Нормативы!$L$96,"I",IF(I641&lt;=[1]Нормативы!$L$97,"II",IF(I641&lt;=[1]Нормативы!$L$98,"III",IF(I641&lt;=[1]Нормативы!$L$99,"I юн",IF(I641&lt;=[1]Нормативы!$L$100,"II юн",IF(I641&lt;=[1]Нормативы!$L$101,"III юн","б/р")))))))))))</f>
        <v>I юн</v>
      </c>
    </row>
    <row r="642" spans="1:10" s="54" customFormat="1" x14ac:dyDescent="0.35">
      <c r="A642" s="14">
        <v>7</v>
      </c>
      <c r="B642" s="14" t="s">
        <v>25</v>
      </c>
      <c r="C642" s="214" t="s">
        <v>251</v>
      </c>
      <c r="D642" s="214"/>
      <c r="E642" s="215">
        <v>41689</v>
      </c>
      <c r="F642" s="214" t="s">
        <v>172</v>
      </c>
      <c r="G642" s="216"/>
      <c r="H642" s="14"/>
      <c r="I642" s="217">
        <v>219.86</v>
      </c>
      <c r="J642" s="59" t="str">
        <f>IF(ISBLANK(I642)," ",IF(ISTEXT(I642)," ",IF(I642&lt;=[1]Нормативы!$H$93,"КМС",IF(I642&lt;=[1]Нормативы!$H$94,"КМС",IF(I642&lt;=[1]Нормативы!$L$95,"КМС",IF(I642&lt;=[1]Нормативы!$L$96,"I",IF(I642&lt;=[1]Нормативы!$L$97,"II",IF(I642&lt;=[1]Нормативы!$L$98,"III",IF(I642&lt;=[1]Нормативы!$L$99,"I юн",IF(I642&lt;=[1]Нормативы!$L$100,"II юн",IF(I642&lt;=[1]Нормативы!$L$101,"III юн","б/р")))))))))))</f>
        <v>II юн</v>
      </c>
    </row>
    <row r="643" spans="1:10" s="54" customFormat="1" x14ac:dyDescent="0.35">
      <c r="A643" s="14">
        <v>8</v>
      </c>
      <c r="B643" s="14" t="s">
        <v>26</v>
      </c>
      <c r="C643" s="214" t="s">
        <v>325</v>
      </c>
      <c r="D643" s="214"/>
      <c r="E643" s="215">
        <v>41688</v>
      </c>
      <c r="F643" s="214" t="s">
        <v>198</v>
      </c>
      <c r="G643" s="216"/>
      <c r="H643" s="14"/>
      <c r="I643" s="217">
        <v>221.27</v>
      </c>
      <c r="J643" s="59" t="str">
        <f>IF(ISBLANK(I643)," ",IF(ISTEXT(I643)," ",IF(I643&lt;=[1]Нормативы!$H$93,"КМС",IF(I643&lt;=[1]Нормативы!$H$94,"КМС",IF(I643&lt;=[1]Нормативы!$L$95,"КМС",IF(I643&lt;=[1]Нормативы!$L$96,"I",IF(I643&lt;=[1]Нормативы!$L$97,"II",IF(I643&lt;=[1]Нормативы!$L$98,"III",IF(I643&lt;=[1]Нормативы!$L$99,"I юн",IF(I643&lt;=[1]Нормативы!$L$100,"II юн",IF(I643&lt;=[1]Нормативы!$L$101,"III юн","б/р")))))))))))</f>
        <v>II юн</v>
      </c>
    </row>
    <row r="644" spans="1:10" s="54" customFormat="1" x14ac:dyDescent="0.35">
      <c r="A644" s="14">
        <v>9</v>
      </c>
      <c r="B644" s="14" t="s">
        <v>25</v>
      </c>
      <c r="C644" s="214" t="s">
        <v>464</v>
      </c>
      <c r="D644" s="214"/>
      <c r="E644" s="215">
        <v>41733</v>
      </c>
      <c r="F644" s="214" t="s">
        <v>245</v>
      </c>
      <c r="G644" s="216"/>
      <c r="H644" s="14"/>
      <c r="I644" s="217">
        <v>227.92</v>
      </c>
      <c r="J644" s="59" t="str">
        <f>IF(ISBLANK(I644)," ",IF(ISTEXT(I644)," ",IF(I644&lt;=[1]Нормативы!$H$93,"КМС",IF(I644&lt;=[1]Нормативы!$H$94,"КМС",IF(I644&lt;=[1]Нормативы!$L$95,"КМС",IF(I644&lt;=[1]Нормативы!$L$96,"I",IF(I644&lt;=[1]Нормативы!$L$97,"II",IF(I644&lt;=[1]Нормативы!$L$98,"III",IF(I644&lt;=[1]Нормативы!$L$99,"I юн",IF(I644&lt;=[1]Нормативы!$L$100,"II юн",IF(I644&lt;=[1]Нормативы!$L$101,"III юн","б/р")))))))))))</f>
        <v>II юн</v>
      </c>
    </row>
    <row r="645" spans="1:10" s="54" customFormat="1" x14ac:dyDescent="0.35">
      <c r="A645" s="14">
        <v>10</v>
      </c>
      <c r="B645" s="14" t="s">
        <v>25</v>
      </c>
      <c r="C645" s="214" t="s">
        <v>277</v>
      </c>
      <c r="D645" s="214"/>
      <c r="E645" s="215">
        <v>41624</v>
      </c>
      <c r="F645" s="214" t="s">
        <v>198</v>
      </c>
      <c r="G645" s="216"/>
      <c r="H645" s="14"/>
      <c r="I645" s="217">
        <v>229.15</v>
      </c>
      <c r="J645" s="59" t="str">
        <f>IF(ISBLANK(I645)," ",IF(ISTEXT(I645)," ",IF(I645&lt;=[1]Нормативы!$H$93,"КМС",IF(I645&lt;=[1]Нормативы!$H$94,"КМС",IF(I645&lt;=[1]Нормативы!$L$95,"КМС",IF(I645&lt;=[1]Нормативы!$L$96,"I",IF(I645&lt;=[1]Нормативы!$L$97,"II",IF(I645&lt;=[1]Нормативы!$L$98,"III",IF(I645&lt;=[1]Нормативы!$L$99,"I юн",IF(I645&lt;=[1]Нормативы!$L$100,"II юн",IF(I645&lt;=[1]Нормативы!$L$101,"III юн","б/р")))))))))))</f>
        <v>II юн</v>
      </c>
    </row>
    <row r="646" spans="1:10" s="54" customFormat="1" x14ac:dyDescent="0.35">
      <c r="A646" s="124"/>
      <c r="I646" s="117"/>
    </row>
    <row r="647" spans="1:10" s="54" customFormat="1" x14ac:dyDescent="0.35">
      <c r="A647" s="221" t="s">
        <v>485</v>
      </c>
      <c r="B647" s="14"/>
      <c r="C647" s="214"/>
      <c r="D647" s="214"/>
      <c r="E647" s="215"/>
      <c r="F647" s="214"/>
      <c r="G647" s="216"/>
      <c r="H647" s="14"/>
      <c r="I647" s="217"/>
      <c r="J647" s="231"/>
    </row>
    <row r="648" spans="1:10" s="54" customFormat="1" x14ac:dyDescent="0.35">
      <c r="A648" s="14">
        <v>1</v>
      </c>
      <c r="B648" s="14" t="s">
        <v>24</v>
      </c>
      <c r="C648" s="214" t="s">
        <v>354</v>
      </c>
      <c r="D648" s="214"/>
      <c r="E648" s="215">
        <v>40396</v>
      </c>
      <c r="F648" s="214" t="s">
        <v>198</v>
      </c>
      <c r="G648" s="216"/>
      <c r="H648" s="14"/>
      <c r="I648" s="217">
        <v>141.81</v>
      </c>
      <c r="J648" s="59" t="str">
        <f>IF(ISBLANK(I648)," ",IF(ISTEXT(I648)," ",IF(I648&lt;=[1]Нормативы!$H$104,"КМС",IF(I648&lt;=[1]Нормативы!$H$105,"КМС",IF(I648&lt;=[1]Нормативы!$L$106,"КМС",IF(I648&lt;=[1]Нормативы!$L$107,"I",IF(I648&lt;=[1]Нормативы!$L$108,"II",IF(I648&lt;=[1]Нормативы!$L$109,"III",IF(I648&lt;=[1]Нормативы!$L$110,"I юн",IF(I648&lt;=[1]Нормативы!$L$111,"II юн",IF(I648&lt;=[1]Нормативы!$L$112,"III юн","б/р")))))))))))</f>
        <v>II</v>
      </c>
    </row>
    <row r="649" spans="1:10" s="54" customFormat="1" x14ac:dyDescent="0.35">
      <c r="A649" s="14">
        <v>2</v>
      </c>
      <c r="B649" s="14" t="s">
        <v>24</v>
      </c>
      <c r="C649" s="214" t="s">
        <v>368</v>
      </c>
      <c r="D649" s="214"/>
      <c r="E649" s="215">
        <v>40593</v>
      </c>
      <c r="F649" s="214" t="s">
        <v>198</v>
      </c>
      <c r="G649" s="216"/>
      <c r="H649" s="14"/>
      <c r="I649" s="217">
        <v>145.26</v>
      </c>
      <c r="J649" s="59" t="str">
        <f>IF(ISBLANK(I649)," ",IF(ISTEXT(I649)," ",IF(I649&lt;=[1]Нормативы!$H$104,"КМС",IF(I649&lt;=[1]Нормативы!$H$105,"КМС",IF(I649&lt;=[1]Нормативы!$L$106,"КМС",IF(I649&lt;=[1]Нормативы!$L$107,"I",IF(I649&lt;=[1]Нормативы!$L$108,"II",IF(I649&lt;=[1]Нормативы!$L$109,"III",IF(I649&lt;=[1]Нормативы!$L$110,"I юн",IF(I649&lt;=[1]Нормативы!$L$111,"II юн",IF(I649&lt;=[1]Нормативы!$L$112,"III юн","б/р")))))))))))</f>
        <v>II</v>
      </c>
    </row>
    <row r="650" spans="1:10" s="54" customFormat="1" x14ac:dyDescent="0.35">
      <c r="A650" s="14">
        <v>3</v>
      </c>
      <c r="B650" s="14" t="s">
        <v>24</v>
      </c>
      <c r="C650" s="214" t="s">
        <v>373</v>
      </c>
      <c r="D650" s="214"/>
      <c r="E650" s="215">
        <v>40725</v>
      </c>
      <c r="F650" s="214" t="s">
        <v>198</v>
      </c>
      <c r="G650" s="216"/>
      <c r="H650" s="14"/>
      <c r="I650" s="217">
        <v>151.51</v>
      </c>
      <c r="J650" s="59" t="str">
        <f>IF(ISBLANK(I650)," ",IF(ISTEXT(I650)," ",IF(I650&lt;=[1]Нормативы!$H$104,"КМС",IF(I650&lt;=[1]Нормативы!$H$105,"КМС",IF(I650&lt;=[1]Нормативы!$L$106,"КМС",IF(I650&lt;=[1]Нормативы!$L$107,"I",IF(I650&lt;=[1]Нормативы!$L$108,"II",IF(I650&lt;=[1]Нормативы!$L$109,"III",IF(I650&lt;=[1]Нормативы!$L$110,"I юн",IF(I650&lt;=[1]Нормативы!$L$111,"II юн",IF(I650&lt;=[1]Нормативы!$L$112,"III юн","б/р")))))))))))</f>
        <v>III</v>
      </c>
    </row>
    <row r="651" spans="1:10" s="54" customFormat="1" x14ac:dyDescent="0.35">
      <c r="A651" s="221"/>
      <c r="B651" s="14"/>
      <c r="C651" s="214"/>
      <c r="D651" s="214"/>
      <c r="E651" s="215"/>
      <c r="F651" s="214"/>
      <c r="G651" s="216"/>
      <c r="H651" s="14"/>
      <c r="I651" s="217"/>
      <c r="J651" s="231"/>
    </row>
    <row r="652" spans="1:10" s="54" customFormat="1" x14ac:dyDescent="0.35">
      <c r="A652" s="221" t="s">
        <v>216</v>
      </c>
      <c r="B652" s="14"/>
      <c r="C652" s="214"/>
      <c r="D652" s="214"/>
      <c r="E652" s="215"/>
      <c r="F652" s="214"/>
      <c r="G652" s="216"/>
      <c r="H652" s="14"/>
      <c r="I652" s="217"/>
      <c r="J652" s="231"/>
    </row>
    <row r="653" spans="1:10" s="54" customFormat="1" x14ac:dyDescent="0.35">
      <c r="A653" s="14">
        <v>1</v>
      </c>
      <c r="B653" s="14" t="s">
        <v>25</v>
      </c>
      <c r="C653" s="214" t="s">
        <v>263</v>
      </c>
      <c r="D653" s="214"/>
      <c r="E653" s="215">
        <v>41488</v>
      </c>
      <c r="F653" s="214" t="s">
        <v>172</v>
      </c>
      <c r="G653" s="216"/>
      <c r="H653" s="14"/>
      <c r="I653" s="217">
        <v>147.36000000000001</v>
      </c>
      <c r="J653" s="59" t="str">
        <f>IF(ISBLANK(I653)," ",IF(ISTEXT(I653)," ",IF(I653&lt;=[1]Нормативы!$H$104,"КМС",IF(I653&lt;=[1]Нормативы!$H$105,"КМС",IF(I653&lt;=[1]Нормативы!$L$106,"КМС",IF(I653&lt;=[1]Нормативы!$L$107,"I",IF(I653&lt;=[1]Нормативы!$L$108,"II",IF(I653&lt;=[1]Нормативы!$L$109,"III",IF(I653&lt;=[1]Нормативы!$L$110,"I юн",IF(I653&lt;=[1]Нормативы!$L$111,"II юн",IF(I653&lt;=[1]Нормативы!$L$112,"III юн","б/р")))))))))))</f>
        <v>III</v>
      </c>
    </row>
    <row r="654" spans="1:10" s="54" customFormat="1" x14ac:dyDescent="0.35">
      <c r="A654" s="14">
        <v>2</v>
      </c>
      <c r="B654" s="14" t="s">
        <v>38</v>
      </c>
      <c r="C654" s="214" t="s">
        <v>271</v>
      </c>
      <c r="D654" s="214"/>
      <c r="E654" s="215">
        <v>41835</v>
      </c>
      <c r="F654" s="214" t="s">
        <v>172</v>
      </c>
      <c r="G654" s="216"/>
      <c r="H654" s="14"/>
      <c r="I654" s="217">
        <v>158.69</v>
      </c>
      <c r="J654" s="59" t="str">
        <f>IF(ISBLANK(I654)," ",IF(ISTEXT(I654)," ",IF(I654&lt;=[1]Нормативы!$H$104,"КМС",IF(I654&lt;=[1]Нормативы!$H$105,"КМС",IF(I654&lt;=[1]Нормативы!$L$106,"КМС",IF(I654&lt;=[1]Нормативы!$L$107,"I",IF(I654&lt;=[1]Нормативы!$L$108,"II",IF(I654&lt;=[1]Нормативы!$L$109,"III",IF(I654&lt;=[1]Нормативы!$L$110,"I юн",IF(I654&lt;=[1]Нормативы!$L$111,"II юн",IF(I654&lt;=[1]Нормативы!$L$112,"III юн","б/р")))))))))))</f>
        <v>I юн</v>
      </c>
    </row>
    <row r="655" spans="1:10" s="54" customFormat="1" x14ac:dyDescent="0.35">
      <c r="A655" s="14">
        <v>3</v>
      </c>
      <c r="B655" s="14" t="s">
        <v>22</v>
      </c>
      <c r="C655" s="214" t="s">
        <v>366</v>
      </c>
      <c r="D655" s="214"/>
      <c r="E655" s="215">
        <v>41484</v>
      </c>
      <c r="F655" s="214" t="s">
        <v>198</v>
      </c>
      <c r="G655" s="216"/>
      <c r="H655" s="14"/>
      <c r="I655" s="217">
        <v>202.57</v>
      </c>
      <c r="J655" s="59" t="str">
        <f>IF(ISBLANK(I655)," ",IF(ISTEXT(I655)," ",IF(I655&lt;=[1]Нормативы!$H$104,"КМС",IF(I655&lt;=[1]Нормативы!$H$105,"КМС",IF(I655&lt;=[1]Нормативы!$L$106,"КМС",IF(I655&lt;=[1]Нормативы!$L$107,"I",IF(I655&lt;=[1]Нормативы!$L$108,"II",IF(I655&lt;=[1]Нормативы!$L$109,"III",IF(I655&lt;=[1]Нормативы!$L$110,"I юн",IF(I655&lt;=[1]Нормативы!$L$111,"II юн",IF(I655&lt;=[1]Нормативы!$L$112,"III юн","б/р")))))))))))</f>
        <v>I юн</v>
      </c>
    </row>
    <row r="656" spans="1:10" s="54" customFormat="1" x14ac:dyDescent="0.35">
      <c r="A656" s="14">
        <v>4</v>
      </c>
      <c r="B656" s="14" t="s">
        <v>38</v>
      </c>
      <c r="C656" s="214" t="s">
        <v>414</v>
      </c>
      <c r="D656" s="214"/>
      <c r="E656" s="215">
        <v>41920</v>
      </c>
      <c r="F656" s="214" t="s">
        <v>193</v>
      </c>
      <c r="G656" s="216"/>
      <c r="H656" s="14"/>
      <c r="I656" s="217">
        <v>208.26</v>
      </c>
      <c r="J656" s="59" t="str">
        <f>IF(ISBLANK(I656)," ",IF(ISTEXT(I656)," ",IF(I656&lt;=[1]Нормативы!$H$104,"КМС",IF(I656&lt;=[1]Нормативы!$H$105,"КМС",IF(I656&lt;=[1]Нормативы!$L$106,"КМС",IF(I656&lt;=[1]Нормативы!$L$107,"I",IF(I656&lt;=[1]Нормативы!$L$108,"II",IF(I656&lt;=[1]Нормативы!$L$109,"III",IF(I656&lt;=[1]Нормативы!$L$110,"I юн",IF(I656&lt;=[1]Нормативы!$L$111,"II юн",IF(I656&lt;=[1]Нормативы!$L$112,"III юн","б/р")))))))))))</f>
        <v>II юн</v>
      </c>
    </row>
    <row r="657" spans="1:10" s="54" customFormat="1" x14ac:dyDescent="0.35">
      <c r="A657" s="14">
        <v>5</v>
      </c>
      <c r="B657" s="14" t="s">
        <v>22</v>
      </c>
      <c r="C657" s="214" t="s">
        <v>361</v>
      </c>
      <c r="D657" s="214"/>
      <c r="E657" s="215">
        <v>41739</v>
      </c>
      <c r="F657" s="214" t="s">
        <v>198</v>
      </c>
      <c r="G657" s="229"/>
      <c r="H657" s="14"/>
      <c r="I657" s="217">
        <v>217.76</v>
      </c>
      <c r="J657" s="59" t="str">
        <f>IF(ISBLANK(I657)," ",IF(ISTEXT(I657)," ",IF(I657&lt;=[1]Нормативы!$H$104,"КМС",IF(I657&lt;=[1]Нормативы!$H$105,"КМС",IF(I657&lt;=[1]Нормативы!$L$106,"КМС",IF(I657&lt;=[1]Нормативы!$L$107,"I",IF(I657&lt;=[1]Нормативы!$L$108,"II",IF(I657&lt;=[1]Нормативы!$L$109,"III",IF(I657&lt;=[1]Нормативы!$L$110,"I юн",IF(I657&lt;=[1]Нормативы!$L$111,"II юн",IF(I657&lt;=[1]Нормативы!$L$112,"III юн","б/р")))))))))))</f>
        <v>II юн</v>
      </c>
    </row>
    <row r="658" spans="1:10" s="54" customFormat="1" x14ac:dyDescent="0.35">
      <c r="A658" s="14">
        <v>6</v>
      </c>
      <c r="B658" s="14" t="s">
        <v>23</v>
      </c>
      <c r="C658" s="214" t="s">
        <v>340</v>
      </c>
      <c r="D658" s="214"/>
      <c r="E658" s="215">
        <v>41744</v>
      </c>
      <c r="F658" s="214" t="s">
        <v>198</v>
      </c>
      <c r="G658" s="229"/>
      <c r="H658" s="14"/>
      <c r="I658" s="217">
        <v>222.81</v>
      </c>
      <c r="J658" s="59" t="str">
        <f>IF(ISBLANK(I658)," ",IF(ISTEXT(I658)," ",IF(I658&lt;=[1]Нормативы!$H$104,"КМС",IF(I658&lt;=[1]Нормативы!$H$105,"КМС",IF(I658&lt;=[1]Нормативы!$L$106,"КМС",IF(I658&lt;=[1]Нормативы!$L$107,"I",IF(I658&lt;=[1]Нормативы!$L$108,"II",IF(I658&lt;=[1]Нормативы!$L$109,"III",IF(I658&lt;=[1]Нормативы!$L$110,"I юн",IF(I658&lt;=[1]Нормативы!$L$111,"II юн",IF(I658&lt;=[1]Нормативы!$L$112,"III юн","б/р")))))))))))</f>
        <v>III юн</v>
      </c>
    </row>
    <row r="659" spans="1:10" s="54" customFormat="1" x14ac:dyDescent="0.35">
      <c r="A659" s="14">
        <v>7</v>
      </c>
      <c r="B659" s="14" t="s">
        <v>22</v>
      </c>
      <c r="C659" s="214" t="s">
        <v>289</v>
      </c>
      <c r="D659" s="214"/>
      <c r="E659" s="215">
        <v>41953</v>
      </c>
      <c r="F659" s="214" t="s">
        <v>198</v>
      </c>
      <c r="G659" s="229"/>
      <c r="H659" s="14"/>
      <c r="I659" s="217">
        <v>232.05</v>
      </c>
      <c r="J659" s="59" t="str">
        <f>IF(ISBLANK(I659)," ",IF(ISTEXT(I659)," ",IF(I659&lt;=[1]Нормативы!$H$104,"КМС",IF(I659&lt;=[1]Нормативы!$H$105,"КМС",IF(I659&lt;=[1]Нормативы!$L$106,"КМС",IF(I659&lt;=[1]Нормативы!$L$107,"I",IF(I659&lt;=[1]Нормативы!$L$108,"II",IF(I659&lt;=[1]Нормативы!$L$109,"III",IF(I659&lt;=[1]Нормативы!$L$110,"I юн",IF(I659&lt;=[1]Нормативы!$L$111,"II юн",IF(I659&lt;=[1]Нормативы!$L$112,"III юн","б/р")))))))))))</f>
        <v>б/р</v>
      </c>
    </row>
    <row r="660" spans="1:10" s="54" customFormat="1" x14ac:dyDescent="0.35">
      <c r="A660" s="124"/>
      <c r="G660" s="229"/>
      <c r="I660" s="117"/>
    </row>
    <row r="661" spans="1:10" s="54" customFormat="1" x14ac:dyDescent="0.35">
      <c r="A661" s="221" t="s">
        <v>478</v>
      </c>
      <c r="B661" s="229"/>
      <c r="C661" s="229"/>
      <c r="D661" s="229"/>
      <c r="E661" s="229"/>
      <c r="F661" s="229"/>
      <c r="G661" s="229"/>
      <c r="H661" s="229"/>
      <c r="I661" s="229"/>
      <c r="J661" s="231"/>
    </row>
    <row r="662" spans="1:10" s="54" customFormat="1" x14ac:dyDescent="0.35">
      <c r="A662" s="14">
        <v>1</v>
      </c>
      <c r="B662" s="14" t="s">
        <v>6</v>
      </c>
      <c r="C662" s="214" t="s">
        <v>461</v>
      </c>
      <c r="D662" s="214"/>
      <c r="E662" s="215">
        <v>40816</v>
      </c>
      <c r="F662" s="214" t="s">
        <v>245</v>
      </c>
      <c r="G662" s="216"/>
      <c r="H662" s="14"/>
      <c r="I662" s="217">
        <v>428.03</v>
      </c>
      <c r="J662" s="59" t="str">
        <f>IF(ISBLANK(I662)," ",IF(ISTEXT(I662)," ",IF(I662&lt;=[1]Нормативы!$H$159,"КМС",IF(I662&lt;=[1]Нормативы!$H$160,"КМС",IF(I662&lt;=[1]Нормативы!$L$161,"КМС",IF(I662&lt;=[1]Нормативы!$L$162,"I",IF(I662&lt;=[1]Нормативы!$L$163,"II",IF(I662&lt;=[1]Нормативы!$L$164,"III",IF(I662&lt;=[1]Нормативы!$L$165,"I юн",IF(I662&lt;=[1]Нормативы!$L$166,"II юн",IF(I662&lt;=[1]Нормативы!$L$167,"III юн","б/р")))))))))))</f>
        <v>II</v>
      </c>
    </row>
    <row r="663" spans="1:10" s="54" customFormat="1" x14ac:dyDescent="0.35">
      <c r="A663" s="14">
        <v>2</v>
      </c>
      <c r="B663" s="14" t="s">
        <v>25</v>
      </c>
      <c r="C663" s="214" t="s">
        <v>401</v>
      </c>
      <c r="D663" s="214"/>
      <c r="E663" s="215">
        <v>40801</v>
      </c>
      <c r="F663" s="214" t="s">
        <v>193</v>
      </c>
      <c r="G663" s="216"/>
      <c r="H663" s="14"/>
      <c r="I663" s="217">
        <v>512.70000000000005</v>
      </c>
      <c r="J663" s="59" t="str">
        <f>IF(ISBLANK(I663)," ",IF(ISTEXT(I663)," ",IF(I663&lt;=[1]Нормативы!$H$159,"КМС",IF(I663&lt;=[1]Нормативы!$H$160,"КМС",IF(I663&lt;=[1]Нормативы!$L$161,"КМС",IF(I663&lt;=[1]Нормативы!$L$162,"I",IF(I663&lt;=[1]Нормативы!$L$163,"II",IF(I663&lt;=[1]Нормативы!$L$164,"III",IF(I663&lt;=[1]Нормативы!$L$165,"I юн",IF(I663&lt;=[1]Нормативы!$L$166,"II юн",IF(I663&lt;=[1]Нормативы!$L$167,"III юн","б/р")))))))))))</f>
        <v>I юн</v>
      </c>
    </row>
    <row r="664" spans="1:10" s="54" customFormat="1" x14ac:dyDescent="0.35">
      <c r="A664" s="14">
        <v>3</v>
      </c>
      <c r="B664" s="14" t="s">
        <v>24</v>
      </c>
      <c r="C664" s="214" t="s">
        <v>402</v>
      </c>
      <c r="D664" s="214"/>
      <c r="E664" s="215">
        <v>40654</v>
      </c>
      <c r="F664" s="214" t="s">
        <v>193</v>
      </c>
      <c r="G664" s="216"/>
      <c r="H664" s="14"/>
      <c r="I664" s="217">
        <v>513.15</v>
      </c>
      <c r="J664" s="59" t="str">
        <f>IF(ISBLANK(I664)," ",IF(ISTEXT(I664)," ",IF(I664&lt;=[1]Нормативы!$H$159,"КМС",IF(I664&lt;=[1]Нормативы!$H$160,"КМС",IF(I664&lt;=[1]Нормативы!$L$161,"КМС",IF(I664&lt;=[1]Нормативы!$L$162,"I",IF(I664&lt;=[1]Нормативы!$L$163,"II",IF(I664&lt;=[1]Нормативы!$L$164,"III",IF(I664&lt;=[1]Нормативы!$L$165,"I юн",IF(I664&lt;=[1]Нормативы!$L$166,"II юн",IF(I664&lt;=[1]Нормативы!$L$167,"III юн","б/р")))))))))))</f>
        <v>I юн</v>
      </c>
    </row>
    <row r="665" spans="1:10" s="54" customFormat="1" x14ac:dyDescent="0.35">
      <c r="A665" s="221"/>
      <c r="B665" s="229"/>
      <c r="C665" s="229"/>
      <c r="D665" s="229"/>
      <c r="E665" s="229"/>
      <c r="F665" s="229"/>
      <c r="G665" s="229"/>
      <c r="H665" s="229"/>
      <c r="I665" s="229"/>
      <c r="J665" s="231"/>
    </row>
    <row r="666" spans="1:10" s="54" customFormat="1" x14ac:dyDescent="0.35">
      <c r="A666" s="221" t="s">
        <v>213</v>
      </c>
      <c r="B666" s="229"/>
      <c r="C666" s="229"/>
      <c r="D666" s="229"/>
      <c r="E666" s="229"/>
      <c r="F666" s="229"/>
      <c r="G666" s="229"/>
      <c r="H666" s="229"/>
      <c r="I666" s="229"/>
      <c r="J666" s="231"/>
    </row>
    <row r="667" spans="1:10" s="54" customFormat="1" x14ac:dyDescent="0.35">
      <c r="A667" s="14">
        <v>1</v>
      </c>
      <c r="B667" s="14" t="s">
        <v>6</v>
      </c>
      <c r="C667" s="214" t="s">
        <v>463</v>
      </c>
      <c r="D667" s="214"/>
      <c r="E667" s="215">
        <v>41302</v>
      </c>
      <c r="F667" s="214" t="s">
        <v>245</v>
      </c>
      <c r="G667" s="216"/>
      <c r="H667" s="14"/>
      <c r="I667" s="217">
        <v>439.41</v>
      </c>
      <c r="J667" s="59" t="str">
        <f>IF(ISBLANK(I667)," ",IF(ISTEXT(I667)," ",IF(I667&lt;=[1]Нормативы!$H$159,"КМС",IF(I667&lt;=[1]Нормативы!$H$160,"КМС",IF(I667&lt;=[1]Нормативы!$L$161,"КМС",IF(I667&lt;=[1]Нормативы!$L$162,"I",IF(I667&lt;=[1]Нормативы!$L$163,"II",IF(I667&lt;=[1]Нормативы!$L$164,"III",IF(I667&lt;=[1]Нормативы!$L$165,"I юн",IF(I667&lt;=[1]Нормативы!$L$166,"II юн",IF(I667&lt;=[1]Нормативы!$L$167,"III юн","б/р")))))))))))</f>
        <v>II</v>
      </c>
    </row>
    <row r="668" spans="1:10" s="54" customFormat="1" x14ac:dyDescent="0.35">
      <c r="A668" s="14">
        <v>2</v>
      </c>
      <c r="B668" s="14" t="s">
        <v>25</v>
      </c>
      <c r="C668" s="214" t="s">
        <v>250</v>
      </c>
      <c r="D668" s="214"/>
      <c r="E668" s="215">
        <v>41666</v>
      </c>
      <c r="F668" s="214" t="s">
        <v>172</v>
      </c>
      <c r="G668" s="216"/>
      <c r="H668" s="14"/>
      <c r="I668" s="217">
        <v>450.76</v>
      </c>
      <c r="J668" s="59" t="str">
        <f>IF(ISBLANK(I668)," ",IF(ISTEXT(I668)," ",IF(I668&lt;=[1]Нормативы!$H$159,"КМС",IF(I668&lt;=[1]Нормативы!$H$160,"КМС",IF(I668&lt;=[1]Нормативы!$L$161,"КМС",IF(I668&lt;=[1]Нормативы!$L$162,"I",IF(I668&lt;=[1]Нормативы!$L$163,"II",IF(I668&lt;=[1]Нормативы!$L$164,"III",IF(I668&lt;=[1]Нормативы!$L$165,"I юн",IF(I668&lt;=[1]Нормативы!$L$166,"II юн",IF(I668&lt;=[1]Нормативы!$L$167,"III юн","б/р")))))))))))</f>
        <v>III</v>
      </c>
    </row>
    <row r="669" spans="1:10" s="54" customFormat="1" x14ac:dyDescent="0.35">
      <c r="A669" s="14">
        <v>3</v>
      </c>
      <c r="B669" s="14" t="s">
        <v>24</v>
      </c>
      <c r="C669" s="214" t="s">
        <v>465</v>
      </c>
      <c r="D669" s="214"/>
      <c r="E669" s="215">
        <v>41347</v>
      </c>
      <c r="F669" s="214" t="s">
        <v>245</v>
      </c>
      <c r="G669" s="216"/>
      <c r="H669" s="14"/>
      <c r="I669" s="217">
        <v>455.04</v>
      </c>
      <c r="J669" s="59" t="str">
        <f>IF(ISBLANK(I669)," ",IF(ISTEXT(I669)," ",IF(I669&lt;=[1]Нормативы!$H$159,"КМС",IF(I669&lt;=[1]Нормативы!$H$160,"КМС",IF(I669&lt;=[1]Нормативы!$L$161,"КМС",IF(I669&lt;=[1]Нормативы!$L$162,"I",IF(I669&lt;=[1]Нормативы!$L$163,"II",IF(I669&lt;=[1]Нормативы!$L$164,"III",IF(I669&lt;=[1]Нормативы!$L$165,"I юн",IF(I669&lt;=[1]Нормативы!$L$166,"II юн",IF(I669&lt;=[1]Нормативы!$L$167,"III юн","б/р")))))))))))</f>
        <v>III</v>
      </c>
    </row>
    <row r="670" spans="1:10" s="54" customFormat="1" x14ac:dyDescent="0.35">
      <c r="A670" s="14">
        <v>4</v>
      </c>
      <c r="B670" s="14" t="s">
        <v>38</v>
      </c>
      <c r="C670" s="214" t="s">
        <v>330</v>
      </c>
      <c r="D670" s="214"/>
      <c r="E670" s="215">
        <v>41354</v>
      </c>
      <c r="F670" s="214" t="s">
        <v>198</v>
      </c>
      <c r="G670" s="216"/>
      <c r="H670" s="14"/>
      <c r="I670" s="217">
        <v>509.45</v>
      </c>
      <c r="J670" s="59" t="str">
        <f>IF(ISBLANK(I670)," ",IF(ISTEXT(I670)," ",IF(I670&lt;=[1]Нормативы!$H$159,"КМС",IF(I670&lt;=[1]Нормативы!$H$160,"КМС",IF(I670&lt;=[1]Нормативы!$L$161,"КМС",IF(I670&lt;=[1]Нормативы!$L$162,"I",IF(I670&lt;=[1]Нормативы!$L$163,"II",IF(I670&lt;=[1]Нормативы!$L$164,"III",IF(I670&lt;=[1]Нормативы!$L$165,"I юн",IF(I670&lt;=[1]Нормативы!$L$166,"II юн",IF(I670&lt;=[1]Нормативы!$L$167,"III юн","б/р")))))))))))</f>
        <v>I юн</v>
      </c>
    </row>
    <row r="671" spans="1:10" s="54" customFormat="1" x14ac:dyDescent="0.35">
      <c r="A671" s="14">
        <v>5</v>
      </c>
      <c r="B671" s="14" t="s">
        <v>25</v>
      </c>
      <c r="C671" s="214" t="s">
        <v>278</v>
      </c>
      <c r="D671" s="214"/>
      <c r="E671" s="215">
        <v>41889</v>
      </c>
      <c r="F671" s="214" t="s">
        <v>198</v>
      </c>
      <c r="G671" s="216"/>
      <c r="H671" s="14"/>
      <c r="I671" s="217">
        <v>512.63</v>
      </c>
      <c r="J671" s="59" t="str">
        <f>IF(ISBLANK(I671)," ",IF(ISTEXT(I671)," ",IF(I671&lt;=[1]Нормативы!$H$159,"КМС",IF(I671&lt;=[1]Нормативы!$H$160,"КМС",IF(I671&lt;=[1]Нормативы!$L$161,"КМС",IF(I671&lt;=[1]Нормативы!$L$162,"I",IF(I671&lt;=[1]Нормативы!$L$163,"II",IF(I671&lt;=[1]Нормативы!$L$164,"III",IF(I671&lt;=[1]Нормативы!$L$165,"I юн",IF(I671&lt;=[1]Нормативы!$L$166,"II юн",IF(I671&lt;=[1]Нормативы!$L$167,"III юн","б/р")))))))))))</f>
        <v>I юн</v>
      </c>
    </row>
    <row r="672" spans="1:10" s="54" customFormat="1" x14ac:dyDescent="0.35">
      <c r="A672" s="14">
        <v>6</v>
      </c>
      <c r="B672" s="14" t="s">
        <v>38</v>
      </c>
      <c r="C672" s="214" t="s">
        <v>462</v>
      </c>
      <c r="D672" s="214"/>
      <c r="E672" s="215">
        <v>41824</v>
      </c>
      <c r="F672" s="214" t="s">
        <v>245</v>
      </c>
      <c r="G672" s="216"/>
      <c r="H672" s="14"/>
      <c r="I672" s="217">
        <v>524.16</v>
      </c>
      <c r="J672" s="59" t="str">
        <f>IF(ISBLANK(I672)," ",IF(ISTEXT(I672)," ",IF(I672&lt;=[1]Нормативы!$H$159,"КМС",IF(I672&lt;=[1]Нормативы!$H$160,"КМС",IF(I672&lt;=[1]Нормативы!$L$161,"КМС",IF(I672&lt;=[1]Нормативы!$L$162,"I",IF(I672&lt;=[1]Нормативы!$L$163,"II",IF(I672&lt;=[1]Нормативы!$L$164,"III",IF(I672&lt;=[1]Нормативы!$L$165,"I юн",IF(I672&lt;=[1]Нормативы!$L$166,"II юн",IF(I672&lt;=[1]Нормативы!$L$167,"III юн","б/р")))))))))))</f>
        <v>I юн</v>
      </c>
    </row>
    <row r="673" spans="1:20" s="54" customFormat="1" x14ac:dyDescent="0.35">
      <c r="A673" s="14">
        <v>7</v>
      </c>
      <c r="B673" s="14" t="s">
        <v>38</v>
      </c>
      <c r="C673" s="214" t="s">
        <v>279</v>
      </c>
      <c r="D673" s="214"/>
      <c r="E673" s="215">
        <v>41781</v>
      </c>
      <c r="F673" s="214" t="s">
        <v>198</v>
      </c>
      <c r="G673" s="216"/>
      <c r="H673" s="14"/>
      <c r="I673" s="217">
        <v>559.16999999999996</v>
      </c>
      <c r="J673" s="59" t="str">
        <f>IF(ISBLANK(I673)," ",IF(ISTEXT(I673)," ",IF(I673&lt;=[1]Нормативы!$H$159,"КМС",IF(I673&lt;=[1]Нормативы!$H$160,"КМС",IF(I673&lt;=[1]Нормативы!$L$161,"КМС",IF(I673&lt;=[1]Нормативы!$L$162,"I",IF(I673&lt;=[1]Нормативы!$L$163,"II",IF(I673&lt;=[1]Нормативы!$L$164,"III",IF(I673&lt;=[1]Нормативы!$L$165,"I юн",IF(I673&lt;=[1]Нормативы!$L$166,"II юн",IF(I673&lt;=[1]Нормативы!$L$167,"III юн","б/р")))))))))))</f>
        <v>III юн</v>
      </c>
    </row>
    <row r="674" spans="1:20" s="54" customFormat="1" x14ac:dyDescent="0.35">
      <c r="A674" s="124"/>
      <c r="I674" s="117"/>
    </row>
    <row r="675" spans="1:20" s="229" customFormat="1" ht="14.5" customHeight="1" x14ac:dyDescent="0.3">
      <c r="A675" s="221" t="s">
        <v>479</v>
      </c>
      <c r="B675" s="14"/>
      <c r="C675" s="214"/>
      <c r="D675" s="214"/>
      <c r="E675" s="215"/>
      <c r="F675" s="214"/>
      <c r="G675" s="216"/>
      <c r="H675" s="14"/>
      <c r="I675" s="217"/>
      <c r="J675" s="231"/>
      <c r="K675" s="14"/>
      <c r="L675" s="228"/>
      <c r="M675" s="230"/>
      <c r="N675" s="230"/>
      <c r="O675" s="230"/>
      <c r="P675" s="230"/>
      <c r="Q675" s="230"/>
      <c r="R675" s="230"/>
      <c r="S675" s="230"/>
      <c r="T675" s="230"/>
    </row>
    <row r="676" spans="1:20" s="229" customFormat="1" ht="14.5" customHeight="1" x14ac:dyDescent="0.3">
      <c r="A676" s="14">
        <v>1</v>
      </c>
      <c r="B676" s="14" t="s">
        <v>6</v>
      </c>
      <c r="C676" s="214" t="s">
        <v>258</v>
      </c>
      <c r="D676" s="214"/>
      <c r="E676" s="215">
        <v>40652</v>
      </c>
      <c r="F676" s="214" t="s">
        <v>172</v>
      </c>
      <c r="G676" s="216"/>
      <c r="H676" s="14"/>
      <c r="I676" s="217">
        <v>353.37</v>
      </c>
      <c r="J676" s="59" t="str">
        <f>IF(ISBLANK(I676)," ",IF(ISTEXT(I676)," ",IF(I676&lt;=[1]Нормативы!$H$170,"КМС",IF(I676&lt;=[1]Нормативы!$H$171,"КМС",IF(I676&lt;=[1]Нормативы!$L$172,"КМС",IF(I676&lt;=[1]Нормативы!$L$173,"I",IF(I676&lt;=[1]Нормативы!$L$174,"II",IF(I676&lt;=[1]Нормативы!$L$175,"III",IF(I676&lt;=[1]Нормативы!$L$176,"I юн",IF(I676&lt;=[1]Нормативы!$L$177,"II юн",IF(I676&lt;=[1]Нормативы!$L$178,"III юн","б/р")))))))))))</f>
        <v>I</v>
      </c>
      <c r="K676" s="14"/>
      <c r="L676" s="228"/>
      <c r="M676" s="230"/>
      <c r="N676" s="230"/>
      <c r="O676" s="230"/>
      <c r="P676" s="230"/>
      <c r="Q676" s="230"/>
      <c r="R676" s="230"/>
      <c r="S676" s="230"/>
      <c r="T676" s="230"/>
    </row>
    <row r="677" spans="1:20" s="229" customFormat="1" ht="14.5" customHeight="1" x14ac:dyDescent="0.3">
      <c r="A677" s="14">
        <v>2</v>
      </c>
      <c r="B677" s="14" t="s">
        <v>6</v>
      </c>
      <c r="C677" s="214" t="s">
        <v>371</v>
      </c>
      <c r="D677" s="214"/>
      <c r="E677" s="215">
        <v>40458</v>
      </c>
      <c r="F677" s="214" t="s">
        <v>198</v>
      </c>
      <c r="G677" s="216"/>
      <c r="H677" s="14"/>
      <c r="I677" s="217">
        <v>354.06</v>
      </c>
      <c r="J677" s="59" t="str">
        <f>IF(ISBLANK(I677)," ",IF(ISTEXT(I677)," ",IF(I677&lt;=[1]Нормативы!$H$170,"КМС",IF(I677&lt;=[1]Нормативы!$H$171,"КМС",IF(I677&lt;=[1]Нормативы!$L$172,"КМС",IF(I677&lt;=[1]Нормативы!$L$173,"I",IF(I677&lt;=[1]Нормативы!$L$174,"II",IF(I677&lt;=[1]Нормативы!$L$175,"III",IF(I677&lt;=[1]Нормативы!$L$176,"I юн",IF(I677&lt;=[1]Нормативы!$L$177,"II юн",IF(I677&lt;=[1]Нормативы!$L$178,"III юн","б/р")))))))))))</f>
        <v>I</v>
      </c>
      <c r="K677" s="14"/>
      <c r="L677" s="228"/>
      <c r="M677" s="230"/>
      <c r="N677" s="230"/>
      <c r="O677" s="230"/>
      <c r="P677" s="230"/>
      <c r="Q677" s="230"/>
      <c r="R677" s="230"/>
      <c r="S677" s="230"/>
      <c r="T677" s="230"/>
    </row>
    <row r="678" spans="1:20" s="229" customFormat="1" ht="14.5" customHeight="1" x14ac:dyDescent="0.3">
      <c r="A678" s="14">
        <v>3</v>
      </c>
      <c r="B678" s="14" t="s">
        <v>24</v>
      </c>
      <c r="C678" s="214" t="s">
        <v>370</v>
      </c>
      <c r="D678" s="214"/>
      <c r="E678" s="215">
        <v>40718</v>
      </c>
      <c r="F678" s="214" t="s">
        <v>198</v>
      </c>
      <c r="G678" s="216"/>
      <c r="H678" s="14"/>
      <c r="I678" s="217">
        <v>357</v>
      </c>
      <c r="J678" s="59" t="str">
        <f>IF(ISBLANK(I678)," ",IF(ISTEXT(I678)," ",IF(I678&lt;=[1]Нормативы!$H$170,"КМС",IF(I678&lt;=[1]Нормативы!$H$171,"КМС",IF(I678&lt;=[1]Нормативы!$L$172,"КМС",IF(I678&lt;=[1]Нормативы!$L$173,"I",IF(I678&lt;=[1]Нормативы!$L$174,"II",IF(I678&lt;=[1]Нормативы!$L$175,"III",IF(I678&lt;=[1]Нормативы!$L$176,"I юн",IF(I678&lt;=[1]Нормативы!$L$177,"II юн",IF(I678&lt;=[1]Нормативы!$L$178,"III юн","б/р")))))))))))</f>
        <v>I</v>
      </c>
      <c r="K678" s="14"/>
      <c r="L678" s="228"/>
      <c r="N678" s="230"/>
      <c r="O678" s="230"/>
      <c r="P678" s="230"/>
      <c r="Q678" s="230"/>
      <c r="R678" s="230"/>
      <c r="S678" s="230"/>
      <c r="T678" s="230"/>
    </row>
    <row r="679" spans="1:20" s="229" customFormat="1" ht="14.5" customHeight="1" x14ac:dyDescent="0.3">
      <c r="A679" s="14">
        <v>4</v>
      </c>
      <c r="B679" s="14" t="s">
        <v>6</v>
      </c>
      <c r="C679" s="214" t="s">
        <v>413</v>
      </c>
      <c r="D679" s="214"/>
      <c r="E679" s="215">
        <v>40456</v>
      </c>
      <c r="F679" s="214" t="s">
        <v>193</v>
      </c>
      <c r="G679" s="216"/>
      <c r="H679" s="14"/>
      <c r="I679" s="217">
        <v>359.72</v>
      </c>
      <c r="J679" s="59" t="str">
        <f>IF(ISBLANK(I679)," ",IF(ISTEXT(I679)," ",IF(I679&lt;=[1]Нормативы!$H$170,"КМС",IF(I679&lt;=[1]Нормативы!$H$171,"КМС",IF(I679&lt;=[1]Нормативы!$L$172,"КМС",IF(I679&lt;=[1]Нормативы!$L$173,"I",IF(I679&lt;=[1]Нормативы!$L$174,"II",IF(I679&lt;=[1]Нормативы!$L$175,"III",IF(I679&lt;=[1]Нормативы!$L$176,"I юн",IF(I679&lt;=[1]Нормативы!$L$177,"II юн",IF(I679&lt;=[1]Нормативы!$L$178,"III юн","б/р")))))))))))</f>
        <v>I</v>
      </c>
      <c r="K679" s="14"/>
      <c r="L679" s="228"/>
      <c r="N679" s="230"/>
      <c r="O679" s="230"/>
      <c r="P679" s="230"/>
      <c r="Q679" s="230"/>
      <c r="R679" s="230"/>
      <c r="S679" s="230"/>
      <c r="T679" s="230"/>
    </row>
    <row r="680" spans="1:20" s="229" customFormat="1" ht="14.5" customHeight="1" x14ac:dyDescent="0.3">
      <c r="A680" s="14">
        <v>5</v>
      </c>
      <c r="B680" s="14" t="s">
        <v>24</v>
      </c>
      <c r="C680" s="214" t="s">
        <v>259</v>
      </c>
      <c r="D680" s="214"/>
      <c r="E680" s="215">
        <v>40745</v>
      </c>
      <c r="F680" s="214" t="s">
        <v>172</v>
      </c>
      <c r="G680" s="216"/>
      <c r="H680" s="14"/>
      <c r="I680" s="217">
        <v>407.6</v>
      </c>
      <c r="J680" s="59" t="str">
        <f>IF(ISBLANK(I680)," ",IF(ISTEXT(I680)," ",IF(I680&lt;=[1]Нормативы!$H$170,"КМС",IF(I680&lt;=[1]Нормативы!$H$171,"КМС",IF(I680&lt;=[1]Нормативы!$L$172,"КМС",IF(I680&lt;=[1]Нормативы!$L$173,"I",IF(I680&lt;=[1]Нормативы!$L$174,"II",IF(I680&lt;=[1]Нормативы!$L$175,"III",IF(I680&lt;=[1]Нормативы!$L$176,"I юн",IF(I680&lt;=[1]Нормативы!$L$177,"II юн",IF(I680&lt;=[1]Нормативы!$L$178,"III юн","б/р")))))))))))</f>
        <v>II</v>
      </c>
      <c r="K680" s="14"/>
      <c r="L680" s="228"/>
      <c r="N680" s="230"/>
      <c r="O680" s="230"/>
      <c r="P680" s="230"/>
      <c r="Q680" s="230"/>
      <c r="R680" s="230"/>
      <c r="S680" s="230"/>
      <c r="T680" s="230"/>
    </row>
    <row r="681" spans="1:20" s="229" customFormat="1" ht="14.5" customHeight="1" x14ac:dyDescent="0.3">
      <c r="A681" s="14">
        <v>6</v>
      </c>
      <c r="B681" s="14" t="s">
        <v>26</v>
      </c>
      <c r="C681" s="214" t="s">
        <v>353</v>
      </c>
      <c r="D681" s="214"/>
      <c r="E681" s="215">
        <v>41108</v>
      </c>
      <c r="F681" s="214" t="s">
        <v>198</v>
      </c>
      <c r="G681" s="216"/>
      <c r="H681" s="14"/>
      <c r="I681" s="217">
        <v>415.65</v>
      </c>
      <c r="J681" s="59" t="str">
        <f>IF(ISBLANK(I681)," ",IF(ISTEXT(I681)," ",IF(I681&lt;=[1]Нормативы!$H$170,"КМС",IF(I681&lt;=[1]Нормативы!$H$171,"КМС",IF(I681&lt;=[1]Нормативы!$L$172,"КМС",IF(I681&lt;=[1]Нормативы!$L$173,"I",IF(I681&lt;=[1]Нормативы!$L$174,"II",IF(I681&lt;=[1]Нормативы!$L$175,"III",IF(I681&lt;=[1]Нормативы!$L$176,"I юн",IF(I681&lt;=[1]Нормативы!$L$177,"II юн",IF(I681&lt;=[1]Нормативы!$L$178,"III юн","б/р")))))))))))</f>
        <v>II</v>
      </c>
      <c r="K681" s="14"/>
      <c r="L681" s="228"/>
      <c r="N681" s="230"/>
      <c r="O681" s="230"/>
      <c r="P681" s="230"/>
      <c r="Q681" s="230"/>
      <c r="R681" s="230"/>
      <c r="S681" s="230"/>
      <c r="T681" s="230"/>
    </row>
    <row r="682" spans="1:20" s="229" customFormat="1" ht="14.5" customHeight="1" x14ac:dyDescent="0.3">
      <c r="A682" s="14">
        <v>7</v>
      </c>
      <c r="B682" s="14" t="s">
        <v>24</v>
      </c>
      <c r="C682" s="214" t="s">
        <v>364</v>
      </c>
      <c r="D682" s="214"/>
      <c r="E682" s="215">
        <v>41027</v>
      </c>
      <c r="F682" s="214" t="s">
        <v>198</v>
      </c>
      <c r="G682" s="216"/>
      <c r="H682" s="14"/>
      <c r="I682" s="217">
        <v>421.96</v>
      </c>
      <c r="J682" s="59" t="str">
        <f>IF(ISBLANK(I682)," ",IF(ISTEXT(I682)," ",IF(I682&lt;=[1]Нормативы!$H$170,"КМС",IF(I682&lt;=[1]Нормативы!$H$171,"КМС",IF(I682&lt;=[1]Нормативы!$L$172,"КМС",IF(I682&lt;=[1]Нормативы!$L$173,"I",IF(I682&lt;=[1]Нормативы!$L$174,"II",IF(I682&lt;=[1]Нормативы!$L$175,"III",IF(I682&lt;=[1]Нормативы!$L$176,"I юн",IF(I682&lt;=[1]Нормативы!$L$177,"II юн",IF(I682&lt;=[1]Нормативы!$L$178,"III юн","б/р")))))))))))</f>
        <v>II</v>
      </c>
      <c r="K682" s="14"/>
      <c r="L682" s="228"/>
      <c r="N682" s="230"/>
      <c r="O682" s="230"/>
      <c r="P682" s="230"/>
      <c r="Q682" s="230"/>
      <c r="R682" s="230"/>
      <c r="S682" s="230"/>
      <c r="T682" s="230"/>
    </row>
    <row r="683" spans="1:20" s="229" customFormat="1" ht="14.5" customHeight="1" x14ac:dyDescent="0.3">
      <c r="A683" s="14">
        <v>8</v>
      </c>
      <c r="B683" s="14" t="s">
        <v>24</v>
      </c>
      <c r="C683" s="214" t="s">
        <v>367</v>
      </c>
      <c r="D683" s="214"/>
      <c r="E683" s="215">
        <v>40306</v>
      </c>
      <c r="F683" s="214" t="s">
        <v>198</v>
      </c>
      <c r="G683" s="216"/>
      <c r="H683" s="14"/>
      <c r="I683" s="217">
        <v>429.42</v>
      </c>
      <c r="J683" s="59" t="str">
        <f>IF(ISBLANK(I683)," ",IF(ISTEXT(I683)," ",IF(I683&lt;=[1]Нормативы!$H$170,"КМС",IF(I683&lt;=[1]Нормативы!$H$171,"КМС",IF(I683&lt;=[1]Нормативы!$L$172,"КМС",IF(I683&lt;=[1]Нормативы!$L$173,"I",IF(I683&lt;=[1]Нормативы!$L$174,"II",IF(I683&lt;=[1]Нормативы!$L$175,"III",IF(I683&lt;=[1]Нормативы!$L$176,"I юн",IF(I683&lt;=[1]Нормативы!$L$177,"II юн",IF(I683&lt;=[1]Нормативы!$L$178,"III юн","б/р")))))))))))</f>
        <v>III</v>
      </c>
      <c r="K683" s="14"/>
      <c r="L683" s="228"/>
      <c r="N683" s="230"/>
      <c r="O683" s="230"/>
      <c r="P683" s="230"/>
      <c r="Q683" s="230"/>
      <c r="R683" s="230"/>
      <c r="S683" s="230"/>
      <c r="T683" s="230"/>
    </row>
    <row r="684" spans="1:20" s="229" customFormat="1" ht="14.5" customHeight="1" x14ac:dyDescent="0.3">
      <c r="A684" s="14">
        <v>9</v>
      </c>
      <c r="B684" s="14" t="s">
        <v>6</v>
      </c>
      <c r="C684" s="214" t="s">
        <v>473</v>
      </c>
      <c r="D684" s="214"/>
      <c r="E684" s="215">
        <v>40686</v>
      </c>
      <c r="F684" s="214" t="s">
        <v>172</v>
      </c>
      <c r="G684" s="216"/>
      <c r="H684" s="14"/>
      <c r="I684" s="217">
        <v>432.77</v>
      </c>
      <c r="J684" s="59" t="str">
        <f>IF(ISBLANK(I684)," ",IF(ISTEXT(I684)," ",IF(I684&lt;=[1]Нормативы!$H$170,"КМС",IF(I684&lt;=[1]Нормативы!$H$171,"КМС",IF(I684&lt;=[1]Нормативы!$L$172,"КМС",IF(I684&lt;=[1]Нормативы!$L$173,"I",IF(I684&lt;=[1]Нормативы!$L$174,"II",IF(I684&lt;=[1]Нормативы!$L$175,"III",IF(I684&lt;=[1]Нормативы!$L$176,"I юн",IF(I684&lt;=[1]Нормативы!$L$177,"II юн",IF(I684&lt;=[1]Нормативы!$L$178,"III юн","б/р")))))))))))</f>
        <v>III</v>
      </c>
      <c r="K684" s="14"/>
      <c r="L684" s="228"/>
      <c r="N684" s="230"/>
      <c r="O684" s="230"/>
      <c r="P684" s="230"/>
      <c r="Q684" s="230"/>
      <c r="R684" s="230"/>
      <c r="S684" s="230"/>
      <c r="T684" s="230"/>
    </row>
    <row r="685" spans="1:20" s="229" customFormat="1" ht="14.5" customHeight="1" x14ac:dyDescent="0.3">
      <c r="A685" s="14">
        <v>10</v>
      </c>
      <c r="B685" s="14" t="s">
        <v>25</v>
      </c>
      <c r="C685" s="214" t="s">
        <v>466</v>
      </c>
      <c r="D685" s="214"/>
      <c r="E685" s="215">
        <v>41113</v>
      </c>
      <c r="F685" s="214" t="s">
        <v>245</v>
      </c>
      <c r="G685" s="216"/>
      <c r="H685" s="14"/>
      <c r="I685" s="217">
        <v>433.82</v>
      </c>
      <c r="J685" s="59" t="str">
        <f>IF(ISBLANK(I685)," ",IF(ISTEXT(I685)," ",IF(I685&lt;=[1]Нормативы!$H$170,"КМС",IF(I685&lt;=[1]Нормативы!$H$171,"КМС",IF(I685&lt;=[1]Нормативы!$L$172,"КМС",IF(I685&lt;=[1]Нормативы!$L$173,"I",IF(I685&lt;=[1]Нормативы!$L$174,"II",IF(I685&lt;=[1]Нормативы!$L$175,"III",IF(I685&lt;=[1]Нормативы!$L$176,"I юн",IF(I685&lt;=[1]Нормативы!$L$177,"II юн",IF(I685&lt;=[1]Нормативы!$L$178,"III юн","б/р")))))))))))</f>
        <v>III</v>
      </c>
      <c r="K685" s="14"/>
      <c r="L685" s="228"/>
      <c r="N685" s="230"/>
      <c r="O685" s="230"/>
      <c r="P685" s="230"/>
      <c r="Q685" s="230"/>
      <c r="R685" s="230"/>
      <c r="S685" s="230"/>
      <c r="T685" s="230"/>
    </row>
    <row r="686" spans="1:20" s="229" customFormat="1" ht="14.5" customHeight="1" x14ac:dyDescent="0.3">
      <c r="A686" s="14">
        <v>11</v>
      </c>
      <c r="B686" s="14" t="s">
        <v>25</v>
      </c>
      <c r="C686" s="214" t="s">
        <v>300</v>
      </c>
      <c r="D686" s="214"/>
      <c r="E686" s="215">
        <v>40480</v>
      </c>
      <c r="F686" s="214" t="s">
        <v>198</v>
      </c>
      <c r="G686" s="216"/>
      <c r="H686" s="14"/>
      <c r="I686" s="217">
        <v>440.1</v>
      </c>
      <c r="J686" s="59" t="str">
        <f>IF(ISBLANK(I686)," ",IF(ISTEXT(I686)," ",IF(I686&lt;=[1]Нормативы!$H$170,"КМС",IF(I686&lt;=[1]Нормативы!$H$171,"КМС",IF(I686&lt;=[1]Нормативы!$L$172,"КМС",IF(I686&lt;=[1]Нормативы!$L$173,"I",IF(I686&lt;=[1]Нормативы!$L$174,"II",IF(I686&lt;=[1]Нормативы!$L$175,"III",IF(I686&lt;=[1]Нормативы!$L$176,"I юн",IF(I686&lt;=[1]Нормативы!$L$177,"II юн",IF(I686&lt;=[1]Нормативы!$L$178,"III юн","б/р")))))))))))</f>
        <v>III</v>
      </c>
      <c r="K686" s="14"/>
      <c r="L686" s="228"/>
      <c r="N686" s="230"/>
      <c r="O686" s="230"/>
      <c r="P686" s="230"/>
      <c r="Q686" s="230"/>
      <c r="R686" s="230"/>
      <c r="S686" s="230"/>
      <c r="T686" s="230"/>
    </row>
    <row r="687" spans="1:20" s="229" customFormat="1" ht="14.5" customHeight="1" x14ac:dyDescent="0.3">
      <c r="A687" s="14">
        <v>12</v>
      </c>
      <c r="B687" s="14" t="s">
        <v>25</v>
      </c>
      <c r="C687" s="214" t="s">
        <v>421</v>
      </c>
      <c r="D687" s="214"/>
      <c r="E687" s="215">
        <v>40502</v>
      </c>
      <c r="F687" s="214" t="s">
        <v>176</v>
      </c>
      <c r="G687" s="216"/>
      <c r="H687" s="14"/>
      <c r="I687" s="217">
        <v>450.08</v>
      </c>
      <c r="J687" s="59" t="str">
        <f>IF(ISBLANK(I687)," ",IF(ISTEXT(I687)," ",IF(I687&lt;=[1]Нормативы!$H$170,"КМС",IF(I687&lt;=[1]Нормативы!$H$171,"КМС",IF(I687&lt;=[1]Нормативы!$L$172,"КМС",IF(I687&lt;=[1]Нормативы!$L$173,"I",IF(I687&lt;=[1]Нормативы!$L$174,"II",IF(I687&lt;=[1]Нормативы!$L$175,"III",IF(I687&lt;=[1]Нормативы!$L$176,"I юн",IF(I687&lt;=[1]Нормативы!$L$177,"II юн",IF(I687&lt;=[1]Нормативы!$L$178,"III юн","б/р")))))))))))</f>
        <v>I юн</v>
      </c>
      <c r="K687" s="14"/>
      <c r="L687" s="228"/>
      <c r="N687" s="230"/>
      <c r="O687" s="230"/>
      <c r="P687" s="230"/>
      <c r="Q687" s="230"/>
      <c r="R687" s="230"/>
      <c r="S687" s="230"/>
      <c r="T687" s="230"/>
    </row>
    <row r="688" spans="1:20" s="229" customFormat="1" ht="14.5" customHeight="1" x14ac:dyDescent="0.3">
      <c r="A688" s="14">
        <v>13</v>
      </c>
      <c r="B688" s="14" t="s">
        <v>38</v>
      </c>
      <c r="C688" s="214" t="s">
        <v>467</v>
      </c>
      <c r="D688" s="214"/>
      <c r="E688" s="215">
        <v>41200</v>
      </c>
      <c r="F688" s="214" t="s">
        <v>245</v>
      </c>
      <c r="G688" s="216"/>
      <c r="H688" s="14"/>
      <c r="I688" s="217">
        <v>459.14</v>
      </c>
      <c r="J688" s="59" t="str">
        <f>IF(ISBLANK(I688)," ",IF(ISTEXT(I688)," ",IF(I688&lt;=[1]Нормативы!$H$170,"КМС",IF(I688&lt;=[1]Нормативы!$H$171,"КМС",IF(I688&lt;=[1]Нормативы!$L$172,"КМС",IF(I688&lt;=[1]Нормативы!$L$173,"I",IF(I688&lt;=[1]Нормативы!$L$174,"II",IF(I688&lt;=[1]Нормативы!$L$175,"III",IF(I688&lt;=[1]Нормативы!$L$176,"I юн",IF(I688&lt;=[1]Нормативы!$L$177,"II юн",IF(I688&lt;=[1]Нормативы!$L$178,"III юн","б/р")))))))))))</f>
        <v>I юн</v>
      </c>
      <c r="K688" s="14"/>
      <c r="L688" s="228"/>
      <c r="N688" s="230"/>
      <c r="O688" s="230"/>
      <c r="P688" s="230"/>
      <c r="Q688" s="230"/>
      <c r="R688" s="230"/>
      <c r="S688" s="230"/>
      <c r="T688" s="230"/>
    </row>
    <row r="689" spans="1:20" s="229" customFormat="1" ht="14.5" customHeight="1" x14ac:dyDescent="0.3">
      <c r="A689" s="14">
        <v>14</v>
      </c>
      <c r="B689" s="14" t="s">
        <v>25</v>
      </c>
      <c r="C689" s="214" t="s">
        <v>423</v>
      </c>
      <c r="D689" s="214"/>
      <c r="E689" s="215">
        <v>40874</v>
      </c>
      <c r="F689" s="214" t="s">
        <v>176</v>
      </c>
      <c r="G689" s="216"/>
      <c r="H689" s="14"/>
      <c r="I689" s="217">
        <v>507.98</v>
      </c>
      <c r="J689" s="59" t="str">
        <f>IF(ISBLANK(I689)," ",IF(ISTEXT(I689)," ",IF(I689&lt;=[1]Нормативы!$H$170,"КМС",IF(I689&lt;=[1]Нормативы!$H$171,"КМС",IF(I689&lt;=[1]Нормативы!$L$172,"КМС",IF(I689&lt;=[1]Нормативы!$L$173,"I",IF(I689&lt;=[1]Нормативы!$L$174,"II",IF(I689&lt;=[1]Нормативы!$L$175,"III",IF(I689&lt;=[1]Нормативы!$L$176,"I юн",IF(I689&lt;=[1]Нормативы!$L$177,"II юн",IF(I689&lt;=[1]Нормативы!$L$178,"III юн","б/р")))))))))))</f>
        <v>II юн</v>
      </c>
      <c r="K689" s="14"/>
      <c r="L689" s="228"/>
      <c r="M689" s="222"/>
      <c r="N689" s="230"/>
      <c r="O689" s="230"/>
      <c r="P689" s="230"/>
      <c r="Q689" s="230"/>
      <c r="R689" s="230"/>
      <c r="S689" s="230"/>
      <c r="T689" s="230"/>
    </row>
    <row r="690" spans="1:20" s="229" customFormat="1" ht="14.5" customHeight="1" x14ac:dyDescent="0.3">
      <c r="A690" s="14"/>
      <c r="B690" s="14"/>
      <c r="C690" s="214"/>
      <c r="D690" s="214"/>
      <c r="E690" s="215"/>
      <c r="F690" s="214"/>
      <c r="G690" s="216"/>
      <c r="H690" s="14"/>
      <c r="I690" s="217"/>
      <c r="J690" s="59"/>
      <c r="K690" s="14"/>
      <c r="L690" s="228"/>
      <c r="M690" s="222"/>
      <c r="N690" s="230"/>
      <c r="O690" s="230"/>
      <c r="P690" s="230"/>
      <c r="Q690" s="230"/>
      <c r="R690" s="230"/>
      <c r="S690" s="230"/>
      <c r="T690" s="230"/>
    </row>
    <row r="691" spans="1:20" s="229" customFormat="1" ht="14.5" customHeight="1" x14ac:dyDescent="0.3">
      <c r="A691" s="221" t="s">
        <v>214</v>
      </c>
      <c r="B691" s="14"/>
      <c r="C691" s="214"/>
      <c r="D691" s="214"/>
      <c r="E691" s="215"/>
      <c r="F691" s="214"/>
      <c r="G691" s="216"/>
      <c r="H691" s="14"/>
      <c r="I691" s="217"/>
      <c r="J691" s="59" t="str">
        <f>IF(ISBLANK(I691)," ",IF(ISTEXT(I691)," ",IF(I691&lt;=[1]Нормативы!$H$170,"КМС",IF(I691&lt;=[1]Нормативы!$H$171,"КМС",IF(I691&lt;=[1]Нормативы!$L$172,"КМС",IF(I691&lt;=[1]Нормативы!$L$173,"I",IF(I691&lt;=[1]Нормативы!$L$174,"II",IF(I691&lt;=[1]Нормативы!$L$175,"III",IF(I691&lt;=[1]Нормативы!$L$176,"I юн",IF(I691&lt;=[1]Нормативы!$L$177,"II юн",IF(I691&lt;=[1]Нормативы!$L$178,"III юн","б/р")))))))))))</f>
        <v xml:space="preserve"> </v>
      </c>
      <c r="K691" s="14"/>
      <c r="L691" s="228"/>
      <c r="M691" s="222"/>
      <c r="N691" s="230"/>
      <c r="O691" s="230"/>
      <c r="P691" s="230"/>
      <c r="Q691" s="230"/>
      <c r="R691" s="230"/>
      <c r="S691" s="230"/>
      <c r="T691" s="230"/>
    </row>
    <row r="692" spans="1:20" s="229" customFormat="1" ht="14.5" customHeight="1" x14ac:dyDescent="0.3">
      <c r="A692" s="14">
        <v>1</v>
      </c>
      <c r="B692" s="14" t="s">
        <v>24</v>
      </c>
      <c r="C692" s="214" t="s">
        <v>469</v>
      </c>
      <c r="D692" s="214"/>
      <c r="E692" s="215">
        <v>41376</v>
      </c>
      <c r="F692" s="214" t="s">
        <v>245</v>
      </c>
      <c r="G692" s="216"/>
      <c r="H692" s="14"/>
      <c r="I692" s="217">
        <v>422.94</v>
      </c>
      <c r="J692" s="59" t="str">
        <f>IF(ISBLANK(I692)," ",IF(ISTEXT(I692)," ",IF(I692&lt;=[1]Нормативы!$H$170,"КМС",IF(I692&lt;=[1]Нормативы!$H$171,"КМС",IF(I692&lt;=[1]Нормативы!$L$172,"КМС",IF(I692&lt;=[1]Нормативы!$L$173,"I",IF(I692&lt;=[1]Нормативы!$L$174,"II",IF(I692&lt;=[1]Нормативы!$L$175,"III",IF(I692&lt;=[1]Нормативы!$L$176,"I юн",IF(I692&lt;=[1]Нормативы!$L$177,"II юн",IF(I692&lt;=[1]Нормативы!$L$178,"III юн","б/р")))))))))))</f>
        <v>II</v>
      </c>
      <c r="K692" s="14"/>
      <c r="L692" s="228"/>
      <c r="M692" s="222"/>
      <c r="N692" s="230"/>
      <c r="O692" s="230"/>
      <c r="P692" s="230"/>
      <c r="Q692" s="230"/>
      <c r="R692" s="230"/>
      <c r="S692" s="230"/>
      <c r="T692" s="230"/>
    </row>
    <row r="693" spans="1:20" s="229" customFormat="1" ht="14.5" customHeight="1" x14ac:dyDescent="0.3">
      <c r="A693" s="14">
        <v>2</v>
      </c>
      <c r="B693" s="14" t="s">
        <v>24</v>
      </c>
      <c r="C693" s="214" t="s">
        <v>410</v>
      </c>
      <c r="D693" s="214"/>
      <c r="E693" s="215">
        <v>41478</v>
      </c>
      <c r="F693" s="214" t="s">
        <v>193</v>
      </c>
      <c r="G693" s="216"/>
      <c r="H693" s="14"/>
      <c r="I693" s="217">
        <v>436.54</v>
      </c>
      <c r="J693" s="59" t="str">
        <f>IF(ISBLANK(I693)," ",IF(ISTEXT(I693)," ",IF(I693&lt;=[1]Нормативы!$H$170,"КМС",IF(I693&lt;=[1]Нормативы!$H$171,"КМС",IF(I693&lt;=[1]Нормативы!$L$172,"КМС",IF(I693&lt;=[1]Нормативы!$L$173,"I",IF(I693&lt;=[1]Нормативы!$L$174,"II",IF(I693&lt;=[1]Нормативы!$L$175,"III",IF(I693&lt;=[1]Нормативы!$L$176,"I юн",IF(I693&lt;=[1]Нормативы!$L$177,"II юн",IF(I693&lt;=[1]Нормативы!$L$178,"III юн","б/р")))))))))))</f>
        <v>III</v>
      </c>
      <c r="K693" s="14"/>
      <c r="L693" s="228"/>
      <c r="M693" s="222"/>
      <c r="N693" s="230"/>
      <c r="O693" s="230"/>
      <c r="P693" s="230"/>
      <c r="Q693" s="230"/>
      <c r="R693" s="230"/>
      <c r="S693" s="230"/>
      <c r="T693" s="230"/>
    </row>
    <row r="694" spans="1:20" s="229" customFormat="1" ht="14.5" customHeight="1" x14ac:dyDescent="0.3">
      <c r="A694" s="14">
        <v>3</v>
      </c>
      <c r="B694" s="14" t="s">
        <v>38</v>
      </c>
      <c r="C694" s="214" t="s">
        <v>414</v>
      </c>
      <c r="D694" s="214"/>
      <c r="E694" s="215">
        <v>41920</v>
      </c>
      <c r="F694" s="214" t="s">
        <v>193</v>
      </c>
      <c r="G694" s="216"/>
      <c r="H694" s="14"/>
      <c r="I694" s="217">
        <v>442.28</v>
      </c>
      <c r="J694" s="59" t="str">
        <f>IF(ISBLANK(I694)," ",IF(ISTEXT(I694)," ",IF(I694&lt;=[1]Нормативы!$H$170,"КМС",IF(I694&lt;=[1]Нормативы!$H$171,"КМС",IF(I694&lt;=[1]Нормативы!$L$172,"КМС",IF(I694&lt;=[1]Нормативы!$L$173,"I",IF(I694&lt;=[1]Нормативы!$L$174,"II",IF(I694&lt;=[1]Нормативы!$L$175,"III",IF(I694&lt;=[1]Нормативы!$L$176,"I юн",IF(I694&lt;=[1]Нормативы!$L$177,"II юн",IF(I694&lt;=[1]Нормативы!$L$178,"III юн","б/р")))))))))))</f>
        <v>III</v>
      </c>
      <c r="K694" s="14"/>
      <c r="L694" s="228"/>
      <c r="M694" s="222"/>
      <c r="N694" s="230"/>
      <c r="O694" s="230"/>
      <c r="P694" s="230"/>
      <c r="Q694" s="230"/>
      <c r="R694" s="230"/>
      <c r="S694" s="230"/>
      <c r="T694" s="230"/>
    </row>
    <row r="695" spans="1:20" s="229" customFormat="1" ht="14.5" customHeight="1" x14ac:dyDescent="0.3">
      <c r="A695" s="14">
        <v>4</v>
      </c>
      <c r="B695" s="14" t="s">
        <v>38</v>
      </c>
      <c r="C695" s="214" t="s">
        <v>265</v>
      </c>
      <c r="D695" s="214"/>
      <c r="E695" s="215">
        <v>41695</v>
      </c>
      <c r="F695" s="214" t="s">
        <v>172</v>
      </c>
      <c r="G695" s="216"/>
      <c r="H695" s="14"/>
      <c r="I695" s="217">
        <v>457.21</v>
      </c>
      <c r="J695" s="59" t="str">
        <f>IF(ISBLANK(I695)," ",IF(ISTEXT(I695)," ",IF(I695&lt;=[1]Нормативы!$H$170,"КМС",IF(I695&lt;=[1]Нормативы!$H$171,"КМС",IF(I695&lt;=[1]Нормативы!$L$172,"КМС",IF(I695&lt;=[1]Нормативы!$L$173,"I",IF(I695&lt;=[1]Нормативы!$L$174,"II",IF(I695&lt;=[1]Нормативы!$L$175,"III",IF(I695&lt;=[1]Нормативы!$L$176,"I юн",IF(I695&lt;=[1]Нормативы!$L$177,"II юн",IF(I695&lt;=[1]Нормативы!$L$178,"III юн","б/р")))))))))))</f>
        <v>I юн</v>
      </c>
      <c r="K695" s="14"/>
      <c r="L695" s="228"/>
      <c r="M695" s="222"/>
      <c r="N695" s="230"/>
      <c r="O695" s="230"/>
      <c r="P695" s="230"/>
      <c r="Q695" s="230"/>
      <c r="R695" s="230"/>
      <c r="S695" s="230"/>
      <c r="T695" s="230"/>
    </row>
    <row r="696" spans="1:20" s="229" customFormat="1" ht="14.5" customHeight="1" x14ac:dyDescent="0.3">
      <c r="A696" s="14">
        <v>5</v>
      </c>
      <c r="B696" s="14" t="s">
        <v>38</v>
      </c>
      <c r="C696" s="214" t="s">
        <v>416</v>
      </c>
      <c r="D696" s="214"/>
      <c r="E696" s="215">
        <v>41562</v>
      </c>
      <c r="F696" s="214" t="s">
        <v>176</v>
      </c>
      <c r="G696" s="216"/>
      <c r="H696" s="14"/>
      <c r="I696" s="217">
        <v>506.8</v>
      </c>
      <c r="J696" s="59" t="str">
        <f>IF(ISBLANK(I696)," ",IF(ISTEXT(I696)," ",IF(I696&lt;=[1]Нормативы!$H$170,"КМС",IF(I696&lt;=[1]Нормативы!$H$171,"КМС",IF(I696&lt;=[1]Нормативы!$L$172,"КМС",IF(I696&lt;=[1]Нормативы!$L$173,"I",IF(I696&lt;=[1]Нормативы!$L$174,"II",IF(I696&lt;=[1]Нормативы!$L$175,"III",IF(I696&lt;=[1]Нормативы!$L$176,"I юн",IF(I696&lt;=[1]Нормативы!$L$177,"II юн",IF(I696&lt;=[1]Нормативы!$L$178,"III юн","б/р")))))))))))</f>
        <v>I юн</v>
      </c>
      <c r="K696" s="14"/>
      <c r="L696" s="228"/>
      <c r="M696" s="230"/>
      <c r="N696" s="230"/>
      <c r="O696" s="230"/>
      <c r="P696" s="230"/>
      <c r="Q696" s="230"/>
      <c r="R696" s="230"/>
      <c r="S696" s="230"/>
      <c r="T696" s="230"/>
    </row>
    <row r="697" spans="1:20" s="229" customFormat="1" ht="14.5" customHeight="1" x14ac:dyDescent="0.3">
      <c r="A697" s="14">
        <v>6</v>
      </c>
      <c r="B697" s="14" t="s">
        <v>38</v>
      </c>
      <c r="C697" s="214" t="s">
        <v>272</v>
      </c>
      <c r="D697" s="214"/>
      <c r="E697" s="215">
        <v>41926</v>
      </c>
      <c r="F697" s="214" t="s">
        <v>172</v>
      </c>
      <c r="G697" s="216"/>
      <c r="H697" s="14"/>
      <c r="I697" s="217">
        <v>512.95000000000005</v>
      </c>
      <c r="J697" s="59" t="str">
        <f>IF(ISBLANK(I697)," ",IF(ISTEXT(I697)," ",IF(I697&lt;=[1]Нормативы!$H$170,"КМС",IF(I697&lt;=[1]Нормативы!$H$171,"КМС",IF(I697&lt;=[1]Нормативы!$L$172,"КМС",IF(I697&lt;=[1]Нормативы!$L$173,"I",IF(I697&lt;=[1]Нормативы!$L$174,"II",IF(I697&lt;=[1]Нормативы!$L$175,"III",IF(I697&lt;=[1]Нормативы!$L$176,"I юн",IF(I697&lt;=[1]Нормативы!$L$177,"II юн",IF(I697&lt;=[1]Нормативы!$L$178,"III юн","б/р")))))))))))</f>
        <v>II юн</v>
      </c>
      <c r="K697" s="14"/>
      <c r="L697" s="228"/>
      <c r="M697" s="230"/>
      <c r="N697" s="230"/>
      <c r="O697" s="230"/>
      <c r="P697" s="230"/>
      <c r="Q697" s="230"/>
      <c r="R697" s="230"/>
      <c r="S697" s="230"/>
      <c r="T697" s="230"/>
    </row>
    <row r="698" spans="1:20" s="229" customFormat="1" ht="14.5" customHeight="1" x14ac:dyDescent="0.3">
      <c r="A698" s="14">
        <v>7</v>
      </c>
      <c r="B698" s="14" t="s">
        <v>22</v>
      </c>
      <c r="C698" s="214" t="s">
        <v>471</v>
      </c>
      <c r="D698" s="214"/>
      <c r="E698" s="215">
        <v>41626</v>
      </c>
      <c r="F698" s="214" t="s">
        <v>245</v>
      </c>
      <c r="G698" s="216"/>
      <c r="H698" s="14"/>
      <c r="I698" s="217">
        <v>523.54999999999995</v>
      </c>
      <c r="J698" s="59" t="str">
        <f>IF(ISBLANK(I698)," ",IF(ISTEXT(I698)," ",IF(I698&lt;=[1]Нормативы!$H$170,"КМС",IF(I698&lt;=[1]Нормативы!$H$171,"КМС",IF(I698&lt;=[1]Нормативы!$L$172,"КМС",IF(I698&lt;=[1]Нормативы!$L$173,"I",IF(I698&lt;=[1]Нормативы!$L$174,"II",IF(I698&lt;=[1]Нормативы!$L$175,"III",IF(I698&lt;=[1]Нормативы!$L$176,"I юн",IF(I698&lt;=[1]Нормативы!$L$177,"II юн",IF(I698&lt;=[1]Нормативы!$L$178,"III юн","б/р")))))))))))</f>
        <v>II юн</v>
      </c>
      <c r="K698" s="14"/>
      <c r="L698" s="228"/>
      <c r="M698" s="230"/>
      <c r="N698" s="230"/>
      <c r="O698" s="230"/>
      <c r="P698" s="230"/>
      <c r="Q698" s="230"/>
      <c r="R698" s="230"/>
      <c r="S698" s="230"/>
      <c r="T698" s="230"/>
    </row>
    <row r="699" spans="1:20" s="229" customFormat="1" ht="14.5" customHeight="1" x14ac:dyDescent="0.3">
      <c r="A699" s="14">
        <v>8</v>
      </c>
      <c r="B699" s="14" t="s">
        <v>22</v>
      </c>
      <c r="C699" s="214" t="s">
        <v>264</v>
      </c>
      <c r="D699" s="214"/>
      <c r="E699" s="215">
        <v>41681</v>
      </c>
      <c r="F699" s="214" t="s">
        <v>172</v>
      </c>
      <c r="G699" s="216"/>
      <c r="H699" s="14"/>
      <c r="I699" s="217">
        <v>530.36</v>
      </c>
      <c r="J699" s="59" t="str">
        <f>IF(ISBLANK(I699)," ",IF(ISTEXT(I699)," ",IF(I699&lt;=[1]Нормативы!$H$170,"КМС",IF(I699&lt;=[1]Нормативы!$H$171,"КМС",IF(I699&lt;=[1]Нормативы!$L$172,"КМС",IF(I699&lt;=[1]Нормативы!$L$173,"I",IF(I699&lt;=[1]Нормативы!$L$174,"II",IF(I699&lt;=[1]Нормативы!$L$175,"III",IF(I699&lt;=[1]Нормативы!$L$176,"I юн",IF(I699&lt;=[1]Нормативы!$L$177,"II юн",IF(I699&lt;=[1]Нормативы!$L$178,"III юн","б/р")))))))))))</f>
        <v>II юн</v>
      </c>
      <c r="K699" s="14"/>
      <c r="L699" s="228"/>
      <c r="M699" s="230"/>
      <c r="N699" s="230"/>
      <c r="O699" s="230"/>
      <c r="P699" s="230"/>
      <c r="Q699" s="230"/>
      <c r="R699" s="230"/>
      <c r="S699" s="230"/>
      <c r="T699" s="230"/>
    </row>
    <row r="700" spans="1:20" s="229" customFormat="1" ht="14.5" customHeight="1" x14ac:dyDescent="0.3">
      <c r="A700" s="14">
        <v>9</v>
      </c>
      <c r="B700" s="14" t="s">
        <v>26</v>
      </c>
      <c r="C700" s="214" t="s">
        <v>339</v>
      </c>
      <c r="D700" s="214"/>
      <c r="E700" s="215">
        <v>41999</v>
      </c>
      <c r="F700" s="214" t="s">
        <v>198</v>
      </c>
      <c r="G700" s="216"/>
      <c r="H700" s="14"/>
      <c r="I700" s="217">
        <v>548.27</v>
      </c>
      <c r="J700" s="59" t="str">
        <f>IF(ISBLANK(I700)," ",IF(ISTEXT(I700)," ",IF(I700&lt;=[1]Нормативы!$H$170,"КМС",IF(I700&lt;=[1]Нормативы!$H$171,"КМС",IF(I700&lt;=[1]Нормативы!$L$172,"КМС",IF(I700&lt;=[1]Нормативы!$L$173,"I",IF(I700&lt;=[1]Нормативы!$L$174,"II",IF(I700&lt;=[1]Нормативы!$L$175,"III",IF(I700&lt;=[1]Нормативы!$L$176,"I юн",IF(I700&lt;=[1]Нормативы!$L$177,"II юн",IF(I700&lt;=[1]Нормативы!$L$178,"III юн","б/р")))))))))))</f>
        <v>III юн</v>
      </c>
      <c r="K700" s="14"/>
      <c r="L700" s="228"/>
      <c r="M700" s="230"/>
      <c r="N700" s="230"/>
      <c r="O700" s="230"/>
      <c r="P700" s="230"/>
      <c r="Q700" s="230"/>
      <c r="R700" s="230"/>
      <c r="S700" s="230"/>
      <c r="T700" s="230"/>
    </row>
    <row r="701" spans="1:20" s="54" customFormat="1" x14ac:dyDescent="0.35">
      <c r="A701" s="124"/>
      <c r="I701" s="117"/>
    </row>
    <row r="702" spans="1:20" s="54" customFormat="1" x14ac:dyDescent="0.35">
      <c r="A702" s="124"/>
      <c r="I702" s="117"/>
    </row>
    <row r="703" spans="1:20" s="54" customFormat="1" x14ac:dyDescent="0.35">
      <c r="A703" s="124"/>
      <c r="I703" s="117"/>
    </row>
  </sheetData>
  <mergeCells count="36">
    <mergeCell ref="J291:J292"/>
    <mergeCell ref="K291:K292"/>
    <mergeCell ref="A291:A292"/>
    <mergeCell ref="B291:B292"/>
    <mergeCell ref="C291:D292"/>
    <mergeCell ref="E291:E292"/>
    <mergeCell ref="F291:G292"/>
    <mergeCell ref="H291:I291"/>
    <mergeCell ref="A285:K285"/>
    <mergeCell ref="A286:K286"/>
    <mergeCell ref="A287:K287"/>
    <mergeCell ref="G288:K288"/>
    <mergeCell ref="A289:K289"/>
    <mergeCell ref="A290:K290"/>
    <mergeCell ref="A91:K91"/>
    <mergeCell ref="A92:K92"/>
    <mergeCell ref="A93:K93"/>
    <mergeCell ref="G94:K94"/>
    <mergeCell ref="A95:K95"/>
    <mergeCell ref="C96:D96"/>
    <mergeCell ref="F96:H96"/>
    <mergeCell ref="I96:J96"/>
    <mergeCell ref="A50:K50"/>
    <mergeCell ref="A51:K51"/>
    <mergeCell ref="A52:K52"/>
    <mergeCell ref="G53:K53"/>
    <mergeCell ref="A54:K54"/>
    <mergeCell ref="B55:C55"/>
    <mergeCell ref="D55:E55"/>
    <mergeCell ref="G55:H55"/>
    <mergeCell ref="A1:K1"/>
    <mergeCell ref="A2:K2"/>
    <mergeCell ref="A21:K21"/>
    <mergeCell ref="A22:K22"/>
    <mergeCell ref="A48:K48"/>
    <mergeCell ref="A49:K49"/>
  </mergeCells>
  <conditionalFormatting sqref="B298:B299 B319:B320 B322 B325 B316 B399:B400 B394:B395 B403:B404 B301:B304">
    <cfRule type="expression" dxfId="34" priority="29">
      <formula>IF($B298&lt;&gt;#REF!,IF($B298&lt;&gt;#REF!,IF($B298&lt;&gt;#REF!,IF($B298&lt;&gt;#REF!,IF($B298&lt;&gt;#REF!,IF($B298&lt;&gt;#REF!,IF($B298&lt;&gt;#REF!,IF($B298&lt;&gt;#REF!,IF($B298&lt;&gt;#REF!,IF($B298&lt;&gt;#REF!,IF($B298&lt;&gt;#REF!,TRUE)))))))))))</formula>
    </cfRule>
  </conditionalFormatting>
  <conditionalFormatting sqref="B317 B321 B350:B351 B373 B375 B410 B305:B315 B412:B414">
    <cfRule type="expression" dxfId="33" priority="27">
      <formula>IF($B305&lt;&gt;#REF!,IF($B305&lt;&gt;#REF!,IF($B305&lt;&gt;#REF!,IF($B305&lt;&gt;#REF!,IF($B305&lt;&gt;#REF!,IF($B305&lt;&gt;#REF!,IF($B305&lt;&gt;#REF!,IF($B305&lt;&gt;#REF!,IF($B305&lt;&gt;#REF!,IF($B305&lt;&gt;#REF!,IF($B305&lt;&gt;#REF!,TRUE)))))))))))</formula>
    </cfRule>
  </conditionalFormatting>
  <conditionalFormatting sqref="B317 B321 B350:B351 B373 B375 B410 B305:B315 B412:B414">
    <cfRule type="expression" dxfId="32" priority="28">
      <formula>IF($B305&lt;&gt;#REF!,IF($B305&lt;&gt;#REF!,IF($B305&lt;&gt;#REF!,IF($B305&lt;&gt;#REF!,IF($B305&lt;&gt;#REF!,IF($B305&lt;&gt;#REF!,IF($B305&lt;&gt;#REF!,IF($B305&lt;&gt;#REF!,IF($B305&lt;&gt;#REF!,IF($B305&lt;&gt;#REF!,IF($B305&lt;&gt;#REF!,TRUE)))))))))))</formula>
    </cfRule>
  </conditionalFormatting>
  <conditionalFormatting sqref="E389">
    <cfRule type="expression" dxfId="31" priority="26" stopIfTrue="1">
      <formula>IF(ISBLANK(E389),FALSE,IF(IF(ISNUMBER(#REF!),IF(YEAR(TODAY())-#REF!&lt;=E389,FALSE,TRUE),FALSE),TRUE,IF(ISNUMBER(#REF!),IF(YEAR(TODAY())-#REF!&lt;E389,TRUE,FALSE),FALSE)))</formula>
    </cfRule>
  </conditionalFormatting>
  <conditionalFormatting sqref="B363:B365 B389:B391 B352:B361 B329:B348 B405:B409">
    <cfRule type="expression" dxfId="30" priority="25">
      <formula>IF($B329&lt;&gt;#REF!,IF($B329&lt;&gt;#REF!,IF($B329&lt;&gt;#REF!,IF($B329&lt;&gt;#REF!,IF($B329&lt;&gt;#REF!,IF($B329&lt;&gt;#REF!,IF($B329&lt;&gt;#REF!,IF($B329&lt;&gt;#REF!,IF($B329&lt;&gt;#REF!,IF($B329&lt;&gt;#REF!,IF($B329&lt;&gt;#REF!,TRUE)))))))))))</formula>
    </cfRule>
  </conditionalFormatting>
  <conditionalFormatting sqref="B318 B323:B324 B374 B371:B372 B377:B384 B387 B411 B419:B422 B326:B328">
    <cfRule type="expression" dxfId="29" priority="30">
      <formula>IF($B318&lt;&gt;#REF!,IF($B318&lt;&gt;#REF!,IF($B318&lt;&gt;#REF!,IF($B318&lt;&gt;#REF!,IF($B318&lt;&gt;#REF!,IF($B318&lt;&gt;#REF!,IF($B318&lt;&gt;#REF!,IF($B318&lt;&gt;#REF!,IF($B318&lt;&gt;#REF!,IF($B318&lt;&gt;#REF!,IF($B318&lt;&gt;#REF!,TRUE)))))))))))</formula>
    </cfRule>
  </conditionalFormatting>
  <conditionalFormatting sqref="B376">
    <cfRule type="expression" dxfId="28" priority="24">
      <formula>IF($B376&lt;&gt;#REF!,IF($B376&lt;&gt;#REF!,IF($B376&lt;&gt;#REF!,IF($B376&lt;&gt;#REF!,IF($B376&lt;&gt;#REF!,IF($B376&lt;&gt;#REF!,IF($B376&lt;&gt;#REF!,IF($B376&lt;&gt;#REF!,IF($B376&lt;&gt;#REF!,IF($B376&lt;&gt;#REF!,IF($B376&lt;&gt;#REF!,TRUE)))))))))))</formula>
    </cfRule>
  </conditionalFormatting>
  <conditionalFormatting sqref="B362">
    <cfRule type="expression" dxfId="27" priority="23">
      <formula>IF($B362&lt;&gt;#REF!,IF($B362&lt;&gt;#REF!,IF($B362&lt;&gt;#REF!,IF($B362&lt;&gt;#REF!,IF($B362&lt;&gt;#REF!,IF($B362&lt;&gt;#REF!,IF($B362&lt;&gt;#REF!,IF($B362&lt;&gt;#REF!,IF($B362&lt;&gt;#REF!,IF($B362&lt;&gt;#REF!,IF($B362&lt;&gt;#REF!,TRUE)))))))))))</formula>
    </cfRule>
  </conditionalFormatting>
  <conditionalFormatting sqref="B401">
    <cfRule type="expression" dxfId="26" priority="22">
      <formula>IF($B401&lt;&gt;#REF!,IF($B401&lt;&gt;#REF!,IF($B401&lt;&gt;#REF!,IF($B401&lt;&gt;#REF!,IF($B401&lt;&gt;#REF!,IF($B401&lt;&gt;#REF!,IF($B401&lt;&gt;#REF!,IF($B401&lt;&gt;#REF!,IF($B401&lt;&gt;#REF!,IF($B401&lt;&gt;#REF!,IF($B401&lt;&gt;#REF!,TRUE)))))))))))</formula>
    </cfRule>
  </conditionalFormatting>
  <conditionalFormatting sqref="B433:B436 B448 B457:B458 B481 B484 B493 B500:B501 B442:B444">
    <cfRule type="expression" dxfId="25" priority="20">
      <formula>IF($B433&lt;&gt;#REF!,IF($B433&lt;&gt;#REF!,IF($B433&lt;&gt;#REF!,IF($B433&lt;&gt;#REF!,IF($B433&lt;&gt;#REF!,IF($B433&lt;&gt;#REF!,IF($B433&lt;&gt;#REF!,IF($B433&lt;&gt;#REF!,IF($B433&lt;&gt;#REF!,IF($B433&lt;&gt;#REF!,IF($B433&lt;&gt;#REF!,TRUE)))))))))))</formula>
    </cfRule>
  </conditionalFormatting>
  <conditionalFormatting sqref="B433:B436 B441 B459:B469 B485:B487 B634:B636">
    <cfRule type="expression" dxfId="24" priority="19">
      <formula>IF($B433&lt;&gt;#REF!,IF($B433&lt;&gt;#REF!,IF($B433&lt;&gt;#REF!,IF($B433&lt;&gt;#REF!,IF($B433&lt;&gt;#REF!,IF($B433&lt;&gt;#REF!,IF($B433&lt;&gt;#REF!,IF($B433&lt;&gt;#REF!,IF($B433&lt;&gt;#REF!,IF($B433&lt;&gt;#REF!,IF($B433&lt;&gt;#REF!,TRUE)))))))))))</formula>
    </cfRule>
  </conditionalFormatting>
  <conditionalFormatting sqref="B479:B480 B502 B437:B438 B440 B431:B432 B482 B495:B497">
    <cfRule type="expression" dxfId="23" priority="17">
      <formula>IF($B431&lt;&gt;#REF!,IF($B431&lt;&gt;#REF!,IF($B431&lt;&gt;#REF!,IF($B431&lt;&gt;#REF!,IF($B431&lt;&gt;#REF!,IF($B431&lt;&gt;#REF!,IF($B431&lt;&gt;#REF!,IF($B431&lt;&gt;#REF!,IF($B431&lt;&gt;#REF!,IF($B431&lt;&gt;#REF!,IF($B431&lt;&gt;#REF!,TRUE)))))))))))</formula>
    </cfRule>
  </conditionalFormatting>
  <conditionalFormatting sqref="B479:B480 B502 B437:B438 B440 B482 B495:B497">
    <cfRule type="expression" dxfId="22" priority="18">
      <formula>IF($B437&lt;&gt;#REF!,IF($B437&lt;&gt;#REF!,IF($B437&lt;&gt;#REF!,IF($B437&lt;&gt;#REF!,IF($B437&lt;&gt;#REF!,IF($B437&lt;&gt;#REF!,IF($B437&lt;&gt;#REF!,IF($B437&lt;&gt;#REF!,IF($B437&lt;&gt;#REF!,IF($B437&lt;&gt;#REF!,IF($B437&lt;&gt;#REF!,TRUE)))))))))))</formula>
    </cfRule>
  </conditionalFormatting>
  <conditionalFormatting sqref="B423:B424 B470:B472 B474:B478 B490:B492">
    <cfRule type="expression" dxfId="21" priority="16">
      <formula>IF($B423&lt;&gt;#REF!,IF($B423&lt;&gt;#REF!,IF($B423&lt;&gt;#REF!,IF($B423&lt;&gt;#REF!,IF($B423&lt;&gt;#REF!,IF($B423&lt;&gt;#REF!,IF($B423&lt;&gt;#REF!,IF($B423&lt;&gt;#REF!,IF($B423&lt;&gt;#REF!,IF($B423&lt;&gt;#REF!,IF($B423&lt;&gt;#REF!,TRUE)))))))))))</formula>
    </cfRule>
  </conditionalFormatting>
  <conditionalFormatting sqref="B427 B431:B432">
    <cfRule type="expression" dxfId="20" priority="15">
      <formula>IF($B427&lt;&gt;#REF!,IF($B427&lt;&gt;#REF!,IF($B427&lt;&gt;#REF!,IF($B427&lt;&gt;#REF!,IF($B427&lt;&gt;#REF!,IF($B427&lt;&gt;#REF!,IF($B427&lt;&gt;#REF!,IF($B427&lt;&gt;#REF!,IF($B427&lt;&gt;#REF!,IF($B427&lt;&gt;#REF!,IF($B427&lt;&gt;#REF!,TRUE)))))))))))</formula>
    </cfRule>
  </conditionalFormatting>
  <conditionalFormatting sqref="B450:B456 B503:B505">
    <cfRule type="expression" dxfId="19" priority="21">
      <formula>IF($B450&lt;&gt;#REF!,IF($B450&lt;&gt;#REF!,IF($B450&lt;&gt;#REF!,IF($B450&lt;&gt;#REF!,IF($B450&lt;&gt;#REF!,IF($B450&lt;&gt;#REF!,IF($B450&lt;&gt;#REF!,IF($B450&lt;&gt;#REF!,IF($B450&lt;&gt;#REF!,IF($B450&lt;&gt;#REF!,IF($B450&lt;&gt;#REF!,TRUE)))))))))))</formula>
    </cfRule>
  </conditionalFormatting>
  <conditionalFormatting sqref="B473 B658:B659">
    <cfRule type="expression" dxfId="18" priority="14">
      <formula>IF($B473&lt;&gt;#REF!,IF($B473&lt;&gt;#REF!,IF($B473&lt;&gt;$M$1,IF($B473&lt;&gt;#REF!,IF($B473&lt;&gt;#REF!,IF($B473&lt;&gt;#REF!,IF($B473&lt;&gt;#REF!,IF($B473&lt;&gt;#REF!,IF($B473&lt;&gt;#REF!,IF($B473&lt;&gt;#REF!,IF($B473&lt;&gt;#REF!,TRUE)))))))))))</formula>
    </cfRule>
  </conditionalFormatting>
  <conditionalFormatting sqref="B483">
    <cfRule type="expression" dxfId="17" priority="12">
      <formula>IF($B483&lt;&gt;#REF!,IF($B483&lt;&gt;#REF!,IF($B483&lt;&gt;#REF!,IF($B483&lt;&gt;#REF!,IF($B483&lt;&gt;#REF!,IF($B483&lt;&gt;#REF!,IF($B483&lt;&gt;#REF!,IF($B483&lt;&gt;#REF!,IF($B483&lt;&gt;#REF!,IF($B483&lt;&gt;#REF!,IF($B483&lt;&gt;#REF!,TRUE)))))))))))</formula>
    </cfRule>
  </conditionalFormatting>
  <conditionalFormatting sqref="B483">
    <cfRule type="expression" dxfId="16" priority="13">
      <formula>IF($B483&lt;&gt;#REF!,IF($B483&lt;&gt;#REF!,IF($B483&lt;&gt;#REF!,IF($B483&lt;&gt;#REF!,IF($B483&lt;&gt;#REF!,IF($B483&lt;&gt;#REF!,IF($B483&lt;&gt;#REF!,IF($B483&lt;&gt;#REF!,IF($B483&lt;&gt;#REF!,IF($B483&lt;&gt;#REF!,IF($B483&lt;&gt;#REF!,TRUE)))))))))))</formula>
    </cfRule>
  </conditionalFormatting>
  <conditionalFormatting sqref="B488:B489">
    <cfRule type="expression" dxfId="15" priority="11">
      <formula>IF($B488&lt;&gt;#REF!,IF($B488&lt;&gt;#REF!,IF($B488&lt;&gt;#REF!,IF($B488&lt;&gt;#REF!,IF($B488&lt;&gt;#REF!,IF($B488&lt;&gt;#REF!,IF($B488&lt;&gt;#REF!,IF($B488&lt;&gt;#REF!,IF($B488&lt;&gt;#REF!,IF($B488&lt;&gt;#REF!,IF($B488&lt;&gt;#REF!,TRUE)))))))))))</formula>
    </cfRule>
  </conditionalFormatting>
  <conditionalFormatting sqref="B572:B578 B647:B653 B620:B630 B580:B618">
    <cfRule type="expression" dxfId="14" priority="9">
      <formula>IF($B572&lt;&gt;#REF!,IF($B572&lt;&gt;#REF!,IF($B572&lt;&gt;#REF!,IF($B572&lt;&gt;#REF!,IF($B572&lt;&gt;#REF!,IF($B572&lt;&gt;#REF!,IF($B572&lt;&gt;#REF!,IF($B572&lt;&gt;#REF!,IF($B572&lt;&gt;#REF!,IF($B572&lt;&gt;#REF!,IF($B572&lt;&gt;#REF!,TRUE)))))))))))</formula>
    </cfRule>
  </conditionalFormatting>
  <conditionalFormatting sqref="B619">
    <cfRule type="expression" dxfId="13" priority="8">
      <formula>IF($B619&lt;&gt;#REF!,IF($B619&lt;&gt;#REF!,IF($B619&lt;&gt;#REF!,IF($B619&lt;&gt;#REF!,IF($B619&lt;&gt;#REF!,IF($B619&lt;&gt;#REF!,IF($B619&lt;&gt;#REF!,IF($B619&lt;&gt;#REF!,IF($B619&lt;&gt;#REF!,IF($B619&lt;&gt;#REF!,IF($B619&lt;&gt;#REF!,TRUE)))))))))))</formula>
    </cfRule>
  </conditionalFormatting>
  <conditionalFormatting sqref="B632 B638:B645">
    <cfRule type="expression" dxfId="12" priority="7">
      <formula>IF($B632&lt;&gt;#REF!,IF($B632&lt;&gt;#REF!,IF($B632&lt;&gt;#REF!,IF($B632&lt;&gt;#REF!,IF($B632&lt;&gt;#REF!,IF($B632&lt;&gt;#REF!,IF($B632&lt;&gt;#REF!,IF($B632&lt;&gt;#REF!,IF($B632&lt;&gt;#REF!,IF($B632&lt;&gt;#REF!,IF($B632&lt;&gt;#REF!,TRUE)))))))))))</formula>
    </cfRule>
  </conditionalFormatting>
  <conditionalFormatting sqref="B633">
    <cfRule type="expression" dxfId="11" priority="6">
      <formula>IF($B633&lt;&gt;#REF!,IF($B633&lt;&gt;#REF!,IF($B633&lt;&gt;#REF!,IF($B633&lt;&gt;#REF!,IF($B633&lt;&gt;#REF!,IF($B633&lt;&gt;#REF!,IF($B633&lt;&gt;#REF!,IF($B633&lt;&gt;#REF!,IF($B633&lt;&gt;#REF!,IF($B633&lt;&gt;#REF!,IF($B633&lt;&gt;#REF!,TRUE)))))))))))</formula>
    </cfRule>
  </conditionalFormatting>
  <conditionalFormatting sqref="B667 B671:B672">
    <cfRule type="expression" dxfId="10" priority="5">
      <formula>IF($B667&lt;&gt;#REF!,IF($B667&lt;&gt;#REF!,IF($B667&lt;&gt;#REF!,IF($B667&lt;&gt;#REF!,IF($B667&lt;&gt;#REF!,IF($B667&lt;&gt;#REF!,IF($B667&lt;&gt;#REF!,IF($B667&lt;&gt;#REF!,IF($B667&lt;&gt;#REF!,IF($B667&lt;&gt;#REF!,IF($B667&lt;&gt;#REF!,TRUE)))))))))))</formula>
    </cfRule>
  </conditionalFormatting>
  <conditionalFormatting sqref="B662:B664">
    <cfRule type="expression" dxfId="9" priority="4">
      <formula>IF($B662&lt;&gt;#REF!,IF($B662&lt;&gt;#REF!,IF($B662&lt;&gt;#REF!,IF($B662&lt;&gt;#REF!,IF($B662&lt;&gt;#REF!,IF($B662&lt;&gt;#REF!,IF($B662&lt;&gt;#REF!,IF($B662&lt;&gt;#REF!,IF($B662&lt;&gt;#REF!,IF($B662&lt;&gt;#REF!,IF($B662&lt;&gt;#REF!,TRUE)))))))))))</formula>
    </cfRule>
  </conditionalFormatting>
  <conditionalFormatting sqref="B699 B695 B675:B682 B689:B693">
    <cfRule type="expression" dxfId="8" priority="3">
      <formula>IF($B675&lt;&gt;#REF!,IF($B675&lt;&gt;#REF!,IF($B675&lt;&gt;#REF!,IF($B675&lt;&gt;#REF!,IF($B675&lt;&gt;#REF!,IF($B675&lt;&gt;#REF!,IF($B675&lt;&gt;#REF!,IF($B675&lt;&gt;#REF!,IF($B675&lt;&gt;#REF!,IF($B675&lt;&gt;#REF!,IF($B675&lt;&gt;#REF!,TRUE)))))))))))</formula>
    </cfRule>
  </conditionalFormatting>
  <conditionalFormatting sqref="B694">
    <cfRule type="expression" dxfId="7" priority="2">
      <formula>IF($B694&lt;&gt;#REF!,IF($B694&lt;&gt;#REF!,IF($B694&lt;&gt;#REF!,IF($B694&lt;&gt;#REF!,IF($B694&lt;&gt;#REF!,IF($B694&lt;&gt;#REF!,IF($B694&lt;&gt;#REF!,IF($B694&lt;&gt;#REF!,IF($B694&lt;&gt;#REF!,IF($B694&lt;&gt;#REF!,IF($B694&lt;&gt;#REF!,TRUE)))))))))))</formula>
    </cfRule>
  </conditionalFormatting>
  <conditionalFormatting sqref="B683:B688">
    <cfRule type="expression" dxfId="6" priority="1">
      <formula>IF($B683&lt;&gt;#REF!,IF($B683&lt;&gt;#REF!,IF($B683&lt;&gt;#REF!,IF($B683&lt;&gt;#REF!,IF($B683&lt;&gt;#REF!,IF($B683&lt;&gt;#REF!,IF($B683&lt;&gt;#REF!,IF($B683&lt;&gt;#REF!,IF($B683&lt;&gt;#REF!,IF($B683&lt;&gt;#REF!,IF($B683&lt;&gt;#REF!,TRUE)))))))))))</formula>
    </cfRule>
  </conditionalFormatting>
  <pageMargins left="0.55118110236220474" right="0.31496062992125984" top="0.35433070866141736" bottom="1.1811023622047245" header="0" footer="0.23622047244094491"/>
  <pageSetup paperSize="9" scale="98" orientation="portrait" r:id="rId1"/>
  <headerFooter differentFirst="1">
    <oddHeader>&amp;R&amp;"Times New Roman,курсив"&amp;8Стр. &amp;P из &amp;N</oddHeader>
    <oddFooter>&amp;L&amp;"Times New Roman,полужирный курсив"Главный судья соревнований, судья 2 категории
Главный секретарь соревнований, судья всероссийской категории&amp;R&amp;"Times New Roman,полужирный курсив"С.П. Симановская
Т.В. Лучискенс</oddFooter>
  </headerFooter>
  <rowBreaks count="3" manualBreakCount="3">
    <brk id="49" max="10" man="1"/>
    <brk id="90" max="10" man="1"/>
    <brk id="284" max="10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94AEF985-64E9-44B2-B79D-5EEEC3815E92}">
            <xm:f>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'!#REF!,TRUE)))))))))))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B563:B570 B543:B561</xm:sqref>
        </x14:conditionalFormatting>
        <x14:conditionalFormatting xmlns:xm="http://schemas.microsoft.com/office/excel/2006/main">
          <x14:cfRule type="expression" priority="31" id="{5955E95A-E2E5-4602-A1E2-3DBFB157C03A}">
            <xm:f>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'!#REF!,TRUE)))))))))))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B510:B511</xm:sqref>
        </x14:conditionalFormatting>
        <x14:conditionalFormatting xmlns:xm="http://schemas.microsoft.com/office/excel/2006/main">
          <x14:cfRule type="expression" priority="32" id="{2DE95902-AD73-4938-B39B-7E99380C6F24}">
            <xm:f>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'!#REF!,TRUE)))))))))))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B541:B542 B534:B536 B538:B539 B526:B532</xm:sqref>
        </x14:conditionalFormatting>
        <x14:conditionalFormatting xmlns:xm="http://schemas.microsoft.com/office/excel/2006/main">
          <x14:cfRule type="expression" priority="33" id="{9E85F5A7-AAAE-4DF9-9BE9-983AA1488886}">
            <xm:f>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'!#REF!,TRUE)))))))))))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B512:B523</xm:sqref>
        </x14:conditionalFormatting>
        <x14:conditionalFormatting xmlns:xm="http://schemas.microsoft.com/office/excel/2006/main">
          <x14:cfRule type="expression" priority="34" id="{9019DE71-3154-4D32-B03B-7EA31AE8E03E}">
            <xm:f>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'!#REF!,TRUE)))))))))))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B524:B525</xm:sqref>
        </x14:conditionalFormatting>
        <x14:conditionalFormatting xmlns:xm="http://schemas.microsoft.com/office/excel/2006/main">
          <x14:cfRule type="expression" priority="35" id="{36E75768-1A7C-4E4B-95F0-D162EED78B16}">
            <xm:f>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'!#REF!,IF('[СТАРТОВЫЙ ПРОТОКОЛ Первенство г. Ачинска апрель 2026.xlsx]ИТОГОВЫЙ сводный '!#REF!&lt;&gt;'[СТАРТОВЫЙ ПРОТОКОЛ Первенство г. Ачинска апрель 2026.xlsx]ИТОГОВЫЙ сводный '!#REF!,TRUE)))))))))))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B533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F5B21-6E14-4EE5-88C1-4A44B03B7EB2}">
  <dimension ref="A1:AA602"/>
  <sheetViews>
    <sheetView view="pageBreakPreview" zoomScaleNormal="120" zoomScaleSheetLayoutView="100" workbookViewId="0">
      <selection activeCell="K602" sqref="A1:K602"/>
    </sheetView>
  </sheetViews>
  <sheetFormatPr defaultRowHeight="14.5" x14ac:dyDescent="0.35"/>
  <cols>
    <col min="1" max="1" width="3" style="109" customWidth="1"/>
    <col min="2" max="2" width="6.54296875" style="121" customWidth="1"/>
    <col min="3" max="3" width="18.26953125" style="121" customWidth="1"/>
    <col min="4" max="4" width="8.1796875" style="121" customWidth="1"/>
    <col min="5" max="5" width="8.7265625" style="121" customWidth="1"/>
    <col min="6" max="6" width="15.6328125" style="121" customWidth="1"/>
    <col min="7" max="7" width="3.453125" style="121" customWidth="1"/>
    <col min="8" max="8" width="4.81640625" style="121" customWidth="1"/>
    <col min="9" max="9" width="9.26953125" style="38" customWidth="1"/>
    <col min="10" max="10" width="5.6328125" style="121" customWidth="1"/>
    <col min="11" max="11" width="3.54296875" style="121" customWidth="1"/>
    <col min="12" max="14" width="0.7265625" style="121" customWidth="1"/>
    <col min="15" max="16384" width="8.7265625" style="121"/>
  </cols>
  <sheetData>
    <row r="1" spans="1:11" s="54" customFormat="1" x14ac:dyDescent="0.35">
      <c r="A1" s="242" t="s">
        <v>180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 s="54" customFormat="1" x14ac:dyDescent="0.35">
      <c r="A2" s="50"/>
      <c r="B2" s="39"/>
      <c r="C2" s="126"/>
      <c r="D2" s="39"/>
      <c r="E2" s="50"/>
      <c r="F2" s="126"/>
      <c r="G2" s="39"/>
      <c r="H2" s="103"/>
      <c r="I2" s="103"/>
      <c r="J2" s="104"/>
      <c r="K2" s="49"/>
    </row>
    <row r="3" spans="1:11" s="54" customFormat="1" ht="12.75" customHeight="1" x14ac:dyDescent="0.35">
      <c r="A3" s="50"/>
      <c r="B3" s="39"/>
      <c r="C3" s="126"/>
      <c r="D3" s="39"/>
      <c r="E3" s="50"/>
      <c r="F3" s="126"/>
      <c r="G3" s="39"/>
      <c r="H3" s="103"/>
      <c r="I3" s="103"/>
      <c r="J3" s="104"/>
      <c r="K3" s="49"/>
    </row>
    <row r="4" spans="1:11" s="54" customFormat="1" ht="12.75" customHeight="1" x14ac:dyDescent="0.35">
      <c r="A4" s="50"/>
      <c r="B4" s="39"/>
      <c r="C4" s="126"/>
      <c r="D4" s="39"/>
      <c r="E4" s="50"/>
      <c r="F4" s="126"/>
      <c r="G4" s="39"/>
      <c r="H4" s="103"/>
      <c r="I4" s="103"/>
      <c r="J4" s="104"/>
      <c r="K4" s="49"/>
    </row>
    <row r="5" spans="1:11" s="54" customFormat="1" ht="12.75" customHeight="1" x14ac:dyDescent="0.35">
      <c r="A5" s="50"/>
      <c r="B5" s="39"/>
      <c r="C5" s="126"/>
      <c r="D5" s="39"/>
      <c r="E5" s="50"/>
      <c r="F5" s="126"/>
      <c r="G5" s="39"/>
      <c r="H5" s="103"/>
      <c r="I5" s="103"/>
      <c r="J5" s="104"/>
      <c r="K5" s="49"/>
    </row>
    <row r="6" spans="1:11" s="54" customFormat="1" ht="12.75" customHeight="1" x14ac:dyDescent="0.35">
      <c r="A6" s="50"/>
      <c r="B6" s="39"/>
      <c r="C6" s="126"/>
      <c r="D6" s="39"/>
      <c r="E6" s="50"/>
      <c r="F6" s="126"/>
      <c r="G6" s="39"/>
      <c r="H6" s="103"/>
      <c r="I6" s="103"/>
      <c r="J6" s="104"/>
      <c r="K6" s="49"/>
    </row>
    <row r="7" spans="1:11" s="54" customFormat="1" ht="12.75" customHeight="1" x14ac:dyDescent="0.35">
      <c r="A7" s="50"/>
      <c r="B7" s="39"/>
      <c r="C7" s="126"/>
      <c r="D7" s="39"/>
      <c r="E7" s="50"/>
      <c r="F7" s="126"/>
      <c r="G7" s="39"/>
      <c r="H7" s="103"/>
      <c r="I7" s="103"/>
      <c r="J7" s="104"/>
      <c r="K7" s="49"/>
    </row>
    <row r="8" spans="1:11" s="54" customFormat="1" ht="12.75" customHeight="1" x14ac:dyDescent="0.35">
      <c r="A8" s="50"/>
      <c r="B8" s="39"/>
      <c r="C8" s="126"/>
      <c r="D8" s="39"/>
      <c r="E8" s="50"/>
      <c r="F8" s="126"/>
      <c r="G8" s="39"/>
      <c r="H8" s="103"/>
      <c r="I8" s="103"/>
      <c r="J8" s="104"/>
      <c r="K8" s="49"/>
    </row>
    <row r="9" spans="1:11" s="54" customFormat="1" ht="12.75" customHeight="1" x14ac:dyDescent="0.35">
      <c r="A9" s="39"/>
      <c r="B9" s="39"/>
      <c r="C9" s="126"/>
      <c r="D9" s="126"/>
      <c r="E9" s="39"/>
      <c r="F9" s="126"/>
      <c r="G9" s="39"/>
      <c r="H9" s="39"/>
      <c r="I9" s="39"/>
      <c r="J9" s="104"/>
      <c r="K9" s="126"/>
    </row>
    <row r="10" spans="1:11" s="54" customFormat="1" ht="12.75" customHeight="1" x14ac:dyDescent="0.35">
      <c r="A10" s="39"/>
      <c r="B10" s="39"/>
      <c r="C10" s="126"/>
      <c r="D10" s="126"/>
      <c r="E10" s="39"/>
      <c r="F10" s="126"/>
      <c r="G10" s="39"/>
      <c r="H10" s="39"/>
      <c r="I10" s="39"/>
      <c r="J10" s="104"/>
      <c r="K10" s="126"/>
    </row>
    <row r="11" spans="1:11" s="54" customFormat="1" ht="12.75" customHeight="1" x14ac:dyDescent="0.35">
      <c r="A11" s="39"/>
      <c r="B11" s="39"/>
      <c r="C11" s="126"/>
      <c r="D11" s="126"/>
      <c r="E11" s="39"/>
      <c r="F11" s="126"/>
      <c r="G11" s="39"/>
      <c r="H11" s="39"/>
      <c r="I11" s="39"/>
      <c r="J11" s="104"/>
      <c r="K11" s="126"/>
    </row>
    <row r="12" spans="1:11" s="54" customFormat="1" ht="12.75" customHeight="1" x14ac:dyDescent="0.35">
      <c r="A12" s="39"/>
      <c r="B12" s="39"/>
      <c r="C12" s="126"/>
      <c r="D12" s="126"/>
      <c r="E12" s="39"/>
      <c r="F12" s="126"/>
      <c r="G12" s="39"/>
      <c r="H12" s="39"/>
      <c r="I12" s="39"/>
      <c r="J12" s="104"/>
      <c r="K12" s="126"/>
    </row>
    <row r="13" spans="1:11" s="54" customFormat="1" ht="12.75" customHeight="1" x14ac:dyDescent="0.35">
      <c r="A13" s="39"/>
      <c r="B13" s="39"/>
      <c r="C13" s="126"/>
      <c r="D13" s="126"/>
      <c r="E13" s="39"/>
      <c r="F13" s="126"/>
      <c r="G13" s="39"/>
      <c r="H13" s="39"/>
      <c r="I13" s="39"/>
      <c r="J13" s="104"/>
      <c r="K13" s="126"/>
    </row>
    <row r="14" spans="1:11" s="54" customFormat="1" ht="12.75" customHeight="1" x14ac:dyDescent="0.35">
      <c r="A14" s="50"/>
      <c r="B14" s="39"/>
      <c r="C14" s="126"/>
      <c r="D14" s="39"/>
      <c r="E14" s="50"/>
      <c r="F14" s="126"/>
      <c r="G14" s="39"/>
      <c r="H14" s="103"/>
      <c r="I14" s="103"/>
      <c r="J14" s="104"/>
      <c r="K14" s="49"/>
    </row>
    <row r="15" spans="1:11" s="54" customFormat="1" ht="12.75" customHeight="1" x14ac:dyDescent="0.35">
      <c r="A15" s="39"/>
      <c r="B15" s="39"/>
      <c r="C15" s="126"/>
      <c r="D15" s="126"/>
      <c r="E15" s="39"/>
      <c r="F15" s="126"/>
      <c r="G15" s="39"/>
      <c r="H15" s="39"/>
      <c r="I15" s="39"/>
      <c r="J15" s="104"/>
      <c r="K15" s="126"/>
    </row>
    <row r="16" spans="1:11" s="54" customFormat="1" ht="12.75" customHeight="1" x14ac:dyDescent="0.35">
      <c r="A16" s="39"/>
      <c r="B16" s="39"/>
      <c r="C16" s="126"/>
      <c r="D16" s="126"/>
      <c r="E16" s="39"/>
      <c r="F16" s="126"/>
      <c r="G16" s="39"/>
      <c r="H16" s="39"/>
      <c r="I16" s="39"/>
      <c r="J16" s="104"/>
      <c r="K16" s="126"/>
    </row>
    <row r="17" spans="1:11" s="54" customFormat="1" ht="12.75" customHeight="1" x14ac:dyDescent="0.35">
      <c r="A17" s="39"/>
      <c r="B17" s="39"/>
      <c r="C17" s="126"/>
      <c r="D17" s="126"/>
      <c r="E17" s="39"/>
      <c r="F17" s="126"/>
      <c r="G17" s="39"/>
      <c r="H17" s="39"/>
      <c r="I17" s="39"/>
      <c r="J17" s="104"/>
      <c r="K17" s="126"/>
    </row>
    <row r="18" spans="1:11" s="54" customFormat="1" ht="12.75" customHeight="1" x14ac:dyDescent="0.35">
      <c r="A18" s="39"/>
      <c r="B18" s="39"/>
      <c r="C18" s="126"/>
      <c r="D18" s="126"/>
      <c r="E18" s="39"/>
      <c r="F18" s="126"/>
      <c r="G18" s="39"/>
      <c r="H18" s="39"/>
      <c r="I18" s="39"/>
      <c r="J18" s="104"/>
      <c r="K18" s="126"/>
    </row>
    <row r="19" spans="1:11" s="54" customFormat="1" ht="12.75" customHeight="1" x14ac:dyDescent="0.35">
      <c r="A19" s="39"/>
      <c r="B19" s="39"/>
      <c r="C19" s="126"/>
      <c r="D19" s="126"/>
      <c r="E19" s="39"/>
      <c r="F19" s="126"/>
      <c r="G19" s="39"/>
      <c r="H19" s="39"/>
      <c r="I19" s="39"/>
      <c r="J19" s="104"/>
      <c r="K19" s="126"/>
    </row>
    <row r="20" spans="1:11" s="54" customFormat="1" ht="85" customHeight="1" x14ac:dyDescent="0.35">
      <c r="A20" s="243" t="s">
        <v>498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43"/>
    </row>
    <row r="21" spans="1:11" s="54" customFormat="1" ht="22.5" customHeight="1" x14ac:dyDescent="0.35">
      <c r="A21" s="243"/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spans="1:11" s="54" customFormat="1" ht="12.75" customHeight="1" x14ac:dyDescent="0.35">
      <c r="A22" s="124"/>
      <c r="I22" s="117"/>
    </row>
    <row r="23" spans="1:11" s="54" customFormat="1" ht="22.5" customHeight="1" x14ac:dyDescent="0.35">
      <c r="A23" s="50"/>
      <c r="B23" s="39"/>
      <c r="C23" s="126"/>
      <c r="D23" s="39"/>
      <c r="E23" s="50"/>
      <c r="F23" s="126"/>
      <c r="G23" s="39"/>
      <c r="H23" s="103"/>
      <c r="I23" s="103"/>
      <c r="J23" s="104"/>
      <c r="K23" s="49"/>
    </row>
    <row r="24" spans="1:11" s="54" customFormat="1" ht="12.75" customHeight="1" x14ac:dyDescent="0.35">
      <c r="A24" s="50"/>
      <c r="B24" s="39"/>
      <c r="C24" s="126"/>
      <c r="D24" s="39"/>
      <c r="E24" s="50"/>
      <c r="F24" s="126"/>
      <c r="G24" s="39"/>
      <c r="H24" s="103"/>
      <c r="I24" s="103"/>
      <c r="J24" s="104"/>
      <c r="K24" s="49"/>
    </row>
    <row r="25" spans="1:11" s="54" customFormat="1" ht="12.75" customHeight="1" x14ac:dyDescent="0.35">
      <c r="A25" s="50"/>
      <c r="B25" s="39"/>
      <c r="C25" s="126"/>
      <c r="D25" s="39"/>
      <c r="E25" s="50"/>
      <c r="F25" s="126"/>
      <c r="G25" s="39"/>
      <c r="H25" s="103"/>
      <c r="I25" s="103"/>
      <c r="J25" s="104"/>
      <c r="K25" s="49"/>
    </row>
    <row r="26" spans="1:11" s="54" customFormat="1" ht="12.75" customHeight="1" x14ac:dyDescent="0.35">
      <c r="A26" s="50"/>
      <c r="B26" s="39"/>
      <c r="C26" s="126"/>
      <c r="D26" s="39"/>
      <c r="E26" s="50"/>
      <c r="F26" s="126"/>
      <c r="G26" s="39"/>
      <c r="H26" s="103"/>
      <c r="I26" s="103"/>
      <c r="J26" s="104"/>
      <c r="K26" s="49"/>
    </row>
    <row r="27" spans="1:11" s="54" customFormat="1" ht="12.75" customHeight="1" x14ac:dyDescent="0.35">
      <c r="A27" s="50"/>
      <c r="B27" s="39"/>
      <c r="C27" s="126"/>
      <c r="D27" s="39"/>
      <c r="E27" s="50"/>
      <c r="F27" s="126"/>
      <c r="G27" s="39"/>
      <c r="H27" s="103"/>
      <c r="I27" s="103"/>
      <c r="J27" s="104"/>
      <c r="K27" s="49"/>
    </row>
    <row r="28" spans="1:11" s="54" customFormat="1" ht="12.75" customHeight="1" x14ac:dyDescent="0.35">
      <c r="A28" s="50"/>
      <c r="B28" s="39"/>
      <c r="C28" s="126"/>
      <c r="D28" s="39"/>
      <c r="E28" s="50"/>
      <c r="F28" s="126"/>
      <c r="G28" s="39"/>
      <c r="H28" s="103"/>
      <c r="I28" s="103"/>
      <c r="J28" s="104"/>
      <c r="K28" s="49"/>
    </row>
    <row r="29" spans="1:11" s="54" customFormat="1" ht="12.75" customHeight="1" x14ac:dyDescent="0.35">
      <c r="A29" s="50"/>
      <c r="B29" s="39"/>
      <c r="C29" s="126"/>
      <c r="D29" s="39"/>
      <c r="E29" s="50"/>
      <c r="F29" s="126"/>
      <c r="G29" s="39"/>
      <c r="H29" s="103"/>
      <c r="I29" s="103"/>
      <c r="J29" s="104"/>
      <c r="K29" s="49"/>
    </row>
    <row r="30" spans="1:11" s="54" customFormat="1" ht="16.5" customHeight="1" x14ac:dyDescent="0.35">
      <c r="A30" s="50"/>
      <c r="B30" s="39"/>
      <c r="C30" s="126"/>
      <c r="D30" s="39"/>
      <c r="E30" s="50"/>
      <c r="F30" s="126"/>
      <c r="G30" s="39"/>
      <c r="H30" s="103"/>
      <c r="I30" s="103"/>
      <c r="J30" s="104"/>
      <c r="K30" s="49"/>
    </row>
    <row r="31" spans="1:11" s="54" customFormat="1" ht="16.5" customHeight="1" x14ac:dyDescent="0.35">
      <c r="A31" s="50"/>
      <c r="B31" s="39"/>
      <c r="C31" s="126"/>
      <c r="D31" s="39"/>
      <c r="E31" s="50"/>
      <c r="F31" s="126"/>
      <c r="G31" s="39"/>
      <c r="H31" s="103"/>
      <c r="I31" s="103"/>
      <c r="J31" s="104"/>
      <c r="K31" s="49"/>
    </row>
    <row r="32" spans="1:11" s="54" customFormat="1" ht="16.5" customHeight="1" x14ac:dyDescent="0.35">
      <c r="A32" s="50"/>
      <c r="B32" s="39"/>
      <c r="C32" s="126"/>
      <c r="D32" s="39"/>
      <c r="E32" s="50"/>
      <c r="F32" s="126"/>
      <c r="G32" s="39"/>
      <c r="H32" s="103"/>
      <c r="I32" s="103"/>
      <c r="J32" s="104"/>
      <c r="K32" s="49"/>
    </row>
    <row r="33" spans="1:11" s="54" customFormat="1" ht="12.75" customHeight="1" x14ac:dyDescent="0.35">
      <c r="A33" s="50"/>
      <c r="B33" s="39"/>
      <c r="C33" s="126"/>
      <c r="D33" s="39"/>
      <c r="E33" s="50"/>
      <c r="F33" s="126"/>
      <c r="G33" s="39"/>
      <c r="H33" s="103"/>
      <c r="I33" s="103"/>
      <c r="J33" s="104"/>
      <c r="K33" s="49"/>
    </row>
    <row r="34" spans="1:11" s="54" customFormat="1" ht="12.75" customHeight="1" x14ac:dyDescent="0.35">
      <c r="A34" s="50"/>
      <c r="B34" s="39"/>
      <c r="C34" s="126"/>
      <c r="D34" s="39"/>
      <c r="E34" s="50"/>
      <c r="F34" s="126"/>
      <c r="G34" s="39"/>
      <c r="H34" s="103"/>
      <c r="I34" s="103"/>
      <c r="J34" s="104"/>
      <c r="K34" s="49"/>
    </row>
    <row r="35" spans="1:11" s="54" customFormat="1" ht="12.75" customHeight="1" x14ac:dyDescent="0.35">
      <c r="A35" s="50"/>
      <c r="B35" s="39"/>
      <c r="C35" s="126"/>
      <c r="D35" s="39"/>
      <c r="E35" s="50"/>
      <c r="F35" s="126"/>
      <c r="G35" s="39"/>
      <c r="H35" s="103"/>
      <c r="I35" s="103"/>
      <c r="J35" s="104"/>
      <c r="K35" s="49"/>
    </row>
    <row r="36" spans="1:11" s="54" customFormat="1" ht="12.75" customHeight="1" x14ac:dyDescent="0.35">
      <c r="A36" s="50"/>
      <c r="B36" s="39"/>
      <c r="C36" s="126"/>
      <c r="D36" s="39"/>
      <c r="E36" s="50"/>
      <c r="F36" s="126"/>
      <c r="G36" s="39"/>
      <c r="H36" s="103"/>
      <c r="I36" s="103"/>
      <c r="J36" s="104"/>
      <c r="K36" s="49"/>
    </row>
    <row r="37" spans="1:11" s="54" customFormat="1" ht="12.75" customHeight="1" x14ac:dyDescent="0.35">
      <c r="A37" s="50"/>
      <c r="B37" s="39"/>
      <c r="C37" s="126"/>
      <c r="D37" s="39"/>
      <c r="E37" s="50"/>
      <c r="F37" s="126"/>
      <c r="G37" s="39"/>
      <c r="H37" s="103"/>
      <c r="I37" s="103"/>
      <c r="J37" s="104"/>
      <c r="K37" s="49"/>
    </row>
    <row r="38" spans="1:11" s="54" customFormat="1" ht="12.75" customHeight="1" x14ac:dyDescent="0.35">
      <c r="A38" s="50"/>
      <c r="B38" s="39"/>
      <c r="C38" s="126"/>
      <c r="D38" s="39"/>
      <c r="E38" s="50"/>
      <c r="F38" s="126"/>
      <c r="G38" s="39"/>
      <c r="H38" s="103"/>
      <c r="I38" s="103"/>
      <c r="J38" s="104"/>
      <c r="K38" s="49"/>
    </row>
    <row r="39" spans="1:11" s="54" customFormat="1" ht="12.75" customHeight="1" x14ac:dyDescent="0.35">
      <c r="A39" s="50"/>
      <c r="B39" s="39"/>
      <c r="C39" s="126"/>
      <c r="D39" s="39"/>
      <c r="E39" s="50"/>
      <c r="F39" s="126"/>
      <c r="G39" s="39"/>
      <c r="H39" s="103"/>
      <c r="I39" s="103"/>
      <c r="J39" s="104"/>
      <c r="K39" s="49"/>
    </row>
    <row r="40" spans="1:11" s="54" customFormat="1" ht="12.75" customHeight="1" x14ac:dyDescent="0.35">
      <c r="A40" s="50"/>
      <c r="B40" s="39"/>
      <c r="C40" s="130"/>
      <c r="D40" s="39"/>
      <c r="E40" s="50"/>
      <c r="F40" s="130"/>
      <c r="G40" s="39"/>
      <c r="H40" s="103"/>
      <c r="I40" s="103"/>
      <c r="J40" s="104"/>
      <c r="K40" s="49"/>
    </row>
    <row r="41" spans="1:11" s="54" customFormat="1" ht="12.75" customHeight="1" x14ac:dyDescent="0.35">
      <c r="A41" s="50"/>
      <c r="B41" s="39"/>
      <c r="C41" s="126"/>
      <c r="D41" s="39"/>
      <c r="E41" s="50"/>
      <c r="F41" s="126"/>
      <c r="G41" s="39"/>
      <c r="H41" s="103"/>
      <c r="I41" s="103"/>
      <c r="J41" s="104"/>
      <c r="K41" s="49"/>
    </row>
    <row r="42" spans="1:11" s="54" customFormat="1" ht="12.75" customHeight="1" x14ac:dyDescent="0.35">
      <c r="A42" s="24" t="s">
        <v>181</v>
      </c>
      <c r="B42" s="25"/>
      <c r="C42" s="25"/>
      <c r="D42" s="25"/>
      <c r="E42" s="25"/>
      <c r="F42" s="25"/>
      <c r="G42" s="25"/>
      <c r="H42" s="25"/>
      <c r="I42" s="105"/>
      <c r="J42" s="24"/>
      <c r="K42" s="26" t="s">
        <v>202</v>
      </c>
    </row>
    <row r="43" spans="1:11" s="54" customFormat="1" ht="12.75" customHeight="1" x14ac:dyDescent="0.35">
      <c r="A43" s="24"/>
      <c r="B43" s="25"/>
      <c r="C43" s="25"/>
      <c r="D43" s="25"/>
      <c r="E43" s="25"/>
      <c r="F43" s="25"/>
      <c r="G43" s="25"/>
      <c r="H43" s="25"/>
      <c r="I43" s="105"/>
      <c r="J43" s="24"/>
      <c r="K43" s="26"/>
    </row>
    <row r="44" spans="1:11" s="54" customFormat="1" ht="12.75" customHeight="1" x14ac:dyDescent="0.35">
      <c r="A44" s="24" t="s">
        <v>182</v>
      </c>
      <c r="B44" s="25"/>
      <c r="C44" s="25"/>
      <c r="D44" s="25"/>
      <c r="E44" s="25"/>
      <c r="F44" s="25"/>
      <c r="G44" s="25"/>
      <c r="H44" s="25"/>
      <c r="I44" s="105"/>
      <c r="J44" s="24"/>
      <c r="K44" s="26" t="s">
        <v>173</v>
      </c>
    </row>
    <row r="45" spans="1:11" s="54" customFormat="1" ht="12.75" customHeight="1" x14ac:dyDescent="0.35">
      <c r="A45" s="25"/>
      <c r="B45" s="25"/>
      <c r="C45" s="25"/>
      <c r="D45" s="25"/>
      <c r="E45" s="25"/>
      <c r="F45" s="25"/>
      <c r="G45" s="25"/>
      <c r="H45" s="25"/>
      <c r="I45" s="105"/>
      <c r="J45" s="24"/>
      <c r="K45" s="26"/>
    </row>
    <row r="46" spans="1:11" s="54" customFormat="1" ht="12.75" customHeight="1" x14ac:dyDescent="0.35">
      <c r="A46" s="25"/>
      <c r="B46" s="25"/>
      <c r="C46" s="25"/>
      <c r="D46" s="25"/>
      <c r="E46" s="25"/>
      <c r="F46" s="25"/>
      <c r="G46" s="25"/>
      <c r="H46" s="25"/>
      <c r="I46" s="105"/>
      <c r="J46" s="24"/>
      <c r="K46" s="26"/>
    </row>
    <row r="47" spans="1:11" s="54" customFormat="1" ht="15.75" customHeight="1" x14ac:dyDescent="0.35">
      <c r="A47" s="244" t="s">
        <v>183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44"/>
    </row>
    <row r="48" spans="1:11" ht="15" customHeight="1" x14ac:dyDescent="0.35">
      <c r="A48" s="245" t="s">
        <v>499</v>
      </c>
      <c r="B48" s="245"/>
      <c r="C48" s="245"/>
      <c r="D48" s="245"/>
      <c r="E48" s="245"/>
      <c r="F48" s="245"/>
      <c r="G48" s="245"/>
      <c r="H48" s="245"/>
      <c r="I48" s="245"/>
      <c r="J48" s="245"/>
      <c r="K48" s="245"/>
    </row>
    <row r="49" spans="1:11" ht="12.75" customHeight="1" x14ac:dyDescent="0.35">
      <c r="A49" s="235" t="str">
        <f>$A$1</f>
        <v>Муниципальное бюджетное учреждение "Комплексная спортивная школа" города Ачинска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</row>
    <row r="50" spans="1:11" ht="82" customHeight="1" x14ac:dyDescent="0.35">
      <c r="A50" s="236" t="str">
        <f>$A$20</f>
        <v xml:space="preserve">Открытое первенство МБУ ДО  "КСШ" 
по подводному спорту (плавание в ластах) (1460008511Я),                                                                                       посвященное "Дню Космонавтики" 
среди мальчиков и девочек 2015 г.р. и младше                                                           </v>
      </c>
      <c r="B50" s="236"/>
      <c r="C50" s="236"/>
      <c r="D50" s="236"/>
      <c r="E50" s="236"/>
      <c r="F50" s="236"/>
      <c r="G50" s="236"/>
      <c r="H50" s="236"/>
      <c r="I50" s="236"/>
      <c r="J50" s="236"/>
      <c r="K50" s="236"/>
    </row>
    <row r="51" spans="1:11" ht="26.25" customHeight="1" x14ac:dyDescent="0.35">
      <c r="A51" s="3" t="str">
        <f>$A$48</f>
        <v>25-16 апреля 2026г.</v>
      </c>
      <c r="B51" s="4"/>
      <c r="C51" s="2"/>
      <c r="D51" s="4"/>
      <c r="E51" s="5"/>
      <c r="F51" s="2"/>
      <c r="G51" s="237" t="str">
        <f>$A$47</f>
        <v>г. Ачинск, плавательный бассейн "Нептун" МБУ "ГСК "Олимп", 25 м</v>
      </c>
      <c r="H51" s="237"/>
      <c r="I51" s="237"/>
      <c r="J51" s="237"/>
      <c r="K51" s="237"/>
    </row>
    <row r="52" spans="1:11" ht="20.25" customHeight="1" x14ac:dyDescent="0.35">
      <c r="A52" s="238" t="s">
        <v>0</v>
      </c>
      <c r="B52" s="238"/>
      <c r="C52" s="238"/>
      <c r="D52" s="238"/>
      <c r="E52" s="238"/>
      <c r="F52" s="238"/>
      <c r="G52" s="238"/>
      <c r="H52" s="238"/>
      <c r="I52" s="238"/>
      <c r="J52" s="238"/>
      <c r="K52" s="238"/>
    </row>
    <row r="53" spans="1:11" ht="27" customHeight="1" x14ac:dyDescent="0.35">
      <c r="A53" s="192" t="s">
        <v>1</v>
      </c>
      <c r="B53" s="241" t="s">
        <v>2</v>
      </c>
      <c r="C53" s="241"/>
      <c r="D53" s="241" t="s">
        <v>3</v>
      </c>
      <c r="E53" s="241"/>
      <c r="F53" s="193"/>
      <c r="G53" s="239" t="s">
        <v>4</v>
      </c>
      <c r="H53" s="240"/>
      <c r="I53" s="195"/>
      <c r="J53" s="194" t="s">
        <v>5</v>
      </c>
      <c r="K53" s="191"/>
    </row>
    <row r="54" spans="1:11" ht="9" customHeight="1" x14ac:dyDescent="0.35">
      <c r="A54" s="8"/>
      <c r="B54" s="8"/>
      <c r="C54" s="8"/>
      <c r="D54" s="8"/>
      <c r="E54" s="106"/>
      <c r="F54" s="7"/>
      <c r="G54" s="8"/>
      <c r="H54" s="8"/>
      <c r="I54" s="107"/>
      <c r="J54" s="106"/>
      <c r="K54" s="9"/>
    </row>
    <row r="55" spans="1:11" ht="15" customHeight="1" x14ac:dyDescent="0.35">
      <c r="A55" s="14">
        <v>1</v>
      </c>
      <c r="B55" s="17" t="s">
        <v>7</v>
      </c>
      <c r="D55" s="17" t="s">
        <v>184</v>
      </c>
      <c r="G55" s="187" t="s">
        <v>185</v>
      </c>
      <c r="J55" s="3" t="s">
        <v>177</v>
      </c>
    </row>
    <row r="56" spans="1:11" ht="15" customHeight="1" x14ac:dyDescent="0.35">
      <c r="A56" s="5">
        <v>2</v>
      </c>
      <c r="B56" s="17" t="s">
        <v>8</v>
      </c>
      <c r="D56" s="17" t="s">
        <v>188</v>
      </c>
      <c r="G56" s="187" t="s">
        <v>165</v>
      </c>
      <c r="J56" s="17" t="s">
        <v>177</v>
      </c>
    </row>
    <row r="57" spans="1:11" ht="15" customHeight="1" x14ac:dyDescent="0.35">
      <c r="A57" s="14">
        <v>3</v>
      </c>
      <c r="B57" s="17" t="s">
        <v>9</v>
      </c>
      <c r="D57" s="17" t="s">
        <v>174</v>
      </c>
      <c r="G57" s="187" t="s">
        <v>164</v>
      </c>
      <c r="J57" s="17" t="s">
        <v>136</v>
      </c>
    </row>
    <row r="58" spans="1:11" ht="15" customHeight="1" x14ac:dyDescent="0.35">
      <c r="A58" s="5">
        <v>4</v>
      </c>
      <c r="B58" s="17" t="s">
        <v>11</v>
      </c>
      <c r="D58" s="17" t="s">
        <v>186</v>
      </c>
      <c r="G58" s="187" t="s">
        <v>185</v>
      </c>
      <c r="J58" s="17" t="s">
        <v>177</v>
      </c>
    </row>
    <row r="59" spans="1:11" ht="15" customHeight="1" x14ac:dyDescent="0.35">
      <c r="A59" s="14">
        <v>5</v>
      </c>
      <c r="B59" s="17" t="s">
        <v>10</v>
      </c>
      <c r="D59" s="17" t="s">
        <v>247</v>
      </c>
      <c r="G59" s="187" t="s">
        <v>165</v>
      </c>
      <c r="J59" s="17" t="s">
        <v>136</v>
      </c>
      <c r="K59" s="12"/>
    </row>
    <row r="60" spans="1:11" ht="15" customHeight="1" x14ac:dyDescent="0.35">
      <c r="A60" s="5">
        <v>6</v>
      </c>
      <c r="B60" s="17" t="s">
        <v>14</v>
      </c>
      <c r="D60" s="17" t="s">
        <v>512</v>
      </c>
      <c r="G60" s="189" t="s">
        <v>242</v>
      </c>
      <c r="J60" s="17" t="s">
        <v>136</v>
      </c>
      <c r="K60" s="12"/>
    </row>
    <row r="61" spans="1:11" ht="15" customHeight="1" x14ac:dyDescent="0.35">
      <c r="A61" s="14">
        <v>7</v>
      </c>
      <c r="B61" s="17" t="s">
        <v>12</v>
      </c>
      <c r="D61" s="3" t="s">
        <v>190</v>
      </c>
      <c r="G61" s="189" t="s">
        <v>242</v>
      </c>
      <c r="J61" s="3" t="s">
        <v>177</v>
      </c>
      <c r="K61" s="12"/>
    </row>
    <row r="62" spans="1:11" ht="15" customHeight="1" x14ac:dyDescent="0.35">
      <c r="A62" s="5">
        <v>8</v>
      </c>
      <c r="B62" s="17" t="s">
        <v>13</v>
      </c>
      <c r="D62" s="17" t="s">
        <v>194</v>
      </c>
      <c r="G62" s="187" t="s">
        <v>187</v>
      </c>
      <c r="J62" s="17" t="s">
        <v>177</v>
      </c>
    </row>
    <row r="63" spans="1:11" ht="15" customHeight="1" x14ac:dyDescent="0.35">
      <c r="A63" s="14">
        <v>9</v>
      </c>
      <c r="B63" s="17" t="s">
        <v>189</v>
      </c>
      <c r="D63" s="17" t="s">
        <v>201</v>
      </c>
      <c r="G63" s="187" t="s">
        <v>187</v>
      </c>
      <c r="J63" s="17" t="s">
        <v>177</v>
      </c>
      <c r="K63" s="12"/>
    </row>
    <row r="64" spans="1:11" ht="15" customHeight="1" x14ac:dyDescent="0.35">
      <c r="A64" s="5">
        <v>10</v>
      </c>
      <c r="B64" s="17" t="s">
        <v>15</v>
      </c>
      <c r="D64" s="17" t="s">
        <v>243</v>
      </c>
      <c r="G64" s="187" t="s">
        <v>187</v>
      </c>
      <c r="J64" s="17" t="s">
        <v>177</v>
      </c>
      <c r="K64" s="48"/>
    </row>
    <row r="65" spans="1:11" ht="15" customHeight="1" x14ac:dyDescent="0.35">
      <c r="A65" s="14">
        <v>11</v>
      </c>
      <c r="B65" s="17" t="s">
        <v>15</v>
      </c>
      <c r="D65" s="17" t="s">
        <v>509</v>
      </c>
      <c r="G65" s="187" t="s">
        <v>187</v>
      </c>
      <c r="J65" s="17" t="s">
        <v>177</v>
      </c>
      <c r="K65" s="48"/>
    </row>
    <row r="66" spans="1:11" ht="15" customHeight="1" x14ac:dyDescent="0.35">
      <c r="A66" s="5">
        <v>12</v>
      </c>
      <c r="B66" s="17" t="s">
        <v>15</v>
      </c>
      <c r="D66" s="17" t="s">
        <v>200</v>
      </c>
      <c r="G66" s="17" t="s">
        <v>187</v>
      </c>
      <c r="J66" s="17" t="s">
        <v>177</v>
      </c>
      <c r="K66" s="48"/>
    </row>
    <row r="67" spans="1:11" ht="15" customHeight="1" x14ac:dyDescent="0.35">
      <c r="A67" s="14">
        <v>13</v>
      </c>
      <c r="B67" s="17" t="s">
        <v>15</v>
      </c>
      <c r="D67" s="17" t="s">
        <v>511</v>
      </c>
      <c r="G67" s="187" t="s">
        <v>187</v>
      </c>
      <c r="J67" s="17" t="s">
        <v>177</v>
      </c>
      <c r="K67" s="48"/>
    </row>
    <row r="68" spans="1:11" ht="15" customHeight="1" x14ac:dyDescent="0.35">
      <c r="A68" s="5">
        <v>14</v>
      </c>
      <c r="B68" s="17" t="s">
        <v>15</v>
      </c>
      <c r="D68" s="17" t="s">
        <v>239</v>
      </c>
      <c r="G68" s="187" t="s">
        <v>187</v>
      </c>
      <c r="J68" s="17" t="s">
        <v>177</v>
      </c>
      <c r="K68" s="48"/>
    </row>
    <row r="69" spans="1:11" ht="15" customHeight="1" x14ac:dyDescent="0.35">
      <c r="A69" s="14">
        <v>15</v>
      </c>
      <c r="B69" s="17" t="s">
        <v>15</v>
      </c>
      <c r="D69" s="17" t="s">
        <v>240</v>
      </c>
      <c r="G69" s="187" t="s">
        <v>187</v>
      </c>
      <c r="J69" s="17" t="s">
        <v>177</v>
      </c>
      <c r="K69" s="48"/>
    </row>
    <row r="70" spans="1:11" ht="15" customHeight="1" x14ac:dyDescent="0.35">
      <c r="A70" s="5">
        <v>16</v>
      </c>
      <c r="B70" s="17" t="s">
        <v>192</v>
      </c>
      <c r="D70" s="17" t="s">
        <v>195</v>
      </c>
      <c r="G70" s="187" t="s">
        <v>187</v>
      </c>
      <c r="J70" s="17" t="s">
        <v>177</v>
      </c>
      <c r="K70" s="48"/>
    </row>
    <row r="71" spans="1:11" ht="15" customHeight="1" x14ac:dyDescent="0.35">
      <c r="A71" s="14">
        <v>17</v>
      </c>
      <c r="B71" s="17" t="s">
        <v>196</v>
      </c>
      <c r="D71" s="17" t="s">
        <v>510</v>
      </c>
      <c r="G71" s="187" t="s">
        <v>187</v>
      </c>
      <c r="J71" s="17" t="s">
        <v>177</v>
      </c>
      <c r="K71" s="12"/>
    </row>
    <row r="72" spans="1:11" ht="15" customHeight="1" x14ac:dyDescent="0.35">
      <c r="A72" s="5">
        <v>18</v>
      </c>
      <c r="B72" s="190" t="s">
        <v>137</v>
      </c>
      <c r="D72" s="17" t="s">
        <v>197</v>
      </c>
      <c r="F72" s="188"/>
      <c r="J72" s="17" t="s">
        <v>177</v>
      </c>
      <c r="K72" s="12"/>
    </row>
    <row r="73" spans="1:11" ht="15" customHeight="1" x14ac:dyDescent="0.35">
      <c r="A73" s="50"/>
      <c r="B73" s="13"/>
      <c r="C73" s="12"/>
      <c r="D73" s="13"/>
      <c r="E73" s="13"/>
      <c r="F73" s="54"/>
      <c r="G73" s="50"/>
      <c r="H73" s="108"/>
      <c r="I73" s="13"/>
      <c r="K73" s="12"/>
    </row>
    <row r="74" spans="1:11" ht="15" customHeight="1" x14ac:dyDescent="0.35">
      <c r="A74" s="5"/>
      <c r="B74" s="17"/>
      <c r="D74" s="17"/>
      <c r="G74" s="187"/>
      <c r="J74" s="3"/>
      <c r="K74" s="12"/>
    </row>
    <row r="75" spans="1:11" ht="15" customHeight="1" x14ac:dyDescent="0.35">
      <c r="A75" s="5"/>
      <c r="B75" s="17"/>
      <c r="D75" s="29"/>
      <c r="J75" s="17"/>
      <c r="K75" s="12"/>
    </row>
    <row r="76" spans="1:11" ht="15" customHeight="1" x14ac:dyDescent="0.35">
      <c r="A76" s="50"/>
      <c r="B76" s="17"/>
      <c r="D76" s="17"/>
      <c r="G76" s="187"/>
      <c r="J76" s="17"/>
      <c r="K76" s="12"/>
    </row>
    <row r="77" spans="1:11" ht="15" customHeight="1" x14ac:dyDescent="0.35">
      <c r="A77" s="50"/>
      <c r="B77" s="17"/>
      <c r="D77" s="17"/>
      <c r="G77" s="187"/>
      <c r="J77" s="17"/>
      <c r="K77" s="12"/>
    </row>
    <row r="78" spans="1:11" ht="15" customHeight="1" x14ac:dyDescent="0.35">
      <c r="A78" s="5"/>
      <c r="B78" s="17"/>
      <c r="D78" s="29"/>
    </row>
    <row r="79" spans="1:11" ht="15" customHeight="1" x14ac:dyDescent="0.35">
      <c r="A79" s="50"/>
      <c r="B79" s="17"/>
      <c r="D79" s="29"/>
    </row>
    <row r="80" spans="1:11" ht="15" customHeight="1" x14ac:dyDescent="0.35">
      <c r="A80" s="5"/>
      <c r="B80" s="17"/>
      <c r="D80" s="29"/>
    </row>
    <row r="81" spans="1:12" ht="12.75" customHeight="1" x14ac:dyDescent="0.35">
      <c r="A81" s="50"/>
      <c r="B81" s="17"/>
      <c r="D81" s="29"/>
    </row>
    <row r="82" spans="1:12" ht="15" customHeight="1" x14ac:dyDescent="0.35">
      <c r="A82" s="5"/>
      <c r="B82" s="17"/>
    </row>
    <row r="83" spans="1:12" ht="15" customHeight="1" x14ac:dyDescent="0.35">
      <c r="A83" s="50"/>
      <c r="B83" s="17"/>
    </row>
    <row r="84" spans="1:12" ht="15" customHeight="1" x14ac:dyDescent="0.35">
      <c r="A84" s="5"/>
      <c r="B84" s="17"/>
    </row>
    <row r="85" spans="1:12" ht="15" customHeight="1" x14ac:dyDescent="0.35">
      <c r="A85" s="50"/>
      <c r="B85" s="17"/>
    </row>
    <row r="86" spans="1:12" ht="15" customHeight="1" x14ac:dyDescent="0.35">
      <c r="A86" s="5"/>
      <c r="B86" s="17"/>
    </row>
    <row r="87" spans="1:12" ht="15" customHeight="1" x14ac:dyDescent="0.35">
      <c r="B87" s="17"/>
    </row>
    <row r="88" spans="1:12" ht="15" customHeight="1" x14ac:dyDescent="0.35">
      <c r="B88" s="17"/>
    </row>
    <row r="89" spans="1:12" ht="15" customHeight="1" x14ac:dyDescent="0.35">
      <c r="B89" s="17"/>
    </row>
    <row r="90" spans="1:12" x14ac:dyDescent="0.35">
      <c r="A90" s="50"/>
      <c r="B90" s="17"/>
    </row>
    <row r="91" spans="1:12" x14ac:dyDescent="0.35">
      <c r="A91" s="50"/>
      <c r="B91" s="190"/>
    </row>
    <row r="92" spans="1:12" ht="12.75" customHeight="1" x14ac:dyDescent="0.35">
      <c r="A92" s="235" t="str">
        <f>$A$1</f>
        <v>Муниципальное бюджетное учреждение "Комплексная спортивная школа" города Ачинска</v>
      </c>
      <c r="B92" s="235"/>
      <c r="C92" s="235"/>
      <c r="D92" s="235"/>
      <c r="E92" s="235"/>
      <c r="F92" s="235"/>
      <c r="G92" s="235"/>
      <c r="H92" s="235"/>
      <c r="I92" s="235"/>
      <c r="J92" s="235"/>
      <c r="K92" s="235"/>
    </row>
    <row r="93" spans="1:12" ht="77" customHeight="1" x14ac:dyDescent="0.35">
      <c r="A93" s="236" t="str">
        <f>$A$20</f>
        <v xml:space="preserve">Открытое первенство МБУ ДО  "КСШ" 
по подводному спорту (плавание в ластах) (1460008511Я),                                                                                       посвященное "Дню Космонавтики" 
среди мальчиков и девочек 2015 г.р. и младше                                                           </v>
      </c>
      <c r="B93" s="236"/>
      <c r="C93" s="236"/>
      <c r="D93" s="236"/>
      <c r="E93" s="236"/>
      <c r="F93" s="236"/>
      <c r="G93" s="236"/>
      <c r="H93" s="236"/>
      <c r="I93" s="236"/>
      <c r="J93" s="236"/>
      <c r="K93" s="236"/>
    </row>
    <row r="94" spans="1:12" ht="27" customHeight="1" x14ac:dyDescent="0.35">
      <c r="A94" s="3" t="str">
        <f>$A$48</f>
        <v>25-16 апреля 2026г.</v>
      </c>
      <c r="B94" s="4"/>
      <c r="C94" s="2"/>
      <c r="D94" s="4"/>
      <c r="E94" s="5"/>
      <c r="F94" s="2"/>
      <c r="G94" s="237" t="str">
        <f>$A$47</f>
        <v>г. Ачинск, плавательный бассейн "Нептун" МБУ "ГСК "Олимп", 25 м</v>
      </c>
      <c r="H94" s="237"/>
      <c r="I94" s="237"/>
      <c r="J94" s="237"/>
      <c r="K94" s="237"/>
    </row>
    <row r="95" spans="1:12" ht="20.25" customHeight="1" x14ac:dyDescent="0.35">
      <c r="A95" s="247" t="s">
        <v>16</v>
      </c>
      <c r="B95" s="247"/>
      <c r="C95" s="247"/>
      <c r="D95" s="247"/>
      <c r="E95" s="247"/>
      <c r="F95" s="247"/>
      <c r="G95" s="247"/>
      <c r="H95" s="247"/>
      <c r="I95" s="247"/>
      <c r="J95" s="248"/>
      <c r="K95" s="248"/>
    </row>
    <row r="96" spans="1:12" ht="27" customHeight="1" x14ac:dyDescent="0.35">
      <c r="A96" s="197" t="s">
        <v>1</v>
      </c>
      <c r="B96" s="15" t="s">
        <v>19</v>
      </c>
      <c r="C96" s="249" t="s">
        <v>17</v>
      </c>
      <c r="D96" s="250"/>
      <c r="E96" s="15" t="s">
        <v>18</v>
      </c>
      <c r="F96" s="249" t="s">
        <v>20</v>
      </c>
      <c r="G96" s="251"/>
      <c r="H96" s="250"/>
      <c r="I96" s="249" t="s">
        <v>21</v>
      </c>
      <c r="J96" s="250"/>
      <c r="K96" s="196"/>
      <c r="L96" s="30"/>
    </row>
    <row r="97" spans="1:12" ht="12.75" customHeight="1" x14ac:dyDescent="0.35">
      <c r="A97" s="5"/>
      <c r="B97" s="5"/>
      <c r="C97" s="2"/>
      <c r="D97" s="2"/>
      <c r="E97" s="4"/>
      <c r="F97" s="2"/>
      <c r="G97" s="2"/>
      <c r="H97" s="6"/>
      <c r="I97" s="118"/>
      <c r="J97" s="4"/>
      <c r="K97" s="16"/>
      <c r="L97" s="30"/>
    </row>
    <row r="98" spans="1:12" s="114" customFormat="1" ht="13" x14ac:dyDescent="0.3">
      <c r="A98" s="51"/>
      <c r="B98" s="220" t="s">
        <v>172</v>
      </c>
      <c r="C98" s="28"/>
      <c r="D98" s="3"/>
      <c r="E98" s="100"/>
      <c r="F98" s="28"/>
      <c r="G98" s="27"/>
      <c r="I98" s="5"/>
      <c r="J98" s="1"/>
      <c r="K98" s="20"/>
    </row>
    <row r="99" spans="1:12" s="127" customFormat="1" ht="12" x14ac:dyDescent="0.3">
      <c r="A99" s="128">
        <v>1</v>
      </c>
      <c r="B99" s="14" t="s">
        <v>22</v>
      </c>
      <c r="C99" s="28" t="s">
        <v>425</v>
      </c>
      <c r="D99" s="28"/>
      <c r="E99" s="206">
        <v>42112</v>
      </c>
      <c r="F99" s="28" t="s">
        <v>172</v>
      </c>
      <c r="G99" s="27" t="s">
        <v>69</v>
      </c>
      <c r="H99" s="27"/>
      <c r="I99" s="52" t="s">
        <v>171</v>
      </c>
      <c r="J99" s="5"/>
      <c r="K99" s="1"/>
      <c r="L99" s="53"/>
    </row>
    <row r="100" spans="1:12" s="127" customFormat="1" ht="12" x14ac:dyDescent="0.3">
      <c r="A100" s="128">
        <v>2</v>
      </c>
      <c r="B100" s="14" t="s">
        <v>38</v>
      </c>
      <c r="C100" s="28" t="s">
        <v>426</v>
      </c>
      <c r="D100" s="28"/>
      <c r="E100" s="202">
        <v>42244</v>
      </c>
      <c r="F100" s="28" t="s">
        <v>172</v>
      </c>
      <c r="G100" s="27" t="s">
        <v>69</v>
      </c>
      <c r="H100" s="27"/>
      <c r="I100" s="52" t="s">
        <v>171</v>
      </c>
      <c r="J100" s="5"/>
      <c r="K100" s="1"/>
      <c r="L100" s="53"/>
    </row>
    <row r="101" spans="1:12" s="127" customFormat="1" ht="12" x14ac:dyDescent="0.3">
      <c r="A101" s="128">
        <v>3</v>
      </c>
      <c r="B101" s="14" t="s">
        <v>22</v>
      </c>
      <c r="C101" s="28" t="s">
        <v>495</v>
      </c>
      <c r="D101" s="28"/>
      <c r="E101" s="202">
        <v>42276</v>
      </c>
      <c r="F101" s="28" t="s">
        <v>172</v>
      </c>
      <c r="G101" s="27" t="s">
        <v>69</v>
      </c>
      <c r="H101" s="27"/>
      <c r="I101" s="52" t="s">
        <v>171</v>
      </c>
      <c r="J101" s="5"/>
      <c r="K101" s="1"/>
      <c r="L101" s="53"/>
    </row>
    <row r="102" spans="1:12" s="127" customFormat="1" ht="12" x14ac:dyDescent="0.3">
      <c r="A102" s="128">
        <v>4</v>
      </c>
      <c r="B102" s="14" t="s">
        <v>22</v>
      </c>
      <c r="C102" s="28" t="s">
        <v>427</v>
      </c>
      <c r="D102" s="28"/>
      <c r="E102" s="208">
        <v>42370</v>
      </c>
      <c r="F102" s="28" t="s">
        <v>172</v>
      </c>
      <c r="G102" s="27" t="s">
        <v>69</v>
      </c>
      <c r="H102" s="27"/>
      <c r="I102" s="52" t="s">
        <v>171</v>
      </c>
      <c r="J102" s="5"/>
      <c r="K102" s="1"/>
      <c r="L102" s="53"/>
    </row>
    <row r="103" spans="1:12" s="127" customFormat="1" ht="12" x14ac:dyDescent="0.3">
      <c r="A103" s="128">
        <v>5</v>
      </c>
      <c r="B103" s="14" t="s">
        <v>22</v>
      </c>
      <c r="C103" s="28" t="s">
        <v>428</v>
      </c>
      <c r="D103" s="28"/>
      <c r="E103" s="202">
        <v>42451</v>
      </c>
      <c r="F103" s="28" t="s">
        <v>172</v>
      </c>
      <c r="G103" s="27" t="s">
        <v>69</v>
      </c>
      <c r="H103" s="27"/>
      <c r="I103" s="52" t="s">
        <v>171</v>
      </c>
      <c r="J103" s="5"/>
      <c r="K103" s="1"/>
      <c r="L103" s="53"/>
    </row>
    <row r="104" spans="1:12" s="127" customFormat="1" ht="12" x14ac:dyDescent="0.3">
      <c r="A104" s="128">
        <v>6</v>
      </c>
      <c r="B104" s="21" t="s">
        <v>23</v>
      </c>
      <c r="C104" s="28" t="s">
        <v>429</v>
      </c>
      <c r="D104" s="28"/>
      <c r="E104" s="208">
        <v>42512</v>
      </c>
      <c r="F104" s="28" t="s">
        <v>172</v>
      </c>
      <c r="G104" s="27" t="s">
        <v>69</v>
      </c>
      <c r="H104" s="27"/>
      <c r="I104" s="52" t="s">
        <v>171</v>
      </c>
      <c r="J104" s="5"/>
      <c r="K104" s="1"/>
      <c r="L104" s="53"/>
    </row>
    <row r="105" spans="1:12" s="127" customFormat="1" ht="12" x14ac:dyDescent="0.3">
      <c r="A105" s="128">
        <v>7</v>
      </c>
      <c r="B105" s="14" t="s">
        <v>38</v>
      </c>
      <c r="C105" s="28" t="s">
        <v>430</v>
      </c>
      <c r="D105" s="28"/>
      <c r="E105" s="202">
        <v>42512</v>
      </c>
      <c r="F105" s="28" t="s">
        <v>172</v>
      </c>
      <c r="G105" s="27" t="s">
        <v>69</v>
      </c>
      <c r="H105" s="27"/>
      <c r="I105" s="52" t="s">
        <v>171</v>
      </c>
      <c r="J105" s="5"/>
      <c r="K105" s="1"/>
      <c r="L105" s="53"/>
    </row>
    <row r="106" spans="1:12" s="127" customFormat="1" ht="12" x14ac:dyDescent="0.3">
      <c r="A106" s="128">
        <v>8</v>
      </c>
      <c r="B106" s="14" t="s">
        <v>22</v>
      </c>
      <c r="C106" s="28" t="s">
        <v>431</v>
      </c>
      <c r="D106" s="28"/>
      <c r="E106" s="202">
        <v>42631</v>
      </c>
      <c r="F106" s="28" t="s">
        <v>172</v>
      </c>
      <c r="G106" s="27" t="s">
        <v>69</v>
      </c>
      <c r="H106" s="27"/>
      <c r="I106" s="52" t="s">
        <v>171</v>
      </c>
      <c r="J106" s="5"/>
      <c r="K106" s="1"/>
      <c r="L106" s="53"/>
    </row>
    <row r="107" spans="1:12" s="127" customFormat="1" ht="12" x14ac:dyDescent="0.3">
      <c r="A107" s="128">
        <v>9</v>
      </c>
      <c r="B107" s="21" t="s">
        <v>23</v>
      </c>
      <c r="C107" s="28" t="s">
        <v>432</v>
      </c>
      <c r="D107" s="28"/>
      <c r="E107" s="208">
        <v>42614</v>
      </c>
      <c r="F107" s="28" t="s">
        <v>172</v>
      </c>
      <c r="G107" s="27" t="s">
        <v>69</v>
      </c>
      <c r="H107" s="27"/>
      <c r="I107" s="52" t="s">
        <v>171</v>
      </c>
      <c r="J107" s="5"/>
      <c r="K107" s="1"/>
      <c r="L107" s="53"/>
    </row>
    <row r="108" spans="1:12" s="127" customFormat="1" ht="12" x14ac:dyDescent="0.3">
      <c r="A108" s="128">
        <v>10</v>
      </c>
      <c r="B108" s="21" t="s">
        <v>23</v>
      </c>
      <c r="C108" s="28" t="s">
        <v>433</v>
      </c>
      <c r="D108" s="28"/>
      <c r="E108" s="202">
        <v>42619</v>
      </c>
      <c r="F108" s="28" t="s">
        <v>172</v>
      </c>
      <c r="G108" s="27" t="s">
        <v>69</v>
      </c>
      <c r="H108" s="27"/>
      <c r="I108" s="52" t="s">
        <v>171</v>
      </c>
      <c r="J108" s="5"/>
      <c r="K108" s="1"/>
      <c r="L108" s="53"/>
    </row>
    <row r="109" spans="1:12" s="127" customFormat="1" ht="12" x14ac:dyDescent="0.3">
      <c r="A109" s="128">
        <v>11</v>
      </c>
      <c r="B109" s="21" t="s">
        <v>26</v>
      </c>
      <c r="C109" s="28" t="s">
        <v>434</v>
      </c>
      <c r="D109" s="28"/>
      <c r="E109" s="202">
        <v>42967</v>
      </c>
      <c r="F109" s="28" t="s">
        <v>172</v>
      </c>
      <c r="G109" s="27" t="s">
        <v>69</v>
      </c>
      <c r="H109" s="27"/>
      <c r="I109" s="52" t="s">
        <v>171</v>
      </c>
      <c r="J109" s="5"/>
      <c r="K109" s="1"/>
      <c r="L109" s="53"/>
    </row>
    <row r="110" spans="1:12" s="127" customFormat="1" ht="12" x14ac:dyDescent="0.3">
      <c r="A110" s="128">
        <v>12</v>
      </c>
      <c r="B110" s="21" t="s">
        <v>26</v>
      </c>
      <c r="C110" s="28" t="s">
        <v>435</v>
      </c>
      <c r="D110" s="28"/>
      <c r="E110" s="208">
        <v>43375</v>
      </c>
      <c r="F110" s="28" t="s">
        <v>172</v>
      </c>
      <c r="G110" s="27" t="s">
        <v>69</v>
      </c>
      <c r="H110" s="27"/>
      <c r="I110" s="52" t="s">
        <v>171</v>
      </c>
      <c r="J110" s="5"/>
      <c r="K110" s="1"/>
      <c r="L110" s="53"/>
    </row>
    <row r="111" spans="1:12" s="127" customFormat="1" ht="12" x14ac:dyDescent="0.3">
      <c r="A111" s="128">
        <v>13</v>
      </c>
      <c r="B111" s="21" t="s">
        <v>26</v>
      </c>
      <c r="C111" s="28" t="s">
        <v>436</v>
      </c>
      <c r="D111" s="28"/>
      <c r="E111" s="208">
        <v>43299</v>
      </c>
      <c r="F111" s="28" t="s">
        <v>172</v>
      </c>
      <c r="G111" s="27" t="s">
        <v>69</v>
      </c>
      <c r="H111" s="27"/>
      <c r="I111" s="52" t="s">
        <v>171</v>
      </c>
      <c r="J111" s="5"/>
      <c r="K111" s="1"/>
      <c r="L111" s="53"/>
    </row>
    <row r="112" spans="1:12" s="127" customFormat="1" ht="12" x14ac:dyDescent="0.3">
      <c r="A112" s="128">
        <v>14</v>
      </c>
      <c r="B112" s="21" t="s">
        <v>26</v>
      </c>
      <c r="C112" s="28" t="s">
        <v>437</v>
      </c>
      <c r="D112" s="28"/>
      <c r="E112" s="208">
        <v>43355</v>
      </c>
      <c r="F112" s="28" t="s">
        <v>172</v>
      </c>
      <c r="G112" s="27" t="s">
        <v>69</v>
      </c>
      <c r="H112" s="27"/>
      <c r="I112" s="52" t="s">
        <v>171</v>
      </c>
      <c r="J112" s="5"/>
      <c r="K112" s="1"/>
      <c r="L112" s="53"/>
    </row>
    <row r="113" spans="1:12" s="127" customFormat="1" ht="12" x14ac:dyDescent="0.3">
      <c r="A113" s="128">
        <v>15</v>
      </c>
      <c r="B113" s="21" t="s">
        <v>26</v>
      </c>
      <c r="C113" s="28" t="s">
        <v>438</v>
      </c>
      <c r="D113" s="28"/>
      <c r="E113" s="208">
        <v>43148</v>
      </c>
      <c r="F113" s="28" t="s">
        <v>172</v>
      </c>
      <c r="G113" s="27" t="s">
        <v>69</v>
      </c>
      <c r="H113" s="27"/>
      <c r="I113" s="52" t="s">
        <v>171</v>
      </c>
      <c r="J113" s="5"/>
      <c r="K113" s="1"/>
      <c r="L113" s="53"/>
    </row>
    <row r="114" spans="1:12" s="127" customFormat="1" ht="12" x14ac:dyDescent="0.3">
      <c r="A114" s="128">
        <v>16</v>
      </c>
      <c r="B114" s="21" t="s">
        <v>26</v>
      </c>
      <c r="C114" s="28" t="s">
        <v>439</v>
      </c>
      <c r="D114" s="28"/>
      <c r="E114" s="208">
        <v>43273</v>
      </c>
      <c r="F114" s="28" t="s">
        <v>172</v>
      </c>
      <c r="G114" s="27" t="s">
        <v>69</v>
      </c>
      <c r="H114" s="27"/>
      <c r="I114" s="52" t="s">
        <v>171</v>
      </c>
      <c r="J114" s="5"/>
      <c r="K114" s="1"/>
      <c r="L114" s="53"/>
    </row>
    <row r="115" spans="1:12" s="127" customFormat="1" ht="12" x14ac:dyDescent="0.3">
      <c r="A115" s="128">
        <v>17</v>
      </c>
      <c r="B115" s="14" t="s">
        <v>38</v>
      </c>
      <c r="C115" s="28" t="s">
        <v>440</v>
      </c>
      <c r="D115" s="28"/>
      <c r="E115" s="202">
        <v>42103</v>
      </c>
      <c r="F115" s="28" t="s">
        <v>172</v>
      </c>
      <c r="G115" s="27" t="s">
        <v>71</v>
      </c>
      <c r="H115" s="27"/>
      <c r="I115" s="52" t="s">
        <v>171</v>
      </c>
      <c r="J115" s="5"/>
      <c r="K115" s="1"/>
      <c r="L115" s="53"/>
    </row>
    <row r="116" spans="1:12" s="127" customFormat="1" ht="12" x14ac:dyDescent="0.3">
      <c r="A116" s="128">
        <v>18</v>
      </c>
      <c r="B116" s="14" t="s">
        <v>38</v>
      </c>
      <c r="C116" s="28" t="s">
        <v>441</v>
      </c>
      <c r="D116" s="28"/>
      <c r="E116" s="206">
        <v>42109</v>
      </c>
      <c r="F116" s="28" t="s">
        <v>172</v>
      </c>
      <c r="G116" s="27" t="s">
        <v>71</v>
      </c>
      <c r="H116" s="27"/>
      <c r="I116" s="52" t="s">
        <v>171</v>
      </c>
      <c r="J116" s="5"/>
      <c r="K116" s="1"/>
      <c r="L116" s="53"/>
    </row>
    <row r="117" spans="1:12" s="127" customFormat="1" ht="12" x14ac:dyDescent="0.3">
      <c r="A117" s="128">
        <v>19</v>
      </c>
      <c r="B117" s="14" t="s">
        <v>38</v>
      </c>
      <c r="C117" s="28" t="s">
        <v>442</v>
      </c>
      <c r="D117" s="28"/>
      <c r="E117" s="202">
        <v>42222</v>
      </c>
      <c r="F117" s="28" t="s">
        <v>172</v>
      </c>
      <c r="G117" s="27" t="s">
        <v>71</v>
      </c>
      <c r="H117" s="27"/>
      <c r="I117" s="52" t="s">
        <v>171</v>
      </c>
      <c r="J117" s="5"/>
      <c r="K117" s="1"/>
      <c r="L117" s="53"/>
    </row>
    <row r="118" spans="1:12" s="127" customFormat="1" ht="12" x14ac:dyDescent="0.3">
      <c r="A118" s="128">
        <v>20</v>
      </c>
      <c r="B118" s="21" t="s">
        <v>23</v>
      </c>
      <c r="C118" s="28" t="s">
        <v>494</v>
      </c>
      <c r="D118" s="28"/>
      <c r="E118" s="202">
        <v>42290</v>
      </c>
      <c r="F118" s="28" t="s">
        <v>172</v>
      </c>
      <c r="G118" s="27" t="s">
        <v>71</v>
      </c>
      <c r="H118" s="27"/>
      <c r="I118" s="52" t="s">
        <v>171</v>
      </c>
      <c r="J118" s="5"/>
      <c r="K118" s="1"/>
      <c r="L118" s="53"/>
    </row>
    <row r="119" spans="1:12" s="127" customFormat="1" ht="12" x14ac:dyDescent="0.3">
      <c r="A119" s="128">
        <v>21</v>
      </c>
      <c r="B119" s="21" t="s">
        <v>23</v>
      </c>
      <c r="C119" s="28" t="s">
        <v>443</v>
      </c>
      <c r="D119" s="28"/>
      <c r="E119" s="208">
        <v>42295</v>
      </c>
      <c r="F119" s="28" t="s">
        <v>172</v>
      </c>
      <c r="G119" s="27" t="s">
        <v>71</v>
      </c>
      <c r="H119" s="27"/>
      <c r="I119" s="52" t="s">
        <v>171</v>
      </c>
      <c r="J119" s="5"/>
      <c r="K119" s="1"/>
      <c r="L119" s="53"/>
    </row>
    <row r="120" spans="1:12" s="127" customFormat="1" ht="12" x14ac:dyDescent="0.3">
      <c r="A120" s="128">
        <v>22</v>
      </c>
      <c r="B120" s="21" t="s">
        <v>23</v>
      </c>
      <c r="C120" s="28" t="s">
        <v>444</v>
      </c>
      <c r="D120" s="28"/>
      <c r="E120" s="202">
        <v>42353</v>
      </c>
      <c r="F120" s="28" t="s">
        <v>172</v>
      </c>
      <c r="G120" s="27" t="s">
        <v>71</v>
      </c>
      <c r="H120" s="27"/>
      <c r="I120" s="52" t="s">
        <v>171</v>
      </c>
      <c r="J120" s="5"/>
      <c r="K120" s="1"/>
      <c r="L120" s="53"/>
    </row>
    <row r="121" spans="1:12" s="127" customFormat="1" ht="12" x14ac:dyDescent="0.3">
      <c r="A121" s="128">
        <v>23</v>
      </c>
      <c r="B121" s="14" t="s">
        <v>22</v>
      </c>
      <c r="C121" s="28" t="s">
        <v>445</v>
      </c>
      <c r="D121" s="28"/>
      <c r="E121" s="206">
        <v>42502</v>
      </c>
      <c r="F121" s="28" t="s">
        <v>172</v>
      </c>
      <c r="G121" s="27" t="s">
        <v>71</v>
      </c>
      <c r="H121" s="27"/>
      <c r="I121" s="52" t="s">
        <v>171</v>
      </c>
      <c r="J121" s="5"/>
      <c r="K121" s="1"/>
      <c r="L121" s="53"/>
    </row>
    <row r="122" spans="1:12" s="127" customFormat="1" ht="12" x14ac:dyDescent="0.3">
      <c r="A122" s="128">
        <v>24</v>
      </c>
      <c r="B122" s="14" t="s">
        <v>22</v>
      </c>
      <c r="C122" s="28" t="s">
        <v>446</v>
      </c>
      <c r="D122" s="28"/>
      <c r="E122" s="202">
        <v>42508</v>
      </c>
      <c r="F122" s="28" t="s">
        <v>172</v>
      </c>
      <c r="G122" s="27" t="s">
        <v>71</v>
      </c>
      <c r="H122" s="27"/>
      <c r="I122" s="52" t="s">
        <v>171</v>
      </c>
      <c r="J122" s="5"/>
      <c r="K122" s="1"/>
      <c r="L122" s="53"/>
    </row>
    <row r="123" spans="1:12" s="127" customFormat="1" ht="12" x14ac:dyDescent="0.3">
      <c r="A123" s="128">
        <v>25</v>
      </c>
      <c r="B123" s="21" t="s">
        <v>23</v>
      </c>
      <c r="C123" s="28" t="s">
        <v>447</v>
      </c>
      <c r="D123" s="28"/>
      <c r="E123" s="202">
        <v>42508</v>
      </c>
      <c r="F123" s="28" t="s">
        <v>172</v>
      </c>
      <c r="G123" s="27" t="s">
        <v>71</v>
      </c>
      <c r="H123" s="27"/>
      <c r="I123" s="52" t="s">
        <v>171</v>
      </c>
      <c r="J123" s="5"/>
      <c r="K123" s="1"/>
      <c r="L123" s="53"/>
    </row>
    <row r="124" spans="1:12" s="127" customFormat="1" ht="12" x14ac:dyDescent="0.3">
      <c r="A124" s="128">
        <v>26</v>
      </c>
      <c r="B124" s="14" t="s">
        <v>22</v>
      </c>
      <c r="C124" s="28" t="s">
        <v>448</v>
      </c>
      <c r="D124" s="28"/>
      <c r="E124" s="202">
        <v>42610</v>
      </c>
      <c r="F124" s="28" t="s">
        <v>172</v>
      </c>
      <c r="G124" s="27" t="s">
        <v>71</v>
      </c>
      <c r="H124" s="27"/>
      <c r="I124" s="52" t="s">
        <v>171</v>
      </c>
      <c r="J124" s="5"/>
      <c r="K124" s="1"/>
      <c r="L124" s="53"/>
    </row>
    <row r="125" spans="1:12" s="127" customFormat="1" ht="12" x14ac:dyDescent="0.3">
      <c r="A125" s="128">
        <v>27</v>
      </c>
      <c r="B125" s="21" t="s">
        <v>26</v>
      </c>
      <c r="C125" s="28" t="s">
        <v>449</v>
      </c>
      <c r="D125" s="28"/>
      <c r="E125" s="208">
        <v>42636</v>
      </c>
      <c r="F125" s="28" t="s">
        <v>172</v>
      </c>
      <c r="G125" s="27" t="s">
        <v>71</v>
      </c>
      <c r="H125" s="27"/>
      <c r="I125" s="52" t="s">
        <v>171</v>
      </c>
      <c r="J125" s="5"/>
      <c r="K125" s="1"/>
      <c r="L125" s="53"/>
    </row>
    <row r="126" spans="1:12" s="127" customFormat="1" ht="12" x14ac:dyDescent="0.3">
      <c r="A126" s="128">
        <v>28</v>
      </c>
      <c r="B126" s="21" t="s">
        <v>26</v>
      </c>
      <c r="C126" s="28" t="s">
        <v>450</v>
      </c>
      <c r="D126" s="28"/>
      <c r="E126" s="205">
        <v>42646</v>
      </c>
      <c r="F126" s="28" t="s">
        <v>172</v>
      </c>
      <c r="G126" s="27" t="s">
        <v>71</v>
      </c>
      <c r="H126" s="27"/>
      <c r="I126" s="52" t="s">
        <v>171</v>
      </c>
      <c r="J126" s="5"/>
      <c r="K126" s="1"/>
      <c r="L126" s="53"/>
    </row>
    <row r="127" spans="1:12" s="127" customFormat="1" ht="12" x14ac:dyDescent="0.3">
      <c r="A127" s="128">
        <v>29</v>
      </c>
      <c r="B127" s="21" t="s">
        <v>23</v>
      </c>
      <c r="C127" s="28" t="s">
        <v>451</v>
      </c>
      <c r="D127" s="28"/>
      <c r="E127" s="202">
        <v>42720</v>
      </c>
      <c r="F127" s="28" t="s">
        <v>172</v>
      </c>
      <c r="G127" s="27" t="s">
        <v>71</v>
      </c>
      <c r="H127" s="27"/>
      <c r="I127" s="52" t="s">
        <v>171</v>
      </c>
      <c r="J127" s="5"/>
      <c r="K127" s="1"/>
      <c r="L127" s="53"/>
    </row>
    <row r="128" spans="1:12" s="127" customFormat="1" ht="12" x14ac:dyDescent="0.3">
      <c r="A128" s="128">
        <v>30</v>
      </c>
      <c r="B128" s="21" t="s">
        <v>23</v>
      </c>
      <c r="C128" s="28" t="s">
        <v>452</v>
      </c>
      <c r="D128" s="28"/>
      <c r="E128" s="202">
        <v>42886</v>
      </c>
      <c r="F128" s="28" t="s">
        <v>172</v>
      </c>
      <c r="G128" s="27" t="s">
        <v>71</v>
      </c>
      <c r="H128" s="27"/>
      <c r="I128" s="52" t="s">
        <v>171</v>
      </c>
      <c r="J128" s="5"/>
      <c r="K128" s="1"/>
      <c r="L128" s="53"/>
    </row>
    <row r="129" spans="1:24" s="127" customFormat="1" ht="12" x14ac:dyDescent="0.3">
      <c r="A129" s="128">
        <v>31</v>
      </c>
      <c r="B129" s="14" t="s">
        <v>22</v>
      </c>
      <c r="C129" s="28" t="s">
        <v>453</v>
      </c>
      <c r="D129" s="28"/>
      <c r="E129" s="202">
        <v>42918</v>
      </c>
      <c r="F129" s="28" t="s">
        <v>172</v>
      </c>
      <c r="G129" s="27" t="s">
        <v>71</v>
      </c>
      <c r="H129" s="27"/>
      <c r="I129" s="52" t="s">
        <v>171</v>
      </c>
      <c r="J129" s="5"/>
      <c r="K129" s="1"/>
      <c r="L129" s="53"/>
    </row>
    <row r="130" spans="1:24" s="127" customFormat="1" ht="12" x14ac:dyDescent="0.3">
      <c r="A130" s="128">
        <v>32</v>
      </c>
      <c r="B130" s="21" t="s">
        <v>23</v>
      </c>
      <c r="C130" s="28" t="s">
        <v>454</v>
      </c>
      <c r="D130" s="28"/>
      <c r="E130" s="208">
        <v>43038</v>
      </c>
      <c r="F130" s="28" t="s">
        <v>172</v>
      </c>
      <c r="G130" s="27" t="s">
        <v>71</v>
      </c>
      <c r="H130" s="27"/>
      <c r="I130" s="52" t="s">
        <v>171</v>
      </c>
      <c r="J130" s="5"/>
      <c r="K130" s="1"/>
      <c r="L130" s="53"/>
    </row>
    <row r="131" spans="1:24" s="127" customFormat="1" ht="12" x14ac:dyDescent="0.3">
      <c r="A131" s="128">
        <v>33</v>
      </c>
      <c r="B131" s="21" t="s">
        <v>23</v>
      </c>
      <c r="C131" s="28" t="s">
        <v>455</v>
      </c>
      <c r="D131" s="28"/>
      <c r="E131" s="208">
        <v>43088</v>
      </c>
      <c r="F131" s="28" t="s">
        <v>172</v>
      </c>
      <c r="G131" s="27" t="s">
        <v>71</v>
      </c>
      <c r="H131" s="27"/>
      <c r="I131" s="52" t="s">
        <v>171</v>
      </c>
      <c r="J131" s="5"/>
      <c r="K131" s="1"/>
      <c r="L131" s="53"/>
    </row>
    <row r="132" spans="1:24" s="127" customFormat="1" ht="12" x14ac:dyDescent="0.3">
      <c r="A132" s="128">
        <v>34</v>
      </c>
      <c r="B132" s="21" t="s">
        <v>26</v>
      </c>
      <c r="C132" s="28" t="s">
        <v>456</v>
      </c>
      <c r="D132" s="28"/>
      <c r="E132" s="208">
        <v>43166</v>
      </c>
      <c r="F132" s="28" t="s">
        <v>172</v>
      </c>
      <c r="G132" s="27" t="s">
        <v>71</v>
      </c>
      <c r="H132" s="27"/>
      <c r="I132" s="52" t="s">
        <v>171</v>
      </c>
      <c r="J132" s="5"/>
      <c r="K132" s="1"/>
      <c r="L132" s="53"/>
    </row>
    <row r="133" spans="1:24" s="127" customFormat="1" ht="12" x14ac:dyDescent="0.3">
      <c r="A133" s="128">
        <v>35</v>
      </c>
      <c r="B133" s="14" t="s">
        <v>38</v>
      </c>
      <c r="C133" s="28" t="s">
        <v>457</v>
      </c>
      <c r="D133" s="28"/>
      <c r="E133" s="206">
        <v>42356</v>
      </c>
      <c r="F133" s="28" t="s">
        <v>172</v>
      </c>
      <c r="G133" s="27" t="s">
        <v>71</v>
      </c>
      <c r="H133" s="27"/>
      <c r="I133" s="52" t="s">
        <v>171</v>
      </c>
      <c r="J133" s="5"/>
      <c r="K133" s="1"/>
      <c r="L133" s="53"/>
    </row>
    <row r="134" spans="1:24" s="127" customFormat="1" ht="12" x14ac:dyDescent="0.3">
      <c r="A134" s="128">
        <v>36</v>
      </c>
      <c r="B134" s="21" t="s">
        <v>26</v>
      </c>
      <c r="C134" s="28" t="s">
        <v>458</v>
      </c>
      <c r="D134" s="28"/>
      <c r="E134" s="202">
        <v>42844</v>
      </c>
      <c r="F134" s="28" t="s">
        <v>172</v>
      </c>
      <c r="G134" s="27" t="s">
        <v>71</v>
      </c>
      <c r="H134" s="27"/>
      <c r="I134" s="52" t="s">
        <v>171</v>
      </c>
      <c r="J134" s="5"/>
      <c r="K134" s="1"/>
      <c r="L134" s="53"/>
    </row>
    <row r="135" spans="1:24" s="127" customFormat="1" ht="12" x14ac:dyDescent="0.3">
      <c r="A135" s="128">
        <v>37</v>
      </c>
      <c r="B135" s="21" t="s">
        <v>23</v>
      </c>
      <c r="C135" s="28" t="s">
        <v>459</v>
      </c>
      <c r="D135" s="28"/>
      <c r="E135" s="208">
        <v>42601</v>
      </c>
      <c r="F135" s="28" t="s">
        <v>172</v>
      </c>
      <c r="G135" s="27" t="s">
        <v>71</v>
      </c>
      <c r="H135" s="27"/>
      <c r="I135" s="52" t="s">
        <v>171</v>
      </c>
      <c r="J135" s="5"/>
      <c r="K135" s="1"/>
      <c r="L135" s="53"/>
    </row>
    <row r="136" spans="1:24" s="127" customFormat="1" ht="12" x14ac:dyDescent="0.3">
      <c r="A136" s="128"/>
      <c r="B136" s="115" t="s">
        <v>41</v>
      </c>
      <c r="C136" s="122"/>
      <c r="D136" s="3"/>
      <c r="E136" s="116"/>
      <c r="F136" s="115" t="s">
        <v>171</v>
      </c>
      <c r="G136" s="27"/>
      <c r="H136" s="27"/>
      <c r="I136" s="52"/>
      <c r="J136" s="5"/>
      <c r="K136" s="1"/>
      <c r="L136" s="53"/>
    </row>
    <row r="137" spans="1:24" s="127" customFormat="1" ht="12" x14ac:dyDescent="0.3">
      <c r="A137" s="128"/>
      <c r="B137" s="115" t="s">
        <v>41</v>
      </c>
      <c r="C137" s="3"/>
      <c r="D137" s="3"/>
      <c r="E137" s="123"/>
      <c r="F137" s="115" t="s">
        <v>503</v>
      </c>
      <c r="G137" s="27"/>
      <c r="H137" s="52"/>
      <c r="I137" s="52"/>
      <c r="J137" s="5"/>
      <c r="K137" s="1"/>
      <c r="L137" s="53"/>
      <c r="X137" s="114"/>
    </row>
    <row r="138" spans="1:24" s="127" customFormat="1" ht="12" x14ac:dyDescent="0.3">
      <c r="A138" s="128"/>
      <c r="G138" s="27"/>
      <c r="H138" s="27"/>
      <c r="I138" s="52"/>
      <c r="J138" s="5"/>
      <c r="K138" s="1"/>
      <c r="L138" s="53"/>
      <c r="X138" s="114"/>
    </row>
    <row r="139" spans="1:24" s="127" customFormat="1" ht="13" x14ac:dyDescent="0.3">
      <c r="A139" s="128"/>
      <c r="B139" s="220" t="s">
        <v>172</v>
      </c>
      <c r="C139" s="3"/>
      <c r="D139" s="3"/>
      <c r="E139" s="123"/>
      <c r="F139" s="52"/>
      <c r="G139" s="27"/>
      <c r="H139" s="27"/>
      <c r="I139" s="52"/>
      <c r="J139" s="5"/>
      <c r="K139" s="1"/>
      <c r="L139" s="53"/>
      <c r="X139" s="114"/>
    </row>
    <row r="140" spans="1:24" s="127" customFormat="1" ht="12" x14ac:dyDescent="0.3">
      <c r="A140" s="128">
        <v>1</v>
      </c>
      <c r="B140" s="21" t="s">
        <v>23</v>
      </c>
      <c r="C140" s="28" t="s">
        <v>310</v>
      </c>
      <c r="D140" s="28"/>
      <c r="E140" s="202">
        <v>42169</v>
      </c>
      <c r="F140" s="28" t="s">
        <v>172</v>
      </c>
      <c r="G140" s="27" t="s">
        <v>71</v>
      </c>
      <c r="H140" s="27"/>
      <c r="I140" s="52" t="s">
        <v>244</v>
      </c>
      <c r="J140" s="5"/>
      <c r="K140" s="1"/>
      <c r="L140" s="53"/>
      <c r="X140" s="114"/>
    </row>
    <row r="141" spans="1:24" s="127" customFormat="1" ht="12" x14ac:dyDescent="0.3">
      <c r="A141" s="128"/>
      <c r="B141" s="27"/>
      <c r="C141" s="3"/>
      <c r="D141" s="3"/>
      <c r="E141" s="123"/>
      <c r="F141" s="52"/>
      <c r="G141" s="27"/>
      <c r="H141" s="27"/>
      <c r="I141" s="52"/>
      <c r="J141" s="5"/>
      <c r="K141" s="1"/>
      <c r="L141" s="53"/>
      <c r="X141" s="114"/>
    </row>
    <row r="142" spans="1:24" s="127" customFormat="1" ht="12" x14ac:dyDescent="0.3">
      <c r="A142" s="128"/>
      <c r="B142" s="115" t="s">
        <v>41</v>
      </c>
      <c r="C142" s="3"/>
      <c r="D142" s="3"/>
      <c r="E142" s="123"/>
      <c r="F142" s="115" t="s">
        <v>504</v>
      </c>
      <c r="G142" s="27"/>
      <c r="H142" s="27"/>
      <c r="I142" s="52"/>
      <c r="J142" s="5"/>
      <c r="K142" s="1"/>
      <c r="L142" s="53"/>
      <c r="X142" s="114"/>
    </row>
    <row r="143" spans="1:24" s="127" customFormat="1" ht="12" x14ac:dyDescent="0.3">
      <c r="A143" s="128"/>
      <c r="B143" s="27"/>
      <c r="C143" s="3"/>
      <c r="D143" s="3"/>
      <c r="E143" s="123"/>
      <c r="F143" s="52"/>
      <c r="G143" s="27"/>
      <c r="H143" s="27"/>
      <c r="I143" s="52"/>
      <c r="J143" s="5"/>
      <c r="K143" s="1"/>
      <c r="L143" s="53"/>
      <c r="X143" s="114"/>
    </row>
    <row r="144" spans="1:24" s="127" customFormat="1" ht="13" x14ac:dyDescent="0.3">
      <c r="A144" s="128"/>
      <c r="B144" s="220" t="s">
        <v>245</v>
      </c>
      <c r="C144" s="3"/>
      <c r="D144" s="3"/>
      <c r="E144" s="123"/>
      <c r="F144" s="52"/>
      <c r="G144" s="27"/>
      <c r="H144" s="27"/>
      <c r="I144" s="52"/>
      <c r="J144" s="5"/>
      <c r="K144" s="1"/>
      <c r="L144" s="53"/>
      <c r="X144" s="114"/>
    </row>
    <row r="145" spans="1:24" s="127" customFormat="1" ht="12" x14ac:dyDescent="0.3">
      <c r="A145" s="128">
        <v>1</v>
      </c>
      <c r="B145" s="21" t="s">
        <v>23</v>
      </c>
      <c r="C145" s="28" t="s">
        <v>385</v>
      </c>
      <c r="D145" s="28"/>
      <c r="E145" s="202">
        <v>42078</v>
      </c>
      <c r="F145" s="28" t="s">
        <v>245</v>
      </c>
      <c r="G145" s="27" t="s">
        <v>69</v>
      </c>
      <c r="H145" s="27"/>
      <c r="I145" s="52" t="s">
        <v>472</v>
      </c>
      <c r="J145" s="5"/>
      <c r="K145" s="1"/>
      <c r="L145" s="53"/>
      <c r="X145" s="114"/>
    </row>
    <row r="146" spans="1:24" s="127" customFormat="1" ht="12" x14ac:dyDescent="0.3">
      <c r="A146" s="128">
        <v>2</v>
      </c>
      <c r="B146" s="14" t="s">
        <v>38</v>
      </c>
      <c r="C146" s="28" t="s">
        <v>386</v>
      </c>
      <c r="D146" s="28"/>
      <c r="E146" s="202">
        <v>42060</v>
      </c>
      <c r="F146" s="28" t="s">
        <v>245</v>
      </c>
      <c r="G146" s="27" t="s">
        <v>71</v>
      </c>
      <c r="H146" s="27"/>
      <c r="I146" s="52" t="s">
        <v>472</v>
      </c>
      <c r="J146" s="5"/>
      <c r="K146" s="1"/>
      <c r="L146" s="53"/>
      <c r="X146" s="114"/>
    </row>
    <row r="147" spans="1:24" s="127" customFormat="1" ht="12" x14ac:dyDescent="0.3">
      <c r="A147" s="128">
        <v>3</v>
      </c>
      <c r="B147" s="21" t="s">
        <v>23</v>
      </c>
      <c r="C147" s="28" t="s">
        <v>387</v>
      </c>
      <c r="D147" s="28"/>
      <c r="E147" s="202">
        <v>42299</v>
      </c>
      <c r="F147" s="28" t="s">
        <v>245</v>
      </c>
      <c r="G147" s="27" t="s">
        <v>71</v>
      </c>
      <c r="H147" s="27"/>
      <c r="I147" s="52" t="s">
        <v>472</v>
      </c>
      <c r="J147" s="5"/>
      <c r="K147" s="1"/>
      <c r="L147" s="53"/>
      <c r="X147" s="114"/>
    </row>
    <row r="148" spans="1:24" s="127" customFormat="1" ht="12" x14ac:dyDescent="0.3">
      <c r="A148" s="128">
        <v>4</v>
      </c>
      <c r="B148" s="14" t="s">
        <v>38</v>
      </c>
      <c r="C148" s="28" t="s">
        <v>388</v>
      </c>
      <c r="D148" s="28"/>
      <c r="E148" s="202">
        <v>42206</v>
      </c>
      <c r="F148" s="28" t="s">
        <v>245</v>
      </c>
      <c r="G148" s="27" t="s">
        <v>71</v>
      </c>
      <c r="H148" s="27"/>
      <c r="I148" s="52" t="s">
        <v>472</v>
      </c>
      <c r="J148" s="5"/>
      <c r="K148" s="1"/>
      <c r="L148" s="53"/>
      <c r="X148" s="114"/>
    </row>
    <row r="149" spans="1:24" s="127" customFormat="1" ht="12" x14ac:dyDescent="0.3">
      <c r="A149" s="128">
        <v>5</v>
      </c>
      <c r="B149" s="21" t="s">
        <v>23</v>
      </c>
      <c r="C149" s="28" t="s">
        <v>389</v>
      </c>
      <c r="D149" s="28"/>
      <c r="E149" s="202">
        <v>42717</v>
      </c>
      <c r="F149" s="28" t="s">
        <v>245</v>
      </c>
      <c r="G149" s="27" t="s">
        <v>71</v>
      </c>
      <c r="H149" s="27"/>
      <c r="I149" s="52" t="s">
        <v>472</v>
      </c>
      <c r="J149" s="5"/>
      <c r="K149" s="1"/>
      <c r="L149" s="53"/>
      <c r="X149" s="114"/>
    </row>
    <row r="150" spans="1:24" s="127" customFormat="1" ht="12" x14ac:dyDescent="0.3">
      <c r="A150" s="128">
        <v>6</v>
      </c>
      <c r="B150" s="21" t="s">
        <v>26</v>
      </c>
      <c r="C150" s="28" t="s">
        <v>390</v>
      </c>
      <c r="D150" s="28"/>
      <c r="E150" s="202">
        <v>42619</v>
      </c>
      <c r="F150" s="28" t="s">
        <v>245</v>
      </c>
      <c r="G150" s="27" t="s">
        <v>71</v>
      </c>
      <c r="H150" s="27"/>
      <c r="I150" s="52" t="s">
        <v>472</v>
      </c>
      <c r="J150" s="5"/>
      <c r="K150" s="1"/>
      <c r="L150" s="53"/>
      <c r="X150" s="114"/>
    </row>
    <row r="151" spans="1:24" s="127" customFormat="1" ht="12" x14ac:dyDescent="0.3">
      <c r="A151" s="128">
        <v>7</v>
      </c>
      <c r="B151" s="14" t="s">
        <v>22</v>
      </c>
      <c r="C151" s="28" t="s">
        <v>391</v>
      </c>
      <c r="D151" s="28"/>
      <c r="E151" s="202">
        <v>42075</v>
      </c>
      <c r="F151" s="28" t="s">
        <v>245</v>
      </c>
      <c r="G151" s="27" t="s">
        <v>71</v>
      </c>
      <c r="H151" s="27"/>
      <c r="I151" s="52" t="s">
        <v>472</v>
      </c>
      <c r="J151" s="5"/>
      <c r="K151" s="1"/>
      <c r="L151" s="53"/>
      <c r="X151" s="114"/>
    </row>
    <row r="152" spans="1:24" s="127" customFormat="1" ht="12" x14ac:dyDescent="0.3">
      <c r="A152" s="128">
        <v>8</v>
      </c>
      <c r="B152" s="21" t="s">
        <v>26</v>
      </c>
      <c r="C152" s="28" t="s">
        <v>392</v>
      </c>
      <c r="D152" s="28"/>
      <c r="E152" s="202">
        <v>42565</v>
      </c>
      <c r="F152" s="28" t="s">
        <v>245</v>
      </c>
      <c r="G152" s="27" t="s">
        <v>71</v>
      </c>
      <c r="H152" s="27"/>
      <c r="I152" s="52" t="s">
        <v>472</v>
      </c>
      <c r="J152" s="5"/>
      <c r="K152" s="1"/>
      <c r="L152" s="53"/>
      <c r="X152" s="114"/>
    </row>
    <row r="153" spans="1:24" s="127" customFormat="1" ht="12" x14ac:dyDescent="0.3">
      <c r="A153" s="128">
        <v>9</v>
      </c>
      <c r="B153" s="14" t="s">
        <v>22</v>
      </c>
      <c r="C153" s="28" t="s">
        <v>393</v>
      </c>
      <c r="D153" s="28"/>
      <c r="E153" s="202">
        <v>42068</v>
      </c>
      <c r="F153" s="28" t="s">
        <v>245</v>
      </c>
      <c r="G153" s="27" t="s">
        <v>71</v>
      </c>
      <c r="H153" s="27"/>
      <c r="I153" s="52" t="s">
        <v>472</v>
      </c>
      <c r="J153" s="5"/>
      <c r="K153" s="1"/>
      <c r="L153" s="53"/>
      <c r="X153" s="114"/>
    </row>
    <row r="154" spans="1:24" s="127" customFormat="1" ht="12" x14ac:dyDescent="0.3">
      <c r="A154" s="128"/>
      <c r="B154" s="115" t="s">
        <v>41</v>
      </c>
      <c r="C154" s="3"/>
      <c r="D154" s="3"/>
      <c r="E154" s="123"/>
      <c r="F154" s="115" t="s">
        <v>472</v>
      </c>
      <c r="G154" s="27"/>
      <c r="H154" s="27"/>
      <c r="I154" s="52"/>
      <c r="J154" s="5"/>
      <c r="K154" s="1"/>
      <c r="L154" s="53"/>
      <c r="X154" s="114"/>
    </row>
    <row r="155" spans="1:24" s="127" customFormat="1" ht="12" x14ac:dyDescent="0.3">
      <c r="A155" s="128"/>
      <c r="B155" s="27"/>
      <c r="C155" s="3"/>
      <c r="D155" s="3"/>
      <c r="E155" s="123"/>
      <c r="F155" s="52"/>
      <c r="G155" s="27"/>
      <c r="H155" s="27"/>
      <c r="I155" s="52"/>
      <c r="J155" s="5"/>
      <c r="K155" s="1"/>
      <c r="L155" s="53"/>
      <c r="X155" s="114"/>
    </row>
    <row r="156" spans="1:24" s="127" customFormat="1" ht="13" x14ac:dyDescent="0.3">
      <c r="A156" s="128"/>
      <c r="B156" s="220" t="s">
        <v>176</v>
      </c>
      <c r="C156" s="3"/>
      <c r="D156" s="3"/>
      <c r="E156" s="123"/>
      <c r="F156" s="52"/>
      <c r="G156" s="27"/>
      <c r="H156" s="27"/>
      <c r="I156" s="52"/>
      <c r="J156" s="5"/>
      <c r="K156" s="1"/>
      <c r="L156" s="53"/>
      <c r="X156" s="114"/>
    </row>
    <row r="157" spans="1:24" s="127" customFormat="1" ht="12" x14ac:dyDescent="0.3">
      <c r="A157" s="128">
        <v>1</v>
      </c>
      <c r="B157" s="21" t="s">
        <v>23</v>
      </c>
      <c r="C157" s="28" t="s">
        <v>375</v>
      </c>
      <c r="D157" s="28"/>
      <c r="E157" s="202">
        <v>42314</v>
      </c>
      <c r="F157" s="28" t="s">
        <v>176</v>
      </c>
      <c r="G157" s="27" t="s">
        <v>69</v>
      </c>
      <c r="H157" s="27"/>
      <c r="I157" s="52" t="s">
        <v>199</v>
      </c>
      <c r="J157" s="114"/>
      <c r="L157" s="53"/>
      <c r="X157" s="114"/>
    </row>
    <row r="158" spans="1:24" s="127" customFormat="1" ht="12" x14ac:dyDescent="0.3">
      <c r="A158" s="128">
        <v>2</v>
      </c>
      <c r="B158" s="21" t="s">
        <v>23</v>
      </c>
      <c r="C158" s="28" t="s">
        <v>376</v>
      </c>
      <c r="D158" s="28"/>
      <c r="E158" s="202">
        <v>42457</v>
      </c>
      <c r="F158" s="28" t="s">
        <v>176</v>
      </c>
      <c r="G158" s="27" t="s">
        <v>69</v>
      </c>
      <c r="H158" s="27"/>
      <c r="I158" s="52" t="s">
        <v>199</v>
      </c>
      <c r="J158" s="114"/>
      <c r="L158" s="53"/>
      <c r="X158" s="114"/>
    </row>
    <row r="159" spans="1:24" s="127" customFormat="1" ht="12" x14ac:dyDescent="0.3">
      <c r="A159" s="128">
        <v>3</v>
      </c>
      <c r="B159" s="21" t="s">
        <v>23</v>
      </c>
      <c r="C159" s="28" t="s">
        <v>377</v>
      </c>
      <c r="D159" s="28"/>
      <c r="E159" s="202">
        <v>42091</v>
      </c>
      <c r="F159" s="28" t="s">
        <v>176</v>
      </c>
      <c r="G159" s="27" t="s">
        <v>69</v>
      </c>
      <c r="H159" s="27"/>
      <c r="I159" s="52" t="s">
        <v>199</v>
      </c>
      <c r="L159" s="53"/>
      <c r="X159" s="114"/>
    </row>
    <row r="160" spans="1:24" s="127" customFormat="1" ht="12" x14ac:dyDescent="0.3">
      <c r="A160" s="128">
        <v>4</v>
      </c>
      <c r="B160" s="21" t="s">
        <v>23</v>
      </c>
      <c r="C160" s="28" t="s">
        <v>378</v>
      </c>
      <c r="D160" s="28"/>
      <c r="E160" s="202">
        <v>42044</v>
      </c>
      <c r="F160" s="28" t="s">
        <v>176</v>
      </c>
      <c r="G160" s="27" t="s">
        <v>71</v>
      </c>
      <c r="H160" s="27"/>
      <c r="I160" s="52" t="s">
        <v>199</v>
      </c>
      <c r="J160" s="114"/>
      <c r="L160" s="53"/>
      <c r="X160" s="114"/>
    </row>
    <row r="161" spans="1:24" s="127" customFormat="1" ht="12" x14ac:dyDescent="0.3">
      <c r="A161" s="128"/>
      <c r="B161" s="115" t="s">
        <v>41</v>
      </c>
      <c r="C161" s="3"/>
      <c r="D161" s="3"/>
      <c r="E161" s="123"/>
      <c r="F161" s="115" t="s">
        <v>506</v>
      </c>
      <c r="J161" s="219"/>
      <c r="K161" s="1"/>
      <c r="L161" s="53"/>
    </row>
    <row r="162" spans="1:24" s="127" customFormat="1" ht="12" x14ac:dyDescent="0.3">
      <c r="A162" s="128"/>
      <c r="B162" s="115" t="s">
        <v>41</v>
      </c>
      <c r="C162" s="3"/>
      <c r="D162" s="3"/>
      <c r="E162" s="123"/>
      <c r="F162" s="115" t="s">
        <v>505</v>
      </c>
      <c r="I162" s="52"/>
      <c r="J162" s="5"/>
      <c r="K162" s="1"/>
      <c r="L162" s="53"/>
    </row>
    <row r="163" spans="1:24" s="127" customFormat="1" ht="12" x14ac:dyDescent="0.3">
      <c r="A163" s="128"/>
      <c r="B163" s="27"/>
      <c r="C163" s="3"/>
      <c r="D163" s="3"/>
      <c r="E163" s="123"/>
      <c r="F163" s="52"/>
      <c r="G163" s="27"/>
      <c r="H163" s="27"/>
      <c r="I163" s="52"/>
      <c r="J163" s="5"/>
      <c r="K163" s="1"/>
      <c r="L163" s="53"/>
      <c r="P163" s="14"/>
      <c r="Q163" s="28"/>
      <c r="R163" s="28"/>
      <c r="S163" s="202"/>
      <c r="T163" s="28"/>
      <c r="U163" s="27"/>
      <c r="V163" s="27"/>
      <c r="W163" s="52"/>
    </row>
    <row r="164" spans="1:24" s="127" customFormat="1" ht="13" x14ac:dyDescent="0.3">
      <c r="A164" s="128"/>
      <c r="B164" s="220" t="s">
        <v>193</v>
      </c>
      <c r="C164" s="3"/>
      <c r="D164" s="3"/>
      <c r="E164" s="123"/>
      <c r="F164" s="52"/>
      <c r="G164" s="27"/>
      <c r="H164" s="27"/>
      <c r="I164" s="52"/>
      <c r="J164" s="5"/>
      <c r="K164" s="1"/>
      <c r="L164" s="53"/>
      <c r="P164" s="14"/>
      <c r="Q164" s="28"/>
      <c r="R164" s="28"/>
      <c r="S164" s="202"/>
      <c r="T164" s="28"/>
      <c r="U164" s="27"/>
      <c r="V164" s="27"/>
      <c r="W164" s="52"/>
    </row>
    <row r="165" spans="1:24" s="127" customFormat="1" ht="12" x14ac:dyDescent="0.3">
      <c r="A165" s="128">
        <v>1</v>
      </c>
      <c r="B165" s="14" t="s">
        <v>38</v>
      </c>
      <c r="C165" s="28" t="s">
        <v>460</v>
      </c>
      <c r="D165" s="28"/>
      <c r="E165" s="205">
        <v>42155</v>
      </c>
      <c r="F165" s="28" t="s">
        <v>193</v>
      </c>
      <c r="G165" s="27" t="s">
        <v>69</v>
      </c>
      <c r="H165" s="27"/>
      <c r="I165" s="52" t="s">
        <v>248</v>
      </c>
      <c r="J165" s="5"/>
      <c r="K165" s="1"/>
      <c r="L165" s="53"/>
      <c r="P165" s="14"/>
      <c r="Q165" s="28"/>
      <c r="R165" s="28"/>
      <c r="S165" s="202"/>
      <c r="T165" s="28"/>
      <c r="U165" s="27"/>
      <c r="V165" s="27"/>
      <c r="W165" s="52"/>
    </row>
    <row r="166" spans="1:24" s="127" customFormat="1" ht="12" x14ac:dyDescent="0.3">
      <c r="A166" s="128"/>
      <c r="B166" s="115" t="s">
        <v>41</v>
      </c>
      <c r="C166" s="3"/>
      <c r="D166" s="3"/>
      <c r="E166" s="123"/>
      <c r="F166" s="115" t="s">
        <v>248</v>
      </c>
      <c r="G166" s="27"/>
      <c r="H166" s="27"/>
      <c r="I166" s="52"/>
      <c r="J166" s="5"/>
      <c r="K166" s="1"/>
      <c r="L166" s="53"/>
      <c r="X166" s="114"/>
    </row>
    <row r="167" spans="1:24" s="127" customFormat="1" ht="12" x14ac:dyDescent="0.3">
      <c r="A167" s="128"/>
      <c r="K167" s="1"/>
      <c r="L167" s="53"/>
      <c r="P167" s="14"/>
      <c r="Q167" s="28"/>
      <c r="R167" s="28"/>
      <c r="S167" s="202"/>
      <c r="T167" s="28"/>
      <c r="U167" s="27"/>
      <c r="V167" s="27"/>
      <c r="W167" s="52"/>
    </row>
    <row r="168" spans="1:24" s="127" customFormat="1" ht="13" x14ac:dyDescent="0.3">
      <c r="A168" s="128"/>
      <c r="B168" s="220" t="s">
        <v>193</v>
      </c>
      <c r="K168" s="1"/>
      <c r="L168" s="53"/>
      <c r="P168" s="14"/>
      <c r="Q168" s="28"/>
      <c r="R168" s="28"/>
      <c r="S168" s="202"/>
      <c r="T168" s="28"/>
      <c r="U168" s="27"/>
      <c r="V168" s="27"/>
      <c r="W168" s="52"/>
    </row>
    <row r="169" spans="1:24" s="127" customFormat="1" ht="12" x14ac:dyDescent="0.3">
      <c r="A169" s="128">
        <v>1</v>
      </c>
      <c r="B169" s="14" t="s">
        <v>22</v>
      </c>
      <c r="C169" s="28" t="s">
        <v>394</v>
      </c>
      <c r="D169" s="28"/>
      <c r="E169" s="202">
        <v>42556</v>
      </c>
      <c r="F169" s="28" t="s">
        <v>193</v>
      </c>
      <c r="G169" s="27" t="s">
        <v>69</v>
      </c>
      <c r="H169" s="27"/>
      <c r="I169" s="52" t="s">
        <v>246</v>
      </c>
      <c r="K169" s="1"/>
      <c r="L169" s="53"/>
      <c r="P169" s="14"/>
      <c r="Q169" s="28"/>
      <c r="R169" s="28"/>
      <c r="S169" s="202"/>
      <c r="T169" s="28"/>
      <c r="U169" s="27"/>
      <c r="V169" s="27"/>
      <c r="W169" s="52"/>
    </row>
    <row r="170" spans="1:24" s="127" customFormat="1" ht="12" x14ac:dyDescent="0.3">
      <c r="A170" s="128">
        <v>2</v>
      </c>
      <c r="B170" s="21" t="s">
        <v>23</v>
      </c>
      <c r="C170" s="28" t="s">
        <v>395</v>
      </c>
      <c r="D170" s="28"/>
      <c r="E170" s="202">
        <v>42254</v>
      </c>
      <c r="F170" s="28" t="s">
        <v>193</v>
      </c>
      <c r="G170" s="27" t="s">
        <v>69</v>
      </c>
      <c r="H170" s="27"/>
      <c r="I170" s="52" t="s">
        <v>246</v>
      </c>
      <c r="K170" s="1"/>
      <c r="L170" s="53"/>
      <c r="P170" s="14"/>
      <c r="Q170" s="28"/>
      <c r="R170" s="28"/>
      <c r="S170" s="202"/>
      <c r="T170" s="28"/>
      <c r="U170" s="27"/>
      <c r="V170" s="27"/>
      <c r="W170" s="52"/>
    </row>
    <row r="171" spans="1:24" s="127" customFormat="1" ht="12" x14ac:dyDescent="0.3">
      <c r="A171" s="128">
        <v>3</v>
      </c>
      <c r="B171" s="21" t="s">
        <v>23</v>
      </c>
      <c r="C171" s="28" t="s">
        <v>396</v>
      </c>
      <c r="D171" s="28"/>
      <c r="E171" s="202">
        <v>42549</v>
      </c>
      <c r="F171" s="28" t="s">
        <v>193</v>
      </c>
      <c r="G171" s="27" t="s">
        <v>69</v>
      </c>
      <c r="H171" s="27"/>
      <c r="I171" s="52" t="s">
        <v>246</v>
      </c>
      <c r="K171" s="1"/>
      <c r="L171" s="53"/>
      <c r="P171" s="14"/>
      <c r="Q171" s="28"/>
      <c r="R171" s="28"/>
      <c r="S171" s="202"/>
      <c r="T171" s="28"/>
      <c r="U171" s="27"/>
      <c r="V171" s="27"/>
      <c r="W171" s="52"/>
    </row>
    <row r="172" spans="1:24" s="127" customFormat="1" ht="12" x14ac:dyDescent="0.3">
      <c r="A172" s="128">
        <v>4</v>
      </c>
      <c r="B172" s="21" t="s">
        <v>23</v>
      </c>
      <c r="C172" s="28" t="s">
        <v>397</v>
      </c>
      <c r="D172" s="28"/>
      <c r="E172" s="202">
        <v>42079</v>
      </c>
      <c r="F172" s="28" t="s">
        <v>193</v>
      </c>
      <c r="G172" s="27" t="s">
        <v>69</v>
      </c>
      <c r="H172" s="27"/>
      <c r="I172" s="52" t="s">
        <v>246</v>
      </c>
      <c r="K172" s="1"/>
      <c r="L172" s="53"/>
      <c r="P172" s="14"/>
      <c r="Q172" s="28"/>
      <c r="R172" s="28"/>
      <c r="S172" s="202"/>
      <c r="T172" s="28"/>
      <c r="U172" s="27"/>
      <c r="V172" s="27"/>
      <c r="W172" s="52"/>
    </row>
    <row r="173" spans="1:24" s="127" customFormat="1" ht="12" x14ac:dyDescent="0.3">
      <c r="A173" s="128">
        <v>5</v>
      </c>
      <c r="B173" s="21" t="s">
        <v>23</v>
      </c>
      <c r="C173" s="28" t="s">
        <v>398</v>
      </c>
      <c r="D173" s="28"/>
      <c r="E173" s="202">
        <v>42256</v>
      </c>
      <c r="F173" s="28" t="s">
        <v>193</v>
      </c>
      <c r="G173" s="27" t="s">
        <v>71</v>
      </c>
      <c r="H173" s="27"/>
      <c r="I173" s="52" t="s">
        <v>246</v>
      </c>
      <c r="J173" s="219"/>
      <c r="K173" s="1"/>
      <c r="L173" s="53"/>
      <c r="P173" s="14"/>
      <c r="Q173" s="28"/>
      <c r="R173" s="28"/>
      <c r="S173" s="202"/>
      <c r="T173" s="28"/>
      <c r="U173" s="27"/>
      <c r="V173" s="27"/>
      <c r="W173" s="52"/>
    </row>
    <row r="174" spans="1:24" s="127" customFormat="1" ht="12" x14ac:dyDescent="0.3">
      <c r="A174" s="128"/>
      <c r="B174" s="115" t="s">
        <v>41</v>
      </c>
      <c r="C174" s="3"/>
      <c r="D174" s="3"/>
      <c r="E174" s="123"/>
      <c r="F174" s="115" t="s">
        <v>246</v>
      </c>
      <c r="G174" s="27"/>
      <c r="H174" s="27"/>
      <c r="I174" s="52"/>
      <c r="J174" s="5"/>
      <c r="K174" s="1"/>
      <c r="L174" s="53"/>
      <c r="X174" s="114"/>
    </row>
    <row r="175" spans="1:24" s="127" customFormat="1" ht="12" x14ac:dyDescent="0.3">
      <c r="A175" s="128"/>
      <c r="J175" s="219"/>
      <c r="K175" s="1"/>
      <c r="L175" s="53"/>
      <c r="P175" s="14"/>
      <c r="Q175" s="28"/>
      <c r="R175" s="28"/>
      <c r="S175" s="202"/>
      <c r="T175" s="28"/>
      <c r="U175" s="27"/>
      <c r="V175" s="27"/>
      <c r="W175" s="52"/>
    </row>
    <row r="176" spans="1:24" s="127" customFormat="1" ht="13" x14ac:dyDescent="0.3">
      <c r="A176" s="128"/>
      <c r="B176" s="220" t="s">
        <v>193</v>
      </c>
      <c r="J176" s="114"/>
      <c r="K176" s="1"/>
      <c r="L176" s="53"/>
      <c r="P176" s="14"/>
      <c r="Q176" s="28"/>
      <c r="R176" s="28"/>
      <c r="S176" s="202"/>
      <c r="T176" s="28"/>
      <c r="U176" s="27"/>
      <c r="V176" s="27"/>
      <c r="W176" s="52"/>
    </row>
    <row r="177" spans="1:27" s="127" customFormat="1" ht="12" x14ac:dyDescent="0.3">
      <c r="A177" s="128">
        <v>1</v>
      </c>
      <c r="B177" s="14" t="s">
        <v>22</v>
      </c>
      <c r="C177" s="28" t="s">
        <v>379</v>
      </c>
      <c r="D177" s="28"/>
      <c r="E177" s="202">
        <v>42486</v>
      </c>
      <c r="F177" s="28" t="s">
        <v>193</v>
      </c>
      <c r="G177" s="27" t="s">
        <v>69</v>
      </c>
      <c r="H177" s="27"/>
      <c r="I177" s="52" t="s">
        <v>175</v>
      </c>
      <c r="J177" s="114"/>
      <c r="K177" s="1"/>
      <c r="L177" s="53"/>
      <c r="P177" s="14"/>
      <c r="Q177" s="28"/>
      <c r="R177" s="28"/>
      <c r="S177" s="202"/>
      <c r="T177" s="28"/>
      <c r="U177" s="27"/>
      <c r="V177" s="27"/>
      <c r="W177" s="52"/>
    </row>
    <row r="178" spans="1:27" s="127" customFormat="1" ht="12" x14ac:dyDescent="0.3">
      <c r="A178" s="128">
        <v>2</v>
      </c>
      <c r="B178" s="14" t="s">
        <v>22</v>
      </c>
      <c r="C178" s="28" t="s">
        <v>380</v>
      </c>
      <c r="D178" s="28"/>
      <c r="E178" s="202">
        <v>42794</v>
      </c>
      <c r="F178" s="28" t="s">
        <v>193</v>
      </c>
      <c r="G178" s="27" t="s">
        <v>69</v>
      </c>
      <c r="H178" s="27"/>
      <c r="I178" s="52" t="s">
        <v>175</v>
      </c>
      <c r="J178" s="5"/>
      <c r="K178" s="1"/>
      <c r="L178" s="53"/>
      <c r="P178" s="14"/>
      <c r="Q178" s="28"/>
      <c r="R178" s="28"/>
      <c r="S178" s="202"/>
      <c r="T178" s="28"/>
      <c r="U178" s="27"/>
      <c r="V178" s="27"/>
      <c r="W178" s="52"/>
    </row>
    <row r="179" spans="1:27" s="127" customFormat="1" ht="12" x14ac:dyDescent="0.3">
      <c r="A179" s="128">
        <v>3</v>
      </c>
      <c r="B179" s="21" t="s">
        <v>23</v>
      </c>
      <c r="C179" s="28" t="s">
        <v>381</v>
      </c>
      <c r="D179" s="28"/>
      <c r="E179" s="202">
        <v>42818</v>
      </c>
      <c r="F179" s="28" t="s">
        <v>193</v>
      </c>
      <c r="G179" s="27" t="s">
        <v>69</v>
      </c>
      <c r="H179" s="27"/>
      <c r="I179" s="52" t="s">
        <v>175</v>
      </c>
      <c r="J179" s="5"/>
      <c r="K179" s="1"/>
      <c r="L179" s="53"/>
      <c r="P179" s="14"/>
      <c r="Q179" s="28"/>
      <c r="R179" s="28"/>
      <c r="S179" s="202"/>
      <c r="T179" s="28"/>
      <c r="U179" s="27"/>
      <c r="V179" s="27"/>
      <c r="W179" s="52"/>
    </row>
    <row r="180" spans="1:27" s="127" customFormat="1" ht="12" x14ac:dyDescent="0.3">
      <c r="A180" s="128">
        <v>4</v>
      </c>
      <c r="B180" s="14" t="s">
        <v>22</v>
      </c>
      <c r="C180" s="28" t="s">
        <v>382</v>
      </c>
      <c r="D180" s="28"/>
      <c r="E180" s="202">
        <v>42114</v>
      </c>
      <c r="F180" s="28" t="s">
        <v>193</v>
      </c>
      <c r="G180" s="27" t="s">
        <v>69</v>
      </c>
      <c r="H180" s="27"/>
      <c r="I180" s="52" t="s">
        <v>175</v>
      </c>
      <c r="J180" s="5"/>
      <c r="K180" s="1"/>
      <c r="L180" s="53"/>
      <c r="P180" s="14"/>
      <c r="Q180" s="28"/>
      <c r="R180" s="28"/>
      <c r="S180" s="202"/>
      <c r="T180" s="28"/>
      <c r="U180" s="27"/>
      <c r="V180" s="27"/>
      <c r="W180" s="52"/>
    </row>
    <row r="181" spans="1:27" s="127" customFormat="1" ht="12" x14ac:dyDescent="0.3">
      <c r="A181" s="128">
        <v>5</v>
      </c>
      <c r="B181" s="14" t="s">
        <v>38</v>
      </c>
      <c r="C181" s="28" t="s">
        <v>383</v>
      </c>
      <c r="D181" s="28"/>
      <c r="E181" s="202">
        <v>42198</v>
      </c>
      <c r="F181" s="28" t="s">
        <v>193</v>
      </c>
      <c r="G181" s="27" t="s">
        <v>69</v>
      </c>
      <c r="H181" s="27"/>
      <c r="I181" s="52" t="s">
        <v>175</v>
      </c>
      <c r="J181" s="5"/>
      <c r="K181" s="1"/>
      <c r="L181" s="53"/>
    </row>
    <row r="182" spans="1:27" s="127" customFormat="1" ht="12" x14ac:dyDescent="0.3">
      <c r="A182" s="128">
        <v>6</v>
      </c>
      <c r="B182" s="14" t="s">
        <v>22</v>
      </c>
      <c r="C182" s="28" t="s">
        <v>384</v>
      </c>
      <c r="D182" s="28"/>
      <c r="E182" s="202">
        <v>42450</v>
      </c>
      <c r="F182" s="28" t="s">
        <v>193</v>
      </c>
      <c r="G182" s="27" t="s">
        <v>69</v>
      </c>
      <c r="H182" s="27"/>
      <c r="I182" s="52" t="s">
        <v>175</v>
      </c>
      <c r="J182" s="5"/>
      <c r="K182" s="1"/>
      <c r="L182" s="53"/>
    </row>
    <row r="183" spans="1:27" s="127" customFormat="1" ht="12" x14ac:dyDescent="0.3">
      <c r="A183" s="128"/>
      <c r="B183" s="115" t="s">
        <v>41</v>
      </c>
      <c r="C183" s="3"/>
      <c r="D183" s="3"/>
      <c r="E183" s="123"/>
      <c r="F183" s="115" t="s">
        <v>175</v>
      </c>
      <c r="G183" s="27"/>
      <c r="H183" s="27"/>
      <c r="I183" s="52"/>
      <c r="J183" s="5"/>
      <c r="K183" s="1"/>
      <c r="L183" s="53"/>
      <c r="X183" s="114"/>
    </row>
    <row r="184" spans="1:27" s="127" customFormat="1" ht="12" x14ac:dyDescent="0.3">
      <c r="A184" s="128"/>
      <c r="B184" s="27"/>
      <c r="C184" s="3"/>
      <c r="D184" s="3"/>
      <c r="E184" s="123"/>
      <c r="F184" s="52"/>
      <c r="G184" s="27"/>
      <c r="H184" s="27"/>
      <c r="I184" s="52"/>
      <c r="J184" s="5"/>
      <c r="K184" s="1"/>
      <c r="L184" s="53"/>
    </row>
    <row r="185" spans="1:27" s="114" customFormat="1" ht="13" x14ac:dyDescent="0.3">
      <c r="A185" s="128"/>
      <c r="B185" s="220" t="s">
        <v>198</v>
      </c>
      <c r="C185" s="3"/>
      <c r="D185" s="3"/>
      <c r="E185" s="123"/>
      <c r="F185" s="52"/>
      <c r="G185" s="27"/>
      <c r="H185" s="27"/>
      <c r="I185" s="52"/>
      <c r="J185" s="5"/>
      <c r="K185" s="1"/>
      <c r="L185" s="53"/>
      <c r="M185" s="127"/>
      <c r="N185" s="127"/>
      <c r="O185" s="127"/>
      <c r="Y185" s="5"/>
      <c r="Z185" s="5"/>
      <c r="AA185" s="1"/>
    </row>
    <row r="186" spans="1:27" s="127" customFormat="1" ht="12" x14ac:dyDescent="0.3">
      <c r="A186" s="128">
        <v>1</v>
      </c>
      <c r="B186" s="21" t="s">
        <v>23</v>
      </c>
      <c r="C186" s="28" t="s">
        <v>317</v>
      </c>
      <c r="D186" s="28"/>
      <c r="E186" s="202">
        <v>42046</v>
      </c>
      <c r="F186" s="28" t="s">
        <v>198</v>
      </c>
      <c r="G186" s="27" t="s">
        <v>69</v>
      </c>
      <c r="H186" s="27"/>
      <c r="I186" s="52" t="s">
        <v>202</v>
      </c>
      <c r="J186" s="5"/>
      <c r="K186" s="1"/>
      <c r="L186" s="53"/>
    </row>
    <row r="187" spans="1:27" s="127" customFormat="1" ht="12" x14ac:dyDescent="0.3">
      <c r="A187" s="128">
        <v>2</v>
      </c>
      <c r="B187" s="21" t="s">
        <v>26</v>
      </c>
      <c r="C187" s="28" t="s">
        <v>318</v>
      </c>
      <c r="D187" s="28"/>
      <c r="E187" s="202">
        <v>42421</v>
      </c>
      <c r="F187" s="28" t="s">
        <v>198</v>
      </c>
      <c r="G187" s="27" t="s">
        <v>69</v>
      </c>
      <c r="H187" s="27"/>
      <c r="I187" s="52" t="s">
        <v>202</v>
      </c>
      <c r="J187" s="5"/>
      <c r="K187" s="1"/>
      <c r="L187" s="53"/>
    </row>
    <row r="188" spans="1:27" s="127" customFormat="1" ht="12" x14ac:dyDescent="0.3">
      <c r="A188" s="128">
        <v>3</v>
      </c>
      <c r="B188" s="21" t="s">
        <v>23</v>
      </c>
      <c r="C188" s="28" t="s">
        <v>319</v>
      </c>
      <c r="D188" s="28"/>
      <c r="E188" s="202">
        <v>42616</v>
      </c>
      <c r="F188" s="28" t="s">
        <v>198</v>
      </c>
      <c r="G188" s="27" t="s">
        <v>69</v>
      </c>
      <c r="H188" s="27"/>
      <c r="I188" s="52" t="s">
        <v>202</v>
      </c>
      <c r="J188" s="5"/>
      <c r="K188" s="1"/>
      <c r="L188" s="53"/>
    </row>
    <row r="189" spans="1:27" s="127" customFormat="1" ht="12" x14ac:dyDescent="0.3">
      <c r="A189" s="128">
        <v>4</v>
      </c>
      <c r="B189" s="21" t="s">
        <v>23</v>
      </c>
      <c r="C189" s="28" t="s">
        <v>320</v>
      </c>
      <c r="D189" s="28"/>
      <c r="E189" s="202">
        <v>42711</v>
      </c>
      <c r="F189" s="28" t="s">
        <v>198</v>
      </c>
      <c r="G189" s="27" t="s">
        <v>69</v>
      </c>
      <c r="H189" s="27"/>
      <c r="I189" s="52" t="s">
        <v>202</v>
      </c>
      <c r="J189" s="5"/>
      <c r="K189" s="1"/>
      <c r="L189" s="53"/>
    </row>
    <row r="190" spans="1:27" s="127" customFormat="1" ht="12" x14ac:dyDescent="0.3">
      <c r="A190" s="128">
        <v>5</v>
      </c>
      <c r="B190" s="14" t="s">
        <v>22</v>
      </c>
      <c r="C190" s="28" t="s">
        <v>321</v>
      </c>
      <c r="D190" s="28"/>
      <c r="E190" s="202">
        <v>42038</v>
      </c>
      <c r="F190" s="28" t="s">
        <v>198</v>
      </c>
      <c r="G190" s="27" t="s">
        <v>69</v>
      </c>
      <c r="H190" s="27"/>
      <c r="I190" s="52" t="s">
        <v>202</v>
      </c>
      <c r="J190" s="5"/>
      <c r="K190" s="1"/>
      <c r="L190" s="53"/>
    </row>
    <row r="191" spans="1:27" s="127" customFormat="1" ht="12" x14ac:dyDescent="0.3">
      <c r="A191" s="128">
        <v>6</v>
      </c>
      <c r="B191" s="21" t="s">
        <v>26</v>
      </c>
      <c r="C191" s="28" t="s">
        <v>342</v>
      </c>
      <c r="D191" s="28"/>
      <c r="E191" s="202">
        <v>42609</v>
      </c>
      <c r="F191" s="28" t="s">
        <v>198</v>
      </c>
      <c r="G191" s="27" t="s">
        <v>71</v>
      </c>
      <c r="H191" s="27"/>
      <c r="I191" s="52" t="s">
        <v>202</v>
      </c>
      <c r="J191" s="5"/>
      <c r="K191" s="1"/>
      <c r="L191" s="53"/>
    </row>
    <row r="192" spans="1:27" s="127" customFormat="1" ht="12" x14ac:dyDescent="0.3">
      <c r="A192" s="128">
        <v>7</v>
      </c>
      <c r="B192" s="21" t="s">
        <v>26</v>
      </c>
      <c r="C192" s="28" t="s">
        <v>343</v>
      </c>
      <c r="D192" s="28"/>
      <c r="E192" s="202">
        <v>42072</v>
      </c>
      <c r="F192" s="28" t="s">
        <v>198</v>
      </c>
      <c r="G192" s="27" t="s">
        <v>71</v>
      </c>
      <c r="H192" s="27"/>
      <c r="I192" s="52" t="s">
        <v>202</v>
      </c>
      <c r="J192" s="5"/>
      <c r="K192" s="1"/>
      <c r="L192" s="53"/>
    </row>
    <row r="193" spans="1:24" s="127" customFormat="1" ht="12" x14ac:dyDescent="0.3">
      <c r="A193" s="128">
        <v>8</v>
      </c>
      <c r="B193" s="14" t="s">
        <v>38</v>
      </c>
      <c r="C193" s="28" t="s">
        <v>344</v>
      </c>
      <c r="D193" s="28"/>
      <c r="E193" s="202">
        <v>42016</v>
      </c>
      <c r="F193" s="28" t="s">
        <v>198</v>
      </c>
      <c r="G193" s="27" t="s">
        <v>71</v>
      </c>
      <c r="H193" s="27"/>
      <c r="I193" s="52" t="s">
        <v>202</v>
      </c>
      <c r="J193" s="5"/>
      <c r="K193" s="1"/>
      <c r="L193" s="53"/>
    </row>
    <row r="194" spans="1:24" s="127" customFormat="1" ht="12" x14ac:dyDescent="0.3">
      <c r="A194" s="128">
        <v>9</v>
      </c>
      <c r="B194" s="21" t="s">
        <v>26</v>
      </c>
      <c r="C194" s="28" t="s">
        <v>345</v>
      </c>
      <c r="D194" s="28"/>
      <c r="E194" s="202">
        <v>42413</v>
      </c>
      <c r="F194" s="28" t="s">
        <v>198</v>
      </c>
      <c r="G194" s="27" t="s">
        <v>71</v>
      </c>
      <c r="H194" s="27"/>
      <c r="I194" s="52" t="s">
        <v>202</v>
      </c>
      <c r="J194" s="5"/>
      <c r="K194" s="1"/>
      <c r="L194" s="53"/>
    </row>
    <row r="195" spans="1:24" s="127" customFormat="1" ht="12" x14ac:dyDescent="0.3">
      <c r="A195" s="128">
        <v>10</v>
      </c>
      <c r="B195" s="21" t="s">
        <v>26</v>
      </c>
      <c r="C195" s="28" t="s">
        <v>346</v>
      </c>
      <c r="D195" s="28"/>
      <c r="E195" s="202">
        <v>42394</v>
      </c>
      <c r="F195" s="28" t="s">
        <v>198</v>
      </c>
      <c r="G195" s="27" t="s">
        <v>71</v>
      </c>
      <c r="H195" s="27"/>
      <c r="I195" s="52" t="s">
        <v>202</v>
      </c>
      <c r="J195" s="5"/>
      <c r="K195" s="1"/>
      <c r="L195" s="53"/>
    </row>
    <row r="196" spans="1:24" s="127" customFormat="1" ht="12" x14ac:dyDescent="0.3">
      <c r="A196" s="128">
        <v>11</v>
      </c>
      <c r="B196" s="21" t="s">
        <v>26</v>
      </c>
      <c r="C196" s="28" t="s">
        <v>347</v>
      </c>
      <c r="D196" s="28"/>
      <c r="E196" s="202">
        <v>42203</v>
      </c>
      <c r="F196" s="28" t="s">
        <v>198</v>
      </c>
      <c r="G196" s="27" t="s">
        <v>71</v>
      </c>
      <c r="H196" s="27"/>
      <c r="I196" s="52" t="s">
        <v>202</v>
      </c>
      <c r="J196" s="5"/>
      <c r="K196" s="1"/>
      <c r="L196" s="53"/>
    </row>
    <row r="197" spans="1:24" s="127" customFormat="1" ht="12" x14ac:dyDescent="0.3">
      <c r="A197" s="128">
        <v>12</v>
      </c>
      <c r="B197" s="21" t="s">
        <v>26</v>
      </c>
      <c r="C197" s="28" t="s">
        <v>349</v>
      </c>
      <c r="D197" s="28"/>
      <c r="E197" s="202">
        <v>42636</v>
      </c>
      <c r="F197" s="28" t="s">
        <v>198</v>
      </c>
      <c r="G197" s="27" t="s">
        <v>71</v>
      </c>
      <c r="H197" s="27"/>
      <c r="I197" s="52" t="s">
        <v>202</v>
      </c>
      <c r="J197" s="5"/>
      <c r="K197" s="1"/>
      <c r="L197" s="53"/>
    </row>
    <row r="198" spans="1:24" s="127" customFormat="1" ht="12" x14ac:dyDescent="0.3">
      <c r="A198" s="128"/>
      <c r="B198" s="115" t="s">
        <v>41</v>
      </c>
      <c r="C198" s="3"/>
      <c r="D198" s="3"/>
      <c r="E198" s="123"/>
      <c r="F198" s="115" t="s">
        <v>202</v>
      </c>
      <c r="G198" s="27"/>
      <c r="H198" s="27"/>
      <c r="I198" s="52"/>
      <c r="J198" s="5"/>
      <c r="K198" s="1"/>
      <c r="L198" s="53"/>
      <c r="X198" s="114"/>
    </row>
    <row r="199" spans="1:24" s="127" customFormat="1" ht="12" x14ac:dyDescent="0.3">
      <c r="A199" s="128"/>
      <c r="B199" s="27"/>
      <c r="C199" s="3"/>
      <c r="D199" s="3"/>
      <c r="E199" s="123"/>
      <c r="F199" s="52"/>
      <c r="G199" s="27"/>
      <c r="H199" s="27"/>
      <c r="I199" s="52"/>
      <c r="J199" s="5"/>
      <c r="K199" s="1"/>
      <c r="L199" s="53"/>
    </row>
    <row r="200" spans="1:24" s="127" customFormat="1" ht="12" x14ac:dyDescent="0.3">
      <c r="A200" s="128"/>
      <c r="B200" s="27"/>
      <c r="C200" s="3"/>
      <c r="D200" s="3"/>
      <c r="E200" s="123"/>
      <c r="F200" s="52"/>
      <c r="G200" s="27"/>
      <c r="H200" s="27"/>
      <c r="I200" s="52"/>
      <c r="J200" s="5"/>
      <c r="K200" s="1"/>
      <c r="L200" s="53"/>
    </row>
    <row r="201" spans="1:24" s="127" customFormat="1" ht="12" x14ac:dyDescent="0.3">
      <c r="A201" s="128"/>
      <c r="B201" s="27"/>
      <c r="C201" s="3"/>
      <c r="D201" s="3"/>
      <c r="E201" s="123"/>
      <c r="F201" s="52"/>
      <c r="G201" s="27"/>
      <c r="H201" s="27"/>
      <c r="I201" s="52"/>
      <c r="J201" s="5"/>
      <c r="K201" s="1"/>
      <c r="L201" s="53"/>
    </row>
    <row r="202" spans="1:24" s="127" customFormat="1" ht="12" x14ac:dyDescent="0.3">
      <c r="A202" s="128"/>
      <c r="B202" s="27"/>
      <c r="C202" s="3"/>
      <c r="D202" s="3"/>
      <c r="E202" s="123"/>
      <c r="F202" s="52"/>
      <c r="G202" s="27"/>
      <c r="H202" s="27"/>
      <c r="I202" s="52"/>
      <c r="J202" s="5"/>
      <c r="K202" s="1"/>
      <c r="L202" s="53"/>
    </row>
    <row r="203" spans="1:24" s="127" customFormat="1" ht="13" x14ac:dyDescent="0.3">
      <c r="A203" s="128"/>
      <c r="B203" s="220" t="s">
        <v>198</v>
      </c>
      <c r="C203" s="3"/>
      <c r="D203" s="3"/>
      <c r="E203" s="123"/>
      <c r="F203" s="52"/>
      <c r="G203" s="27"/>
      <c r="H203" s="27"/>
      <c r="I203" s="52"/>
      <c r="J203" s="5"/>
      <c r="K203" s="1"/>
      <c r="L203" s="53"/>
    </row>
    <row r="204" spans="1:24" s="127" customFormat="1" ht="12" x14ac:dyDescent="0.3">
      <c r="A204" s="128">
        <v>1</v>
      </c>
      <c r="B204" s="21" t="s">
        <v>23</v>
      </c>
      <c r="C204" s="28" t="s">
        <v>331</v>
      </c>
      <c r="D204" s="28"/>
      <c r="E204" s="202">
        <v>42375</v>
      </c>
      <c r="F204" s="28" t="s">
        <v>198</v>
      </c>
      <c r="G204" s="27" t="s">
        <v>69</v>
      </c>
      <c r="H204" s="27"/>
      <c r="I204" s="52" t="s">
        <v>178</v>
      </c>
      <c r="K204" s="1"/>
      <c r="L204" s="53"/>
    </row>
    <row r="205" spans="1:24" s="127" customFormat="1" ht="12" x14ac:dyDescent="0.3">
      <c r="A205" s="128">
        <v>2</v>
      </c>
      <c r="B205" s="21" t="s">
        <v>23</v>
      </c>
      <c r="C205" s="28" t="s">
        <v>332</v>
      </c>
      <c r="D205" s="28"/>
      <c r="E205" s="202">
        <v>42323</v>
      </c>
      <c r="F205" s="28" t="s">
        <v>198</v>
      </c>
      <c r="G205" s="27" t="s">
        <v>69</v>
      </c>
      <c r="H205" s="27"/>
      <c r="I205" s="52" t="s">
        <v>178</v>
      </c>
      <c r="K205" s="1"/>
      <c r="L205" s="53"/>
    </row>
    <row r="206" spans="1:24" s="127" customFormat="1" ht="12" x14ac:dyDescent="0.3">
      <c r="A206" s="128">
        <v>3</v>
      </c>
      <c r="B206" s="21" t="s">
        <v>26</v>
      </c>
      <c r="C206" s="28" t="s">
        <v>334</v>
      </c>
      <c r="D206" s="28"/>
      <c r="E206" s="202">
        <v>42463</v>
      </c>
      <c r="F206" s="28" t="s">
        <v>198</v>
      </c>
      <c r="G206" s="27" t="s">
        <v>69</v>
      </c>
      <c r="H206" s="27"/>
      <c r="I206" s="52" t="s">
        <v>178</v>
      </c>
      <c r="K206" s="1"/>
      <c r="L206" s="53"/>
    </row>
    <row r="207" spans="1:24" s="127" customFormat="1" ht="12" x14ac:dyDescent="0.3">
      <c r="A207" s="128">
        <v>4</v>
      </c>
      <c r="B207" s="21" t="s">
        <v>26</v>
      </c>
      <c r="C207" s="28" t="s">
        <v>335</v>
      </c>
      <c r="D207" s="28"/>
      <c r="E207" s="202">
        <v>42606</v>
      </c>
      <c r="F207" s="28" t="s">
        <v>198</v>
      </c>
      <c r="G207" s="27" t="s">
        <v>69</v>
      </c>
      <c r="H207" s="27"/>
      <c r="I207" s="52" t="s">
        <v>178</v>
      </c>
      <c r="K207" s="1"/>
      <c r="L207" s="53"/>
    </row>
    <row r="208" spans="1:24" s="127" customFormat="1" ht="12" x14ac:dyDescent="0.3">
      <c r="A208" s="128">
        <v>5</v>
      </c>
      <c r="B208" s="21" t="s">
        <v>26</v>
      </c>
      <c r="C208" s="28" t="s">
        <v>336</v>
      </c>
      <c r="D208" s="28"/>
      <c r="E208" s="202">
        <v>42470</v>
      </c>
      <c r="F208" s="28" t="s">
        <v>198</v>
      </c>
      <c r="G208" s="27" t="s">
        <v>69</v>
      </c>
      <c r="H208" s="27"/>
      <c r="I208" s="52" t="s">
        <v>178</v>
      </c>
      <c r="K208" s="1"/>
      <c r="L208" s="53"/>
    </row>
    <row r="209" spans="1:27" s="127" customFormat="1" ht="12" x14ac:dyDescent="0.3">
      <c r="A209" s="128">
        <v>6</v>
      </c>
      <c r="B209" s="21" t="s">
        <v>26</v>
      </c>
      <c r="C209" s="28" t="s">
        <v>337</v>
      </c>
      <c r="D209" s="28"/>
      <c r="E209" s="202">
        <v>42525</v>
      </c>
      <c r="F209" s="28" t="s">
        <v>198</v>
      </c>
      <c r="G209" s="27" t="s">
        <v>69</v>
      </c>
      <c r="H209" s="27"/>
      <c r="I209" s="52" t="s">
        <v>178</v>
      </c>
      <c r="K209" s="1"/>
      <c r="L209" s="53"/>
    </row>
    <row r="210" spans="1:27" s="127" customFormat="1" ht="12" x14ac:dyDescent="0.3">
      <c r="A210" s="128">
        <v>7</v>
      </c>
      <c r="B210" s="21" t="s">
        <v>26</v>
      </c>
      <c r="C210" s="28" t="s">
        <v>507</v>
      </c>
      <c r="E210" s="208">
        <v>43040</v>
      </c>
      <c r="F210" s="28" t="s">
        <v>198</v>
      </c>
      <c r="G210" s="27" t="s">
        <v>69</v>
      </c>
      <c r="H210" s="27"/>
      <c r="I210" s="52" t="s">
        <v>178</v>
      </c>
      <c r="K210" s="1"/>
      <c r="L210" s="53"/>
    </row>
    <row r="211" spans="1:27" s="127" customFormat="1" ht="12" x14ac:dyDescent="0.3">
      <c r="A211" s="128">
        <v>8</v>
      </c>
      <c r="B211" s="21" t="s">
        <v>26</v>
      </c>
      <c r="C211" s="28" t="s">
        <v>338</v>
      </c>
      <c r="D211" s="28"/>
      <c r="E211" s="202">
        <v>43040</v>
      </c>
      <c r="F211" s="28" t="s">
        <v>198</v>
      </c>
      <c r="G211" s="27" t="s">
        <v>69</v>
      </c>
      <c r="H211" s="27"/>
      <c r="I211" s="52" t="s">
        <v>178</v>
      </c>
      <c r="K211" s="1"/>
      <c r="L211" s="53"/>
    </row>
    <row r="212" spans="1:27" s="127" customFormat="1" ht="12" x14ac:dyDescent="0.3">
      <c r="A212" s="128">
        <v>9</v>
      </c>
      <c r="B212" s="21" t="s">
        <v>26</v>
      </c>
      <c r="C212" s="28" t="s">
        <v>348</v>
      </c>
      <c r="D212" s="28"/>
      <c r="E212" s="202">
        <v>42521</v>
      </c>
      <c r="F212" s="28" t="s">
        <v>198</v>
      </c>
      <c r="G212" s="27" t="s">
        <v>71</v>
      </c>
      <c r="H212" s="27"/>
      <c r="I212" s="52" t="s">
        <v>178</v>
      </c>
      <c r="K212" s="1"/>
      <c r="L212" s="53"/>
    </row>
    <row r="213" spans="1:27" s="127" customFormat="1" ht="12" x14ac:dyDescent="0.3">
      <c r="A213" s="128">
        <v>10</v>
      </c>
      <c r="B213" s="21" t="s">
        <v>26</v>
      </c>
      <c r="C213" s="28" t="s">
        <v>350</v>
      </c>
      <c r="D213" s="28"/>
      <c r="E213" s="202">
        <v>42949</v>
      </c>
      <c r="F213" s="28" t="s">
        <v>198</v>
      </c>
      <c r="G213" s="27" t="s">
        <v>71</v>
      </c>
      <c r="H213" s="27"/>
      <c r="I213" s="52" t="s">
        <v>178</v>
      </c>
      <c r="K213" s="1"/>
      <c r="L213" s="53"/>
    </row>
    <row r="214" spans="1:27" s="114" customFormat="1" ht="12" x14ac:dyDescent="0.3">
      <c r="A214" s="128">
        <v>11</v>
      </c>
      <c r="B214" s="21" t="s">
        <v>26</v>
      </c>
      <c r="C214" s="28" t="s">
        <v>493</v>
      </c>
      <c r="D214" s="28"/>
      <c r="E214" s="202">
        <v>42313</v>
      </c>
      <c r="F214" s="28" t="s">
        <v>198</v>
      </c>
      <c r="G214" s="27" t="s">
        <v>71</v>
      </c>
      <c r="H214" s="27"/>
      <c r="I214" s="52" t="s">
        <v>178</v>
      </c>
      <c r="J214" s="127"/>
      <c r="K214" s="1"/>
      <c r="L214" s="20"/>
    </row>
    <row r="215" spans="1:27" s="114" customFormat="1" ht="12" x14ac:dyDescent="0.3">
      <c r="A215" s="128">
        <v>12</v>
      </c>
      <c r="B215" s="21" t="s">
        <v>26</v>
      </c>
      <c r="C215" s="28" t="s">
        <v>355</v>
      </c>
      <c r="D215" s="28"/>
      <c r="E215" s="202">
        <v>42472</v>
      </c>
      <c r="F215" s="28" t="s">
        <v>198</v>
      </c>
      <c r="G215" s="27" t="s">
        <v>71</v>
      </c>
      <c r="H215" s="27"/>
      <c r="I215" s="52" t="s">
        <v>178</v>
      </c>
      <c r="J215" s="127"/>
      <c r="K215" s="1"/>
      <c r="L215" s="20"/>
      <c r="Y215" s="5"/>
      <c r="Z215" s="5"/>
      <c r="AA215" s="1"/>
    </row>
    <row r="216" spans="1:27" s="114" customFormat="1" ht="12" x14ac:dyDescent="0.3">
      <c r="A216" s="128">
        <v>13</v>
      </c>
      <c r="B216" s="21" t="s">
        <v>26</v>
      </c>
      <c r="C216" s="28" t="s">
        <v>356</v>
      </c>
      <c r="D216" s="28"/>
      <c r="E216" s="202">
        <v>42989</v>
      </c>
      <c r="F216" s="28" t="s">
        <v>198</v>
      </c>
      <c r="G216" s="27" t="s">
        <v>71</v>
      </c>
      <c r="H216" s="27"/>
      <c r="I216" s="52" t="s">
        <v>178</v>
      </c>
      <c r="J216" s="127"/>
      <c r="K216" s="1"/>
      <c r="L216" s="20"/>
    </row>
    <row r="217" spans="1:27" s="114" customFormat="1" ht="12" x14ac:dyDescent="0.3">
      <c r="A217" s="128">
        <v>14</v>
      </c>
      <c r="B217" s="21" t="s">
        <v>26</v>
      </c>
      <c r="C217" s="28" t="s">
        <v>357</v>
      </c>
      <c r="D217" s="28"/>
      <c r="E217" s="202">
        <v>42470</v>
      </c>
      <c r="F217" s="28" t="s">
        <v>198</v>
      </c>
      <c r="G217" s="27" t="s">
        <v>71</v>
      </c>
      <c r="H217" s="27"/>
      <c r="I217" s="52" t="s">
        <v>178</v>
      </c>
      <c r="J217" s="127"/>
      <c r="K217" s="1"/>
      <c r="L217" s="53"/>
      <c r="M217" s="127"/>
      <c r="N217" s="127"/>
      <c r="O217" s="127"/>
    </row>
    <row r="218" spans="1:27" s="127" customFormat="1" ht="12" x14ac:dyDescent="0.3">
      <c r="A218" s="128">
        <v>15</v>
      </c>
      <c r="B218" s="21" t="s">
        <v>26</v>
      </c>
      <c r="C218" s="28" t="s">
        <v>358</v>
      </c>
      <c r="D218" s="28"/>
      <c r="E218" s="202">
        <v>42646</v>
      </c>
      <c r="F218" s="28" t="s">
        <v>198</v>
      </c>
      <c r="G218" s="27" t="s">
        <v>71</v>
      </c>
      <c r="H218" s="27"/>
      <c r="I218" s="52" t="s">
        <v>178</v>
      </c>
      <c r="K218" s="1"/>
      <c r="L218" s="53"/>
    </row>
    <row r="219" spans="1:27" s="127" customFormat="1" ht="12" x14ac:dyDescent="0.3">
      <c r="A219" s="128">
        <v>16</v>
      </c>
      <c r="B219" s="21" t="s">
        <v>26</v>
      </c>
      <c r="C219" s="28" t="s">
        <v>359</v>
      </c>
      <c r="D219" s="28"/>
      <c r="E219" s="202">
        <v>42753</v>
      </c>
      <c r="F219" s="28" t="s">
        <v>198</v>
      </c>
      <c r="G219" s="27" t="s">
        <v>71</v>
      </c>
      <c r="H219" s="27"/>
      <c r="I219" s="52" t="s">
        <v>178</v>
      </c>
      <c r="K219" s="1"/>
      <c r="L219" s="53"/>
    </row>
    <row r="220" spans="1:27" s="127" customFormat="1" ht="12" x14ac:dyDescent="0.3">
      <c r="A220" s="128">
        <v>17</v>
      </c>
      <c r="B220" s="21" t="s">
        <v>26</v>
      </c>
      <c r="C220" s="28" t="s">
        <v>360</v>
      </c>
      <c r="D220" s="28"/>
      <c r="E220" s="202">
        <v>42457</v>
      </c>
      <c r="F220" s="28" t="s">
        <v>198</v>
      </c>
      <c r="G220" s="27" t="s">
        <v>71</v>
      </c>
      <c r="H220" s="27"/>
      <c r="I220" s="52" t="s">
        <v>178</v>
      </c>
      <c r="K220" s="1"/>
      <c r="L220" s="53"/>
    </row>
    <row r="221" spans="1:27" s="127" customFormat="1" ht="12" x14ac:dyDescent="0.3">
      <c r="A221" s="128">
        <v>18</v>
      </c>
      <c r="B221" s="21" t="s">
        <v>26</v>
      </c>
      <c r="C221" s="28" t="s">
        <v>496</v>
      </c>
      <c r="D221" s="28"/>
      <c r="E221" s="202">
        <v>42668</v>
      </c>
      <c r="F221" s="28" t="s">
        <v>198</v>
      </c>
      <c r="G221" s="27" t="s">
        <v>69</v>
      </c>
      <c r="H221" s="27"/>
      <c r="I221" s="52" t="s">
        <v>178</v>
      </c>
      <c r="J221" s="114"/>
      <c r="K221" s="1"/>
      <c r="L221" s="53"/>
    </row>
    <row r="222" spans="1:27" s="127" customFormat="1" ht="12" x14ac:dyDescent="0.3">
      <c r="A222" s="128"/>
      <c r="B222" s="115" t="s">
        <v>41</v>
      </c>
      <c r="C222" s="3"/>
      <c r="D222" s="3"/>
      <c r="E222" s="123"/>
      <c r="F222" s="115" t="s">
        <v>178</v>
      </c>
      <c r="G222" s="27"/>
      <c r="H222" s="27"/>
      <c r="I222" s="52"/>
      <c r="J222" s="5"/>
      <c r="K222" s="1"/>
      <c r="L222" s="53"/>
      <c r="X222" s="114"/>
    </row>
    <row r="223" spans="1:27" s="127" customFormat="1" ht="12" x14ac:dyDescent="0.3">
      <c r="A223" s="128"/>
      <c r="B223" s="21"/>
      <c r="C223" s="28"/>
      <c r="D223" s="28"/>
      <c r="E223" s="202"/>
      <c r="F223" s="28"/>
      <c r="G223" s="27"/>
      <c r="H223" s="27"/>
      <c r="I223" s="52"/>
      <c r="K223" s="1"/>
      <c r="L223" s="53"/>
    </row>
    <row r="224" spans="1:27" s="127" customFormat="1" ht="13" x14ac:dyDescent="0.3">
      <c r="A224" s="128"/>
      <c r="B224" s="220" t="s">
        <v>198</v>
      </c>
      <c r="C224" s="28"/>
      <c r="D224" s="28"/>
      <c r="E224" s="202"/>
      <c r="F224" s="28"/>
      <c r="G224" s="27"/>
      <c r="H224" s="27"/>
      <c r="I224" s="52"/>
      <c r="K224" s="1"/>
      <c r="L224" s="53"/>
      <c r="X224" s="114"/>
    </row>
    <row r="225" spans="1:27" s="127" customFormat="1" ht="12" x14ac:dyDescent="0.3">
      <c r="A225" s="128">
        <v>1</v>
      </c>
      <c r="B225" s="14" t="s">
        <v>38</v>
      </c>
      <c r="C225" s="28" t="s">
        <v>274</v>
      </c>
      <c r="D225" s="28"/>
      <c r="E225" s="202">
        <v>42142</v>
      </c>
      <c r="F225" s="28" t="s">
        <v>198</v>
      </c>
      <c r="G225" s="27" t="s">
        <v>69</v>
      </c>
      <c r="H225" s="27"/>
      <c r="I225" s="52" t="s">
        <v>179</v>
      </c>
      <c r="K225" s="1"/>
      <c r="L225" s="20"/>
      <c r="M225" s="114"/>
      <c r="N225" s="114"/>
      <c r="O225" s="114"/>
    </row>
    <row r="226" spans="1:27" s="114" customFormat="1" ht="12" x14ac:dyDescent="0.3">
      <c r="A226" s="128">
        <v>2</v>
      </c>
      <c r="B226" s="21" t="s">
        <v>26</v>
      </c>
      <c r="C226" s="28" t="s">
        <v>281</v>
      </c>
      <c r="D226" s="28"/>
      <c r="E226" s="202">
        <v>42724</v>
      </c>
      <c r="F226" s="28" t="s">
        <v>198</v>
      </c>
      <c r="G226" s="27" t="s">
        <v>69</v>
      </c>
      <c r="H226" s="27"/>
      <c r="I226" s="52" t="s">
        <v>179</v>
      </c>
      <c r="J226" s="127"/>
      <c r="K226" s="1"/>
      <c r="L226" s="20"/>
      <c r="Y226" s="5"/>
      <c r="Z226" s="5"/>
      <c r="AA226" s="1"/>
    </row>
    <row r="227" spans="1:27" s="114" customFormat="1" ht="12" x14ac:dyDescent="0.3">
      <c r="A227" s="128">
        <v>3</v>
      </c>
      <c r="B227" s="14" t="s">
        <v>38</v>
      </c>
      <c r="C227" s="28" t="s">
        <v>283</v>
      </c>
      <c r="D227" s="28"/>
      <c r="E227" s="202">
        <v>42028</v>
      </c>
      <c r="F227" s="28" t="s">
        <v>198</v>
      </c>
      <c r="G227" s="27" t="s">
        <v>69</v>
      </c>
      <c r="H227" s="27"/>
      <c r="I227" s="52" t="s">
        <v>179</v>
      </c>
      <c r="J227" s="127"/>
      <c r="K227" s="1"/>
      <c r="L227" s="20"/>
      <c r="P227" s="21"/>
      <c r="Q227" s="28"/>
      <c r="R227" s="28"/>
      <c r="S227" s="202"/>
      <c r="T227" s="28"/>
      <c r="U227" s="27"/>
      <c r="V227" s="27"/>
      <c r="W227" s="52"/>
      <c r="Y227" s="5"/>
      <c r="Z227" s="5"/>
      <c r="AA227" s="1"/>
    </row>
    <row r="228" spans="1:27" s="114" customFormat="1" ht="12" x14ac:dyDescent="0.3">
      <c r="A228" s="128">
        <v>4</v>
      </c>
      <c r="B228" s="21" t="s">
        <v>26</v>
      </c>
      <c r="C228" s="28" t="s">
        <v>292</v>
      </c>
      <c r="D228" s="28"/>
      <c r="E228" s="202">
        <v>42183</v>
      </c>
      <c r="F228" s="28" t="s">
        <v>198</v>
      </c>
      <c r="G228" s="27" t="s">
        <v>71</v>
      </c>
      <c r="H228" s="27"/>
      <c r="I228" s="52" t="s">
        <v>179</v>
      </c>
      <c r="J228" s="127"/>
      <c r="K228" s="1"/>
      <c r="L228" s="53"/>
      <c r="M228" s="127"/>
      <c r="N228" s="127"/>
      <c r="O228" s="127"/>
      <c r="Y228" s="5"/>
      <c r="Z228" s="5"/>
      <c r="AA228" s="1"/>
    </row>
    <row r="229" spans="1:27" s="114" customFormat="1" ht="12" x14ac:dyDescent="0.3">
      <c r="A229" s="128">
        <v>5</v>
      </c>
      <c r="B229" s="21" t="s">
        <v>23</v>
      </c>
      <c r="C229" s="28" t="s">
        <v>293</v>
      </c>
      <c r="D229" s="28"/>
      <c r="E229" s="202">
        <v>42053</v>
      </c>
      <c r="F229" s="28" t="s">
        <v>198</v>
      </c>
      <c r="G229" s="27" t="s">
        <v>71</v>
      </c>
      <c r="H229" s="27"/>
      <c r="I229" s="52" t="s">
        <v>179</v>
      </c>
      <c r="J229" s="127"/>
      <c r="K229" s="1"/>
      <c r="L229" s="53"/>
      <c r="M229" s="127"/>
      <c r="N229" s="127"/>
      <c r="O229" s="127"/>
    </row>
    <row r="230" spans="1:27" s="127" customFormat="1" ht="12" x14ac:dyDescent="0.3">
      <c r="A230" s="128">
        <v>6</v>
      </c>
      <c r="B230" s="21" t="s">
        <v>26</v>
      </c>
      <c r="C230" s="28" t="s">
        <v>297</v>
      </c>
      <c r="D230" s="28"/>
      <c r="E230" s="202">
        <v>42487</v>
      </c>
      <c r="F230" s="28" t="s">
        <v>198</v>
      </c>
      <c r="G230" s="27" t="s">
        <v>71</v>
      </c>
      <c r="H230" s="27"/>
      <c r="I230" s="52" t="s">
        <v>179</v>
      </c>
      <c r="K230" s="1"/>
      <c r="L230" s="53"/>
    </row>
    <row r="231" spans="1:27" s="114" customFormat="1" ht="12" x14ac:dyDescent="0.3">
      <c r="A231" s="128">
        <v>7</v>
      </c>
      <c r="B231" s="14" t="s">
        <v>22</v>
      </c>
      <c r="C231" s="28" t="s">
        <v>304</v>
      </c>
      <c r="D231" s="28"/>
      <c r="E231" s="202">
        <v>42524</v>
      </c>
      <c r="F231" s="28" t="s">
        <v>198</v>
      </c>
      <c r="G231" s="27" t="s">
        <v>71</v>
      </c>
      <c r="H231" s="27"/>
      <c r="I231" s="52" t="s">
        <v>179</v>
      </c>
      <c r="J231" s="127"/>
      <c r="K231" s="1"/>
      <c r="L231" s="53"/>
      <c r="M231" s="127"/>
      <c r="N231" s="127"/>
      <c r="O231" s="127"/>
    </row>
    <row r="232" spans="1:27" s="114" customFormat="1" ht="12" x14ac:dyDescent="0.3">
      <c r="A232" s="128">
        <v>8</v>
      </c>
      <c r="B232" s="21" t="s">
        <v>23</v>
      </c>
      <c r="C232" s="28" t="s">
        <v>282</v>
      </c>
      <c r="D232" s="28"/>
      <c r="E232" s="202">
        <v>42777</v>
      </c>
      <c r="F232" s="28" t="s">
        <v>198</v>
      </c>
      <c r="G232" s="27" t="s">
        <v>69</v>
      </c>
      <c r="H232" s="27"/>
      <c r="I232" s="52" t="s">
        <v>179</v>
      </c>
      <c r="J232" s="127"/>
      <c r="K232" s="1"/>
      <c r="L232" s="53"/>
      <c r="M232" s="127"/>
      <c r="N232" s="127"/>
      <c r="O232" s="127"/>
    </row>
    <row r="233" spans="1:27" s="114" customFormat="1" ht="12" x14ac:dyDescent="0.3">
      <c r="A233" s="128">
        <v>9</v>
      </c>
      <c r="B233" s="21" t="s">
        <v>26</v>
      </c>
      <c r="C233" s="28" t="s">
        <v>303</v>
      </c>
      <c r="D233" s="28"/>
      <c r="E233" s="202">
        <v>42740</v>
      </c>
      <c r="F233" s="28" t="s">
        <v>198</v>
      </c>
      <c r="G233" s="27" t="s">
        <v>71</v>
      </c>
      <c r="H233" s="27"/>
      <c r="I233" s="52" t="s">
        <v>179</v>
      </c>
      <c r="J233" s="127"/>
      <c r="K233" s="1"/>
      <c r="L233" s="53"/>
      <c r="M233" s="127"/>
      <c r="N233" s="127"/>
      <c r="O233" s="127"/>
    </row>
    <row r="234" spans="1:27" s="114" customFormat="1" ht="12" x14ac:dyDescent="0.3">
      <c r="A234" s="128">
        <v>10</v>
      </c>
      <c r="B234" s="21" t="s">
        <v>26</v>
      </c>
      <c r="C234" s="28" t="s">
        <v>309</v>
      </c>
      <c r="D234" s="28"/>
      <c r="E234" s="202">
        <v>43574</v>
      </c>
      <c r="F234" s="28" t="s">
        <v>198</v>
      </c>
      <c r="G234" s="27" t="s">
        <v>71</v>
      </c>
      <c r="H234" s="27"/>
      <c r="I234" s="52" t="s">
        <v>179</v>
      </c>
      <c r="K234" s="1"/>
      <c r="L234" s="53"/>
      <c r="M234" s="127"/>
      <c r="N234" s="127"/>
      <c r="O234" s="127"/>
      <c r="Y234" s="219"/>
      <c r="Z234" s="219"/>
    </row>
    <row r="235" spans="1:27" s="127" customFormat="1" ht="12" x14ac:dyDescent="0.3">
      <c r="A235" s="128"/>
      <c r="B235" s="115" t="s">
        <v>41</v>
      </c>
      <c r="C235" s="3"/>
      <c r="D235" s="3"/>
      <c r="E235" s="123"/>
      <c r="F235" s="115" t="s">
        <v>179</v>
      </c>
      <c r="G235" s="27"/>
      <c r="H235" s="27"/>
      <c r="I235" s="52"/>
      <c r="J235" s="5"/>
      <c r="K235" s="1"/>
      <c r="L235" s="53"/>
      <c r="X235" s="114"/>
    </row>
    <row r="236" spans="1:27" s="37" customFormat="1" ht="26.5" customHeight="1" x14ac:dyDescent="0.3">
      <c r="A236" s="51"/>
      <c r="B236" s="115"/>
      <c r="C236" s="122"/>
      <c r="D236" s="3"/>
      <c r="E236" s="116"/>
      <c r="F236" s="115"/>
      <c r="G236" s="20"/>
      <c r="H236" s="52"/>
      <c r="I236" s="5"/>
      <c r="J236" s="5"/>
      <c r="K236" s="1"/>
      <c r="L236" s="20"/>
      <c r="M236" s="114"/>
      <c r="N236" s="114"/>
      <c r="O236" s="114"/>
    </row>
    <row r="237" spans="1:27" s="37" customFormat="1" x14ac:dyDescent="0.35">
      <c r="A237" s="5"/>
      <c r="B237" s="5"/>
      <c r="C237" s="2"/>
      <c r="D237" s="2"/>
      <c r="E237" s="4"/>
      <c r="F237" s="2"/>
      <c r="G237" s="2"/>
      <c r="H237" s="6"/>
      <c r="I237" s="118"/>
      <c r="J237" s="4"/>
      <c r="K237" s="16"/>
      <c r="L237" s="30"/>
      <c r="M237" s="121"/>
      <c r="N237" s="121"/>
      <c r="O237" s="121"/>
    </row>
    <row r="238" spans="1:27" s="37" customFormat="1" ht="13.5" thickBot="1" x14ac:dyDescent="0.35">
      <c r="A238" s="131"/>
      <c r="B238" s="132"/>
      <c r="C238" s="133" t="s">
        <v>163</v>
      </c>
      <c r="D238" s="134">
        <f>COUNTIF(B98:B237,"*г.*")+COUNTIF(B237:B237,"*обл*")+COUNTIF(B237:B237,"*края*")+COUNTIF(B237:B237,"*город*")+COUNTIF(B237:B237,"*респ*")+COUNTIF(B237:B237,"*край*")</f>
        <v>10</v>
      </c>
      <c r="E238" s="135"/>
      <c r="F238" s="136"/>
      <c r="G238" s="131"/>
      <c r="H238" s="137"/>
      <c r="I238" s="138"/>
      <c r="J238" s="139"/>
      <c r="K238" s="19"/>
      <c r="L238" s="140"/>
      <c r="M238" s="141"/>
      <c r="N238" s="141"/>
      <c r="O238" s="141"/>
    </row>
    <row r="239" spans="1:27" s="37" customFormat="1" ht="13" x14ac:dyDescent="0.3">
      <c r="A239" s="142"/>
      <c r="B239" s="143"/>
      <c r="C239" s="144"/>
      <c r="D239" s="145"/>
      <c r="E239" s="146"/>
      <c r="F239" s="147"/>
      <c r="G239" s="147"/>
      <c r="H239" s="148"/>
      <c r="I239" s="149"/>
      <c r="J239" s="150"/>
      <c r="K239" s="31"/>
      <c r="L239" s="140"/>
      <c r="M239" s="141"/>
      <c r="N239" s="141"/>
      <c r="O239" s="141"/>
    </row>
    <row r="240" spans="1:27" s="37" customFormat="1" ht="13" x14ac:dyDescent="0.3">
      <c r="A240" s="151"/>
      <c r="B240" s="22"/>
      <c r="C240" s="22"/>
      <c r="D240" s="22"/>
      <c r="E240" s="22"/>
      <c r="F240" s="22"/>
      <c r="G240" s="22"/>
      <c r="H240" s="22"/>
      <c r="I240" s="22"/>
      <c r="J240" s="22"/>
      <c r="K240" s="32" t="s">
        <v>26</v>
      </c>
      <c r="L240" s="140"/>
      <c r="M240" s="141"/>
      <c r="N240" s="141"/>
      <c r="O240" s="141"/>
    </row>
    <row r="241" spans="1:25" s="37" customFormat="1" ht="13" x14ac:dyDescent="0.3">
      <c r="A241" s="151"/>
      <c r="B241" s="22"/>
      <c r="C241" s="22"/>
      <c r="D241" s="22"/>
      <c r="E241" s="22"/>
      <c r="F241" s="22"/>
      <c r="G241" s="22"/>
      <c r="H241" s="22"/>
      <c r="I241" s="152"/>
      <c r="J241" s="153" t="s">
        <v>69</v>
      </c>
      <c r="K241" s="22">
        <f>COUNTIFS($B$92:$B$230,K240,$G$92:$G$230,"М")</f>
        <v>23</v>
      </c>
      <c r="L241" s="140"/>
      <c r="M241" s="141"/>
      <c r="N241" s="141"/>
      <c r="O241" s="141"/>
    </row>
    <row r="242" spans="1:25" s="101" customFormat="1" x14ac:dyDescent="0.35">
      <c r="A242" s="151"/>
      <c r="B242" s="22"/>
      <c r="C242" s="22"/>
      <c r="D242" s="22"/>
      <c r="E242" s="22"/>
      <c r="F242" s="22"/>
      <c r="G242" s="22"/>
      <c r="H242" s="22"/>
      <c r="I242" s="22"/>
      <c r="J242" s="153" t="s">
        <v>71</v>
      </c>
      <c r="K242" s="22">
        <f>COUNTIFS($B$92:$B$230,K240,$G$92:$G$230,"Ж")</f>
        <v>15</v>
      </c>
      <c r="L242" s="140"/>
      <c r="M242" s="141"/>
      <c r="N242" s="141"/>
      <c r="O242" s="141"/>
      <c r="Y242" s="121"/>
    </row>
    <row r="243" spans="1:25" s="101" customFormat="1" x14ac:dyDescent="0.35">
      <c r="A243" s="151"/>
      <c r="B243" s="22"/>
      <c r="C243" s="22"/>
      <c r="D243" s="22"/>
      <c r="E243" s="22"/>
      <c r="F243" s="22"/>
      <c r="G243" s="22"/>
      <c r="H243" s="22"/>
      <c r="I243" s="22"/>
      <c r="J243" s="154" t="s">
        <v>125</v>
      </c>
      <c r="K243" s="22">
        <f>SUM(K241:K242)</f>
        <v>38</v>
      </c>
      <c r="L243" s="140"/>
      <c r="M243" s="141"/>
      <c r="N243" s="141"/>
      <c r="O243" s="141"/>
      <c r="Y243" s="121"/>
    </row>
    <row r="244" spans="1:25" s="101" customFormat="1" x14ac:dyDescent="0.35">
      <c r="A244" s="131"/>
      <c r="B244" s="155" t="s">
        <v>34</v>
      </c>
      <c r="C244" s="155" t="s">
        <v>35</v>
      </c>
      <c r="D244" s="32" t="s">
        <v>36</v>
      </c>
      <c r="E244" s="32" t="s">
        <v>37</v>
      </c>
      <c r="F244" s="32" t="s">
        <v>6</v>
      </c>
      <c r="G244" s="156" t="s">
        <v>24</v>
      </c>
      <c r="H244" s="157" t="s">
        <v>25</v>
      </c>
      <c r="I244" s="158" t="s">
        <v>38</v>
      </c>
      <c r="J244" s="159" t="s">
        <v>22</v>
      </c>
      <c r="K244" s="160" t="s">
        <v>23</v>
      </c>
      <c r="L244" s="161"/>
      <c r="M244" s="161"/>
      <c r="N244" s="161"/>
      <c r="O244" s="161"/>
      <c r="Y244" s="121"/>
    </row>
    <row r="245" spans="1:25" s="101" customFormat="1" x14ac:dyDescent="0.35">
      <c r="A245" s="151" t="s">
        <v>69</v>
      </c>
      <c r="B245" s="22">
        <f t="shared" ref="B245:K245" si="0">COUNTIFS($B$92:$B$230,B244,$G$92:$G$230,"Ж")</f>
        <v>0</v>
      </c>
      <c r="C245" s="22">
        <f t="shared" si="0"/>
        <v>0</v>
      </c>
      <c r="D245" s="22">
        <f t="shared" si="0"/>
        <v>0</v>
      </c>
      <c r="E245" s="22">
        <f t="shared" si="0"/>
        <v>0</v>
      </c>
      <c r="F245" s="22">
        <f t="shared" si="0"/>
        <v>0</v>
      </c>
      <c r="G245" s="22">
        <f t="shared" si="0"/>
        <v>0</v>
      </c>
      <c r="H245" s="22">
        <f t="shared" si="0"/>
        <v>0</v>
      </c>
      <c r="I245" s="22">
        <f t="shared" si="0"/>
        <v>6</v>
      </c>
      <c r="J245" s="22">
        <f t="shared" si="0"/>
        <v>11</v>
      </c>
      <c r="K245" s="22">
        <f t="shared" si="0"/>
        <v>16</v>
      </c>
      <c r="L245" s="140"/>
      <c r="M245" s="141"/>
      <c r="N245" s="141"/>
      <c r="O245" s="141"/>
      <c r="Y245" s="121"/>
    </row>
    <row r="246" spans="1:25" s="101" customFormat="1" x14ac:dyDescent="0.35">
      <c r="A246" s="151" t="s">
        <v>71</v>
      </c>
      <c r="B246" s="22">
        <f t="shared" ref="B246:K246" si="1">COUNTIFS($B$92:$B$230,B244,$G$92:$G$230,"М")</f>
        <v>0</v>
      </c>
      <c r="C246" s="22">
        <f t="shared" si="1"/>
        <v>0</v>
      </c>
      <c r="D246" s="22">
        <f t="shared" si="1"/>
        <v>0</v>
      </c>
      <c r="E246" s="22">
        <f t="shared" si="1"/>
        <v>0</v>
      </c>
      <c r="F246" s="22">
        <f t="shared" si="1"/>
        <v>0</v>
      </c>
      <c r="G246" s="22">
        <f t="shared" si="1"/>
        <v>0</v>
      </c>
      <c r="H246" s="22">
        <f t="shared" si="1"/>
        <v>0</v>
      </c>
      <c r="I246" s="22">
        <f t="shared" si="1"/>
        <v>7</v>
      </c>
      <c r="J246" s="22">
        <f t="shared" si="1"/>
        <v>6</v>
      </c>
      <c r="K246" s="22">
        <f t="shared" si="1"/>
        <v>15</v>
      </c>
      <c r="L246" s="140"/>
      <c r="M246" s="141"/>
      <c r="N246" s="141"/>
      <c r="O246" s="141"/>
      <c r="Y246" s="121"/>
    </row>
    <row r="247" spans="1:25" s="101" customFormat="1" x14ac:dyDescent="0.35">
      <c r="A247" s="151" t="s">
        <v>125</v>
      </c>
      <c r="B247" s="22">
        <f>SUM(B245:B246)</f>
        <v>0</v>
      </c>
      <c r="C247" s="22">
        <f t="shared" ref="C247:K247" si="2">SUM(C245:C246)</f>
        <v>0</v>
      </c>
      <c r="D247" s="22">
        <f t="shared" si="2"/>
        <v>0</v>
      </c>
      <c r="E247" s="22">
        <f t="shared" si="2"/>
        <v>0</v>
      </c>
      <c r="F247" s="22">
        <f t="shared" si="2"/>
        <v>0</v>
      </c>
      <c r="G247" s="22">
        <f t="shared" si="2"/>
        <v>0</v>
      </c>
      <c r="H247" s="22">
        <f>SUM(H245:H246)</f>
        <v>0</v>
      </c>
      <c r="I247" s="22">
        <f t="shared" si="2"/>
        <v>13</v>
      </c>
      <c r="J247" s="22">
        <f t="shared" si="2"/>
        <v>17</v>
      </c>
      <c r="K247" s="22">
        <f t="shared" si="2"/>
        <v>31</v>
      </c>
      <c r="L247" s="140"/>
      <c r="M247" s="141"/>
      <c r="N247" s="141"/>
      <c r="O247" s="141"/>
      <c r="Y247" s="121"/>
    </row>
    <row r="248" spans="1:25" s="101" customFormat="1" x14ac:dyDescent="0.35">
      <c r="A248" s="151"/>
      <c r="B248" s="22"/>
      <c r="C248" s="22"/>
      <c r="D248" s="22"/>
      <c r="E248" s="22"/>
      <c r="F248" s="22"/>
      <c r="G248" s="22"/>
      <c r="H248" s="22"/>
      <c r="I248" s="22"/>
      <c r="J248" s="154"/>
      <c r="K248" s="22"/>
      <c r="L248" s="141"/>
      <c r="M248" s="141"/>
      <c r="N248" s="141"/>
      <c r="O248" s="141"/>
      <c r="Y248" s="121"/>
    </row>
    <row r="249" spans="1:25" s="101" customFormat="1" x14ac:dyDescent="0.35">
      <c r="A249" s="151"/>
      <c r="B249" s="162" t="s">
        <v>127</v>
      </c>
      <c r="C249" s="22"/>
      <c r="D249" s="22"/>
      <c r="E249" s="22"/>
      <c r="F249" s="22"/>
      <c r="G249" s="22"/>
      <c r="H249" s="22"/>
      <c r="I249" s="22"/>
      <c r="J249" s="22"/>
      <c r="K249" s="22"/>
      <c r="L249" s="141"/>
      <c r="M249" s="141"/>
      <c r="N249" s="141"/>
      <c r="O249" s="141"/>
      <c r="Y249" s="121"/>
    </row>
    <row r="250" spans="1:25" s="101" customFormat="1" x14ac:dyDescent="0.35">
      <c r="A250" s="151"/>
      <c r="B250" s="162" t="s">
        <v>126</v>
      </c>
      <c r="C250" s="22"/>
      <c r="D250" s="22"/>
      <c r="E250" s="22"/>
      <c r="F250" s="22"/>
      <c r="G250" s="22"/>
      <c r="H250" s="22"/>
      <c r="I250" s="22"/>
      <c r="J250" s="22"/>
      <c r="K250" s="22"/>
      <c r="L250" s="141"/>
      <c r="M250" s="141"/>
      <c r="N250" s="141"/>
      <c r="O250" s="141"/>
      <c r="Y250" s="121"/>
    </row>
    <row r="251" spans="1:25" s="101" customFormat="1" ht="15" thickBot="1" x14ac:dyDescent="0.4">
      <c r="A251" s="151"/>
      <c r="B251" s="162" t="s">
        <v>70</v>
      </c>
      <c r="C251" s="22">
        <f>C250+C249</f>
        <v>0</v>
      </c>
      <c r="D251" s="22">
        <f t="shared" ref="D251:K251" si="3">D250+D249</f>
        <v>0</v>
      </c>
      <c r="E251" s="22">
        <f t="shared" si="3"/>
        <v>0</v>
      </c>
      <c r="F251" s="22">
        <f t="shared" si="3"/>
        <v>0</v>
      </c>
      <c r="G251" s="22">
        <f t="shared" si="3"/>
        <v>0</v>
      </c>
      <c r="H251" s="22">
        <f t="shared" si="3"/>
        <v>0</v>
      </c>
      <c r="I251" s="22">
        <f>I250+I249</f>
        <v>0</v>
      </c>
      <c r="J251" s="22">
        <f t="shared" si="3"/>
        <v>0</v>
      </c>
      <c r="K251" s="22">
        <f t="shared" si="3"/>
        <v>0</v>
      </c>
      <c r="L251" s="141"/>
      <c r="M251" s="141"/>
      <c r="N251" s="141"/>
      <c r="O251" s="141"/>
      <c r="Y251" s="121"/>
    </row>
    <row r="252" spans="1:25" s="101" customFormat="1" x14ac:dyDescent="0.35">
      <c r="A252" s="163"/>
      <c r="B252" s="164"/>
      <c r="C252" s="165"/>
      <c r="D252" s="166"/>
      <c r="E252" s="166"/>
      <c r="F252" s="166"/>
      <c r="G252" s="166"/>
      <c r="H252" s="166"/>
      <c r="I252" s="167"/>
      <c r="J252" s="168"/>
      <c r="K252" s="35"/>
      <c r="L252" s="141"/>
      <c r="M252" s="141"/>
      <c r="N252" s="141"/>
      <c r="O252" s="141"/>
      <c r="Y252" s="121"/>
    </row>
    <row r="253" spans="1:25" s="101" customFormat="1" x14ac:dyDescent="0.35">
      <c r="A253" s="22"/>
      <c r="B253" s="133" t="s">
        <v>70</v>
      </c>
      <c r="C253" s="32">
        <f>C254+C255</f>
        <v>103</v>
      </c>
      <c r="D253" s="171"/>
      <c r="E253" s="172"/>
      <c r="F253" s="172"/>
      <c r="G253" s="172"/>
      <c r="H253" s="173"/>
      <c r="I253" s="22"/>
      <c r="J253" s="22"/>
      <c r="K253" s="169"/>
      <c r="L253" s="174"/>
      <c r="M253" s="174"/>
      <c r="N253" s="174"/>
      <c r="O253" s="174"/>
      <c r="Y253" s="121"/>
    </row>
    <row r="254" spans="1:25" s="101" customFormat="1" x14ac:dyDescent="0.35">
      <c r="A254" s="131"/>
      <c r="B254" s="175" t="s">
        <v>67</v>
      </c>
      <c r="C254" s="32">
        <f>COUNTIF(G98:G237,"Ж")</f>
        <v>49</v>
      </c>
      <c r="D254" s="22"/>
      <c r="E254" s="22"/>
      <c r="F254" s="22"/>
      <c r="G254" s="22"/>
      <c r="H254" s="22"/>
      <c r="I254" s="138"/>
      <c r="J254" s="139"/>
      <c r="K254" s="19"/>
      <c r="L254" s="174"/>
      <c r="M254" s="174"/>
      <c r="N254" s="174"/>
      <c r="O254" s="174"/>
      <c r="Y254" s="121"/>
    </row>
    <row r="255" spans="1:25" s="101" customFormat="1" x14ac:dyDescent="0.35">
      <c r="A255" s="22"/>
      <c r="B255" s="133" t="s">
        <v>68</v>
      </c>
      <c r="C255" s="32">
        <f>COUNTIF(G98:G238,"М")</f>
        <v>54</v>
      </c>
      <c r="D255" s="176"/>
      <c r="E255" s="22"/>
      <c r="F255" s="22"/>
      <c r="G255" s="22"/>
      <c r="H255" s="176"/>
      <c r="I255" s="177"/>
      <c r="J255" s="22"/>
      <c r="K255" s="18"/>
      <c r="L255" s="141"/>
      <c r="M255" s="141"/>
      <c r="N255" s="141"/>
      <c r="O255" s="141"/>
      <c r="Y255" s="121"/>
    </row>
    <row r="256" spans="1:25" s="101" customFormat="1" x14ac:dyDescent="0.35">
      <c r="A256" s="22"/>
      <c r="B256" s="178" t="s">
        <v>70</v>
      </c>
      <c r="C256" s="179">
        <f>C253</f>
        <v>103</v>
      </c>
      <c r="D256" s="179"/>
      <c r="E256" s="179"/>
      <c r="F256" s="179"/>
      <c r="G256" s="179"/>
      <c r="H256" s="179"/>
      <c r="I256" s="177"/>
      <c r="J256" s="22"/>
      <c r="K256" s="18"/>
      <c r="L256" s="174"/>
      <c r="M256" s="174"/>
      <c r="N256" s="174"/>
      <c r="O256" s="174"/>
      <c r="Y256" s="121"/>
    </row>
    <row r="257" spans="1:25" s="101" customFormat="1" ht="15" thickBot="1" x14ac:dyDescent="0.4">
      <c r="A257" s="180"/>
      <c r="B257" s="181"/>
      <c r="C257" s="181"/>
      <c r="D257" s="180"/>
      <c r="E257" s="180"/>
      <c r="F257" s="181"/>
      <c r="G257" s="181"/>
      <c r="H257" s="182"/>
      <c r="I257" s="183"/>
      <c r="J257" s="180"/>
      <c r="K257" s="34"/>
      <c r="L257" s="174"/>
      <c r="M257" s="174"/>
      <c r="N257" s="174"/>
      <c r="O257" s="174"/>
      <c r="Y257" s="121"/>
    </row>
    <row r="258" spans="1:25" s="101" customFormat="1" x14ac:dyDescent="0.35">
      <c r="A258" s="235" t="str">
        <f>$A$1</f>
        <v>Муниципальное бюджетное учреждение "Комплексная спортивная школа" города Ачинска</v>
      </c>
      <c r="B258" s="235"/>
      <c r="C258" s="235"/>
      <c r="D258" s="235"/>
      <c r="E258" s="235"/>
      <c r="F258" s="235"/>
      <c r="G258" s="235"/>
      <c r="H258" s="235"/>
      <c r="I258" s="235"/>
      <c r="J258" s="235"/>
      <c r="K258" s="235"/>
      <c r="L258" s="121"/>
      <c r="M258" s="121"/>
      <c r="N258" s="121"/>
      <c r="O258" s="121"/>
    </row>
    <row r="259" spans="1:25" s="101" customFormat="1" ht="81" customHeight="1" x14ac:dyDescent="0.35">
      <c r="A259" s="236" t="str">
        <f>A93</f>
        <v xml:space="preserve">Открытое первенство МБУ ДО  "КСШ" 
по подводному спорту (плавание в ластах) (1460008511Я),                                                                                       посвященное "Дню Космонавтики" 
среди мальчиков и девочек 2015 г.р. и младше                                                           </v>
      </c>
      <c r="B259" s="236"/>
      <c r="C259" s="236"/>
      <c r="D259" s="236"/>
      <c r="E259" s="236"/>
      <c r="F259" s="236"/>
      <c r="G259" s="236"/>
      <c r="H259" s="236"/>
      <c r="I259" s="236"/>
      <c r="J259" s="236"/>
      <c r="K259" s="236"/>
      <c r="L259" s="121"/>
      <c r="M259" s="121"/>
      <c r="N259" s="121"/>
      <c r="O259" s="121"/>
    </row>
    <row r="260" spans="1:25" s="101" customFormat="1" ht="22" customHeight="1" x14ac:dyDescent="0.35">
      <c r="A260" s="3" t="str">
        <f>A94</f>
        <v>25-16 апреля 2026г.</v>
      </c>
      <c r="B260" s="125"/>
      <c r="C260" s="2"/>
      <c r="D260" s="4"/>
      <c r="E260" s="5"/>
      <c r="F260" s="2"/>
      <c r="G260" s="237" t="str">
        <f>G94</f>
        <v>г. Ачинск, плавательный бассейн "Нептун" МБУ "ГСК "Олимп", 25 м</v>
      </c>
      <c r="H260" s="237"/>
      <c r="I260" s="237"/>
      <c r="J260" s="237"/>
      <c r="K260" s="237"/>
      <c r="L260" s="121"/>
      <c r="M260" s="121"/>
      <c r="N260" s="121"/>
      <c r="O260" s="121"/>
    </row>
    <row r="261" spans="1:25" s="101" customFormat="1" ht="22.5" x14ac:dyDescent="0.35">
      <c r="A261" s="246" t="s">
        <v>135</v>
      </c>
      <c r="B261" s="246"/>
      <c r="C261" s="246"/>
      <c r="D261" s="246"/>
      <c r="E261" s="246"/>
      <c r="F261" s="246"/>
      <c r="G261" s="246"/>
      <c r="H261" s="246"/>
      <c r="I261" s="246"/>
      <c r="J261" s="246"/>
      <c r="K261" s="246"/>
      <c r="L261" s="121"/>
      <c r="M261" s="121"/>
      <c r="N261" s="121"/>
      <c r="O261" s="121"/>
    </row>
    <row r="262" spans="1:25" s="101" customFormat="1" ht="20" x14ac:dyDescent="0.35">
      <c r="A262" s="252" t="s">
        <v>134</v>
      </c>
      <c r="B262" s="252"/>
      <c r="C262" s="252"/>
      <c r="D262" s="252"/>
      <c r="E262" s="252"/>
      <c r="F262" s="252"/>
      <c r="G262" s="252"/>
      <c r="H262" s="252"/>
      <c r="I262" s="252"/>
      <c r="J262" s="252"/>
      <c r="K262" s="252"/>
      <c r="L262" s="121"/>
      <c r="M262" s="121"/>
      <c r="N262" s="121"/>
      <c r="O262" s="121"/>
    </row>
    <row r="263" spans="1:25" s="101" customFormat="1" x14ac:dyDescent="0.35">
      <c r="A263" s="253" t="s">
        <v>27</v>
      </c>
      <c r="B263" s="255" t="s">
        <v>19</v>
      </c>
      <c r="C263" s="257" t="s">
        <v>28</v>
      </c>
      <c r="D263" s="258"/>
      <c r="E263" s="255" t="s">
        <v>18</v>
      </c>
      <c r="F263" s="257" t="s">
        <v>20</v>
      </c>
      <c r="G263" s="258"/>
      <c r="H263" s="261" t="s">
        <v>29</v>
      </c>
      <c r="I263" s="262"/>
      <c r="J263" s="263" t="s">
        <v>30</v>
      </c>
      <c r="K263" s="257"/>
      <c r="L263" s="121"/>
      <c r="M263" s="121"/>
      <c r="N263" s="121"/>
      <c r="O263" s="121"/>
    </row>
    <row r="264" spans="1:25" s="101" customFormat="1" x14ac:dyDescent="0.35">
      <c r="A264" s="254"/>
      <c r="B264" s="256"/>
      <c r="C264" s="259"/>
      <c r="D264" s="260"/>
      <c r="E264" s="256"/>
      <c r="F264" s="259"/>
      <c r="G264" s="260"/>
      <c r="H264" s="223" t="s">
        <v>32</v>
      </c>
      <c r="I264" s="223" t="s">
        <v>33</v>
      </c>
      <c r="J264" s="264"/>
      <c r="K264" s="259"/>
      <c r="L264" s="121"/>
      <c r="M264" s="121"/>
      <c r="N264" s="121"/>
      <c r="O264" s="121"/>
    </row>
    <row r="265" spans="1:25" x14ac:dyDescent="0.35">
      <c r="A265" s="14"/>
      <c r="B265" s="21"/>
      <c r="C265" s="222"/>
      <c r="E265" s="202"/>
      <c r="F265" s="28"/>
      <c r="G265" s="33"/>
      <c r="H265" s="27"/>
      <c r="I265" s="201"/>
      <c r="J265" s="38"/>
    </row>
    <row r="266" spans="1:25" x14ac:dyDescent="0.35">
      <c r="A266" s="221" t="s">
        <v>219</v>
      </c>
      <c r="B266" s="14"/>
      <c r="C266" s="28"/>
      <c r="E266" s="202"/>
      <c r="F266" s="28"/>
      <c r="G266" s="33"/>
      <c r="H266" s="27"/>
      <c r="I266" s="201"/>
      <c r="J266" s="38"/>
    </row>
    <row r="267" spans="1:25" x14ac:dyDescent="0.35">
      <c r="A267" s="14">
        <v>1</v>
      </c>
      <c r="B267" s="14" t="s">
        <v>38</v>
      </c>
      <c r="C267" s="28" t="s">
        <v>383</v>
      </c>
      <c r="E267" s="202">
        <v>42198</v>
      </c>
      <c r="F267" s="28" t="s">
        <v>193</v>
      </c>
      <c r="G267" s="33"/>
      <c r="H267" s="27"/>
      <c r="I267" s="201">
        <v>29.01</v>
      </c>
      <c r="J267" s="59" t="str">
        <f>IF(ISBLANK(I267)," ",IF(ISTEXT(I267)," ",IF(I267&lt;=Нормативы!$H$27,"КМС",IF(I267&lt;=Нормативы!$H$28,"КМС",IF(I267&lt;=Нормативы!$L$29,"КМС",IF(I267&lt;=Нормативы!$L$30,"I",IF(I267&lt;=Нормативы!$L$31,"II",IF(I267&lt;=Нормативы!$L$32,"III",IF(I267&lt;=Нормативы!$L$33,"I юн",IF(I267&lt;=Нормативы!$L$34,"II юн",IF(I267&lt;=Нормативы!$L$35,"III юн","б/р")))))))))))</f>
        <v>III</v>
      </c>
    </row>
    <row r="268" spans="1:25" x14ac:dyDescent="0.35">
      <c r="A268" s="14">
        <v>2</v>
      </c>
      <c r="B268" s="14" t="s">
        <v>38</v>
      </c>
      <c r="C268" s="28" t="s">
        <v>283</v>
      </c>
      <c r="E268" s="202">
        <v>42028</v>
      </c>
      <c r="F268" s="28" t="s">
        <v>198</v>
      </c>
      <c r="G268" s="33"/>
      <c r="H268" s="27"/>
      <c r="I268" s="201">
        <v>29.26</v>
      </c>
      <c r="J268" s="59" t="str">
        <f>IF(ISBLANK(I268)," ",IF(ISTEXT(I268)," ",IF(I268&lt;=Нормативы!$H$27,"КМС",IF(I268&lt;=Нормативы!$H$28,"КМС",IF(I268&lt;=Нормативы!$L$29,"КМС",IF(I268&lt;=Нормативы!$L$30,"I",IF(I268&lt;=Нормативы!$L$31,"II",IF(I268&lt;=Нормативы!$L$32,"III",IF(I268&lt;=Нормативы!$L$33,"I юн",IF(I268&lt;=Нормативы!$L$34,"II юн",IF(I268&lt;=Нормативы!$L$35,"III юн","б/р")))))))))))</f>
        <v>III</v>
      </c>
    </row>
    <row r="269" spans="1:25" x14ac:dyDescent="0.35">
      <c r="A269" s="14">
        <v>3</v>
      </c>
      <c r="B269" s="14" t="s">
        <v>38</v>
      </c>
      <c r="C269" s="28" t="s">
        <v>274</v>
      </c>
      <c r="E269" s="202">
        <v>42142</v>
      </c>
      <c r="F269" s="28" t="s">
        <v>198</v>
      </c>
      <c r="G269" s="33"/>
      <c r="H269" s="27"/>
      <c r="I269" s="201">
        <v>29.4</v>
      </c>
      <c r="J269" s="59" t="str">
        <f>IF(ISBLANK(I269)," ",IF(ISTEXT(I269)," ",IF(I269&lt;=Нормативы!$H$27,"КМС",IF(I269&lt;=Нормативы!$H$28,"КМС",IF(I269&lt;=Нормативы!$L$29,"КМС",IF(I269&lt;=Нормативы!$L$30,"I",IF(I269&lt;=Нормативы!$L$31,"II",IF(I269&lt;=Нормативы!$L$32,"III",IF(I269&lt;=Нормативы!$L$33,"I юн",IF(I269&lt;=Нормативы!$L$34,"II юн",IF(I269&lt;=Нормативы!$L$35,"III юн","б/р")))))))))))</f>
        <v>III</v>
      </c>
    </row>
    <row r="270" spans="1:25" x14ac:dyDescent="0.35">
      <c r="A270" s="14">
        <v>4</v>
      </c>
      <c r="B270" s="14" t="s">
        <v>38</v>
      </c>
      <c r="C270" s="28" t="s">
        <v>426</v>
      </c>
      <c r="E270" s="202">
        <v>42244</v>
      </c>
      <c r="F270" s="28" t="s">
        <v>172</v>
      </c>
      <c r="G270" s="33"/>
      <c r="H270" s="27"/>
      <c r="I270" s="201">
        <v>30.76</v>
      </c>
      <c r="J270" s="59" t="str">
        <f>IF(ISBLANK(I270)," ",IF(ISTEXT(I270)," ",IF(I270&lt;=Нормативы!$H$27,"КМС",IF(I270&lt;=Нормативы!$H$28,"КМС",IF(I270&lt;=Нормативы!$L$29,"КМС",IF(I270&lt;=Нормативы!$L$30,"I",IF(I270&lt;=Нормативы!$L$31,"II",IF(I270&lt;=Нормативы!$L$32,"III",IF(I270&lt;=Нормативы!$L$33,"I юн",IF(I270&lt;=Нормативы!$L$34,"II юн",IF(I270&lt;=Нормативы!$L$35,"III юн","б/р")))))))))))</f>
        <v>I юн</v>
      </c>
    </row>
    <row r="271" spans="1:25" x14ac:dyDescent="0.35">
      <c r="A271" s="14">
        <v>5</v>
      </c>
      <c r="B271" s="14" t="s">
        <v>22</v>
      </c>
      <c r="C271" s="28" t="s">
        <v>384</v>
      </c>
      <c r="E271" s="202">
        <v>42450</v>
      </c>
      <c r="F271" s="28" t="s">
        <v>193</v>
      </c>
      <c r="G271" s="33"/>
      <c r="H271" s="27"/>
      <c r="I271" s="201">
        <v>30.85</v>
      </c>
      <c r="J271" s="59" t="str">
        <f>IF(ISBLANK(I271)," ",IF(ISTEXT(I271)," ",IF(I271&lt;=Нормативы!$H$27,"КМС",IF(I271&lt;=Нормативы!$H$28,"КМС",IF(I271&lt;=Нормативы!$L$29,"КМС",IF(I271&lt;=Нормативы!$L$30,"I",IF(I271&lt;=Нормативы!$L$31,"II",IF(I271&lt;=Нормативы!$L$32,"III",IF(I271&lt;=Нормативы!$L$33,"I юн",IF(I271&lt;=Нормативы!$L$34,"II юн",IF(I271&lt;=Нормативы!$L$35,"III юн","б/р")))))))))))</f>
        <v>I юн</v>
      </c>
    </row>
    <row r="272" spans="1:25" x14ac:dyDescent="0.35">
      <c r="A272" s="14">
        <v>6</v>
      </c>
      <c r="B272" s="14" t="s">
        <v>22</v>
      </c>
      <c r="C272" s="28" t="s">
        <v>382</v>
      </c>
      <c r="E272" s="202">
        <v>42114</v>
      </c>
      <c r="F272" s="28" t="s">
        <v>193</v>
      </c>
      <c r="G272" s="33"/>
      <c r="H272" s="27"/>
      <c r="I272" s="201">
        <v>31.82</v>
      </c>
      <c r="J272" s="59" t="str">
        <f>IF(ISBLANK(I272)," ",IF(ISTEXT(I272)," ",IF(I272&lt;=Нормативы!$H$27,"КМС",IF(I272&lt;=Нормативы!$H$28,"КМС",IF(I272&lt;=Нормативы!$L$29,"КМС",IF(I272&lt;=Нормативы!$L$30,"I",IF(I272&lt;=Нормативы!$L$31,"II",IF(I272&lt;=Нормативы!$L$32,"III",IF(I272&lt;=Нормативы!$L$33,"I юн",IF(I272&lt;=Нормативы!$L$34,"II юн",IF(I272&lt;=Нормативы!$L$35,"III юн","б/р")))))))))))</f>
        <v>I юн</v>
      </c>
    </row>
    <row r="273" spans="1:10" x14ac:dyDescent="0.35">
      <c r="A273" s="14">
        <v>7</v>
      </c>
      <c r="B273" s="14" t="s">
        <v>38</v>
      </c>
      <c r="C273" s="28" t="s">
        <v>430</v>
      </c>
      <c r="E273" s="202">
        <v>42512</v>
      </c>
      <c r="F273" s="28" t="s">
        <v>172</v>
      </c>
      <c r="G273" s="33"/>
      <c r="H273" s="27"/>
      <c r="I273" s="201">
        <v>31.86</v>
      </c>
      <c r="J273" s="59" t="str">
        <f>IF(ISBLANK(I273)," ",IF(ISTEXT(I273)," ",IF(I273&lt;=Нормативы!$H$27,"КМС",IF(I273&lt;=Нормативы!$H$28,"КМС",IF(I273&lt;=Нормативы!$L$29,"КМС",IF(I273&lt;=Нормативы!$L$30,"I",IF(I273&lt;=Нормативы!$L$31,"II",IF(I273&lt;=Нормативы!$L$32,"III",IF(I273&lt;=Нормативы!$L$33,"I юн",IF(I273&lt;=Нормативы!$L$34,"II юн",IF(I273&lt;=Нормативы!$L$35,"III юн","б/р")))))))))))</f>
        <v>I юн</v>
      </c>
    </row>
    <row r="274" spans="1:10" x14ac:dyDescent="0.35">
      <c r="A274" s="14">
        <v>8</v>
      </c>
      <c r="B274" s="14" t="s">
        <v>22</v>
      </c>
      <c r="C274" s="28" t="s">
        <v>321</v>
      </c>
      <c r="E274" s="202">
        <v>42038</v>
      </c>
      <c r="F274" s="28" t="s">
        <v>198</v>
      </c>
      <c r="G274" s="33"/>
      <c r="H274" s="27"/>
      <c r="I274" s="201">
        <v>32.700000000000003</v>
      </c>
      <c r="J274" s="59" t="str">
        <f>IF(ISBLANK(I274)," ",IF(ISTEXT(I274)," ",IF(I274&lt;=Нормативы!$H$27,"КМС",IF(I274&lt;=Нормативы!$H$28,"КМС",IF(I274&lt;=Нормативы!$L$29,"КМС",IF(I274&lt;=Нормативы!$L$30,"I",IF(I274&lt;=Нормативы!$L$31,"II",IF(I274&lt;=Нормативы!$L$32,"III",IF(I274&lt;=Нормативы!$L$33,"I юн",IF(I274&lt;=Нормативы!$L$34,"II юн",IF(I274&lt;=Нормативы!$L$35,"III юн","б/р")))))))))))</f>
        <v>I юн</v>
      </c>
    </row>
    <row r="275" spans="1:10" x14ac:dyDescent="0.35">
      <c r="A275" s="14">
        <v>9</v>
      </c>
      <c r="B275" s="21" t="s">
        <v>23</v>
      </c>
      <c r="C275" s="28" t="s">
        <v>319</v>
      </c>
      <c r="E275" s="202">
        <v>42616</v>
      </c>
      <c r="F275" s="28" t="s">
        <v>198</v>
      </c>
      <c r="G275" s="33"/>
      <c r="H275" s="27"/>
      <c r="I275" s="201">
        <v>32.729999999999997</v>
      </c>
      <c r="J275" s="59" t="str">
        <f>IF(ISBLANK(I275)," ",IF(ISTEXT(I275)," ",IF(I275&lt;=Нормативы!$H$27,"КМС",IF(I275&lt;=Нормативы!$H$28,"КМС",IF(I275&lt;=Нормативы!$L$29,"КМС",IF(I275&lt;=Нормативы!$L$30,"I",IF(I275&lt;=Нормативы!$L$31,"II",IF(I275&lt;=Нормативы!$L$32,"III",IF(I275&lt;=Нормативы!$L$33,"I юн",IF(I275&lt;=Нормативы!$L$34,"II юн",IF(I275&lt;=Нормативы!$L$35,"III юн","б/р")))))))))))</f>
        <v>I юн</v>
      </c>
    </row>
    <row r="276" spans="1:10" x14ac:dyDescent="0.35">
      <c r="A276" s="14">
        <v>10</v>
      </c>
      <c r="B276" s="14" t="s">
        <v>22</v>
      </c>
      <c r="C276" s="28" t="s">
        <v>425</v>
      </c>
      <c r="E276" s="206">
        <v>42112</v>
      </c>
      <c r="F276" s="28" t="s">
        <v>172</v>
      </c>
      <c r="G276" s="33"/>
      <c r="H276" s="27"/>
      <c r="I276" s="201">
        <v>32.94</v>
      </c>
      <c r="J276" s="59" t="str">
        <f>IF(ISBLANK(I276)," ",IF(ISTEXT(I276)," ",IF(I276&lt;=Нормативы!$H$27,"КМС",IF(I276&lt;=Нормативы!$H$28,"КМС",IF(I276&lt;=Нормативы!$L$29,"КМС",IF(I276&lt;=Нормативы!$L$30,"I",IF(I276&lt;=Нормативы!$L$31,"II",IF(I276&lt;=Нормативы!$L$32,"III",IF(I276&lt;=Нормативы!$L$33,"I юн",IF(I276&lt;=Нормативы!$L$34,"II юн",IF(I276&lt;=Нормативы!$L$35,"III юн","б/р")))))))))))</f>
        <v>I юн</v>
      </c>
    </row>
    <row r="277" spans="1:10" x14ac:dyDescent="0.35">
      <c r="A277" s="14">
        <v>11</v>
      </c>
      <c r="B277" s="14" t="s">
        <v>22</v>
      </c>
      <c r="C277" s="28" t="s">
        <v>495</v>
      </c>
      <c r="E277" s="202">
        <v>42276</v>
      </c>
      <c r="F277" s="28" t="s">
        <v>172</v>
      </c>
      <c r="G277" s="33"/>
      <c r="H277" s="27"/>
      <c r="I277" s="201">
        <v>32.96</v>
      </c>
      <c r="J277" s="59" t="str">
        <f>IF(ISBLANK(I277)," ",IF(ISTEXT(I277)," ",IF(I277&lt;=Нормативы!$H$27,"КМС",IF(I277&lt;=Нормативы!$H$28,"КМС",IF(I277&lt;=Нормативы!$L$29,"КМС",IF(I277&lt;=Нормативы!$L$30,"I",IF(I277&lt;=Нормативы!$L$31,"II",IF(I277&lt;=Нормативы!$L$32,"III",IF(I277&lt;=Нормативы!$L$33,"I юн",IF(I277&lt;=Нормативы!$L$34,"II юн",IF(I277&lt;=Нормативы!$L$35,"III юн","б/р")))))))))))</f>
        <v>I юн</v>
      </c>
    </row>
    <row r="278" spans="1:10" x14ac:dyDescent="0.35">
      <c r="A278" s="14">
        <v>12</v>
      </c>
      <c r="B278" s="21" t="s">
        <v>23</v>
      </c>
      <c r="C278" s="28" t="s">
        <v>377</v>
      </c>
      <c r="E278" s="202">
        <v>42091</v>
      </c>
      <c r="F278" s="28" t="s">
        <v>176</v>
      </c>
      <c r="G278" s="33"/>
      <c r="H278" s="27"/>
      <c r="I278" s="201">
        <v>35.03</v>
      </c>
      <c r="J278" s="59" t="str">
        <f>IF(ISBLANK(I278)," ",IF(ISTEXT(I278)," ",IF(I278&lt;=Нормативы!$H$27,"КМС",IF(I278&lt;=Нормативы!$H$28,"КМС",IF(I278&lt;=Нормативы!$L$29,"КМС",IF(I278&lt;=Нормативы!$L$30,"I",IF(I278&lt;=Нормативы!$L$31,"II",IF(I278&lt;=Нормативы!$L$32,"III",IF(I278&lt;=Нормативы!$L$33,"I юн",IF(I278&lt;=Нормативы!$L$34,"II юн",IF(I278&lt;=Нормативы!$L$35,"III юн","б/р")))))))))))</f>
        <v>II юн</v>
      </c>
    </row>
    <row r="279" spans="1:10" x14ac:dyDescent="0.35">
      <c r="A279" s="14">
        <v>13</v>
      </c>
      <c r="B279" s="21" t="s">
        <v>23</v>
      </c>
      <c r="C279" s="28" t="s">
        <v>320</v>
      </c>
      <c r="E279" s="202">
        <v>42711</v>
      </c>
      <c r="F279" s="28" t="s">
        <v>198</v>
      </c>
      <c r="G279" s="33"/>
      <c r="H279" s="27"/>
      <c r="I279" s="201">
        <v>35.06</v>
      </c>
      <c r="J279" s="59" t="str">
        <f>IF(ISBLANK(I279)," ",IF(ISTEXT(I279)," ",IF(I279&lt;=Нормативы!$H$27,"КМС",IF(I279&lt;=Нормативы!$H$28,"КМС",IF(I279&lt;=Нормативы!$L$29,"КМС",IF(I279&lt;=Нормативы!$L$30,"I",IF(I279&lt;=Нормативы!$L$31,"II",IF(I279&lt;=Нормативы!$L$32,"III",IF(I279&lt;=Нормативы!$L$33,"I юн",IF(I279&lt;=Нормативы!$L$34,"II юн",IF(I279&lt;=Нормативы!$L$35,"III юн","б/р")))))))))))</f>
        <v>II юн</v>
      </c>
    </row>
    <row r="280" spans="1:10" x14ac:dyDescent="0.35">
      <c r="A280" s="14">
        <v>14</v>
      </c>
      <c r="B280" s="14" t="s">
        <v>22</v>
      </c>
      <c r="C280" s="28" t="s">
        <v>428</v>
      </c>
      <c r="E280" s="202">
        <v>42451</v>
      </c>
      <c r="F280" s="28" t="s">
        <v>172</v>
      </c>
      <c r="G280" s="33"/>
      <c r="H280" s="27"/>
      <c r="I280" s="201">
        <v>35.29</v>
      </c>
      <c r="J280" s="59" t="str">
        <f>IF(ISBLANK(I280)," ",IF(ISTEXT(I280)," ",IF(I280&lt;=Нормативы!$H$27,"КМС",IF(I280&lt;=Нормативы!$H$28,"КМС",IF(I280&lt;=Нормативы!$L$29,"КМС",IF(I280&lt;=Нормативы!$L$30,"I",IF(I280&lt;=Нормативы!$L$31,"II",IF(I280&lt;=Нормативы!$L$32,"III",IF(I280&lt;=Нормативы!$L$33,"I юн",IF(I280&lt;=Нормативы!$L$34,"II юн",IF(I280&lt;=Нормативы!$L$35,"III юн","б/р")))))))))))</f>
        <v>II юн</v>
      </c>
    </row>
    <row r="281" spans="1:10" x14ac:dyDescent="0.35">
      <c r="A281" s="14">
        <v>15</v>
      </c>
      <c r="B281" s="21" t="s">
        <v>23</v>
      </c>
      <c r="C281" s="28" t="s">
        <v>395</v>
      </c>
      <c r="E281" s="202">
        <v>42254</v>
      </c>
      <c r="F281" s="28" t="s">
        <v>193</v>
      </c>
      <c r="G281" s="33"/>
      <c r="H281" s="27"/>
      <c r="I281" s="201">
        <v>35.43</v>
      </c>
      <c r="J281" s="59" t="str">
        <f>IF(ISBLANK(I281)," ",IF(ISTEXT(I281)," ",IF(I281&lt;=Нормативы!$H$27,"КМС",IF(I281&lt;=Нормативы!$H$28,"КМС",IF(I281&lt;=Нормативы!$L$29,"КМС",IF(I281&lt;=Нормативы!$L$30,"I",IF(I281&lt;=Нормативы!$L$31,"II",IF(I281&lt;=Нормативы!$L$32,"III",IF(I281&lt;=Нормативы!$L$33,"I юн",IF(I281&lt;=Нормативы!$L$34,"II юн",IF(I281&lt;=Нормативы!$L$35,"III юн","б/р")))))))))))</f>
        <v>II юн</v>
      </c>
    </row>
    <row r="282" spans="1:10" x14ac:dyDescent="0.35">
      <c r="A282" s="14">
        <v>16</v>
      </c>
      <c r="B282" s="21" t="s">
        <v>23</v>
      </c>
      <c r="C282" s="28" t="s">
        <v>332</v>
      </c>
      <c r="E282" s="202">
        <v>42323</v>
      </c>
      <c r="F282" s="28" t="s">
        <v>198</v>
      </c>
      <c r="G282" s="33"/>
      <c r="H282" s="27"/>
      <c r="I282" s="201">
        <v>35.430999999999997</v>
      </c>
      <c r="J282" s="59" t="str">
        <f>IF(ISBLANK(I282)," ",IF(ISTEXT(I282)," ",IF(I282&lt;=Нормативы!$H$27,"КМС",IF(I282&lt;=Нормативы!$H$28,"КМС",IF(I282&lt;=Нормативы!$L$29,"КМС",IF(I282&lt;=Нормативы!$L$30,"I",IF(I282&lt;=Нормативы!$L$31,"II",IF(I282&lt;=Нормативы!$L$32,"III",IF(I282&lt;=Нормативы!$L$33,"I юн",IF(I282&lt;=Нормативы!$L$34,"II юн",IF(I282&lt;=Нормативы!$L$35,"III юн","б/р")))))))))))</f>
        <v>II юн</v>
      </c>
    </row>
    <row r="283" spans="1:10" x14ac:dyDescent="0.35">
      <c r="A283" s="14">
        <v>17</v>
      </c>
      <c r="B283" s="14" t="s">
        <v>22</v>
      </c>
      <c r="C283" s="28" t="s">
        <v>394</v>
      </c>
      <c r="E283" s="202">
        <v>42556</v>
      </c>
      <c r="F283" s="28" t="s">
        <v>193</v>
      </c>
      <c r="G283" s="33"/>
      <c r="H283" s="27"/>
      <c r="I283" s="201">
        <v>35.51</v>
      </c>
      <c r="J283" s="59" t="str">
        <f>IF(ISBLANK(I283)," ",IF(ISTEXT(I283)," ",IF(I283&lt;=Нормативы!$H$27,"КМС",IF(I283&lt;=Нормативы!$H$28,"КМС",IF(I283&lt;=Нормативы!$L$29,"КМС",IF(I283&lt;=Нормативы!$L$30,"I",IF(I283&lt;=Нормативы!$L$31,"II",IF(I283&lt;=Нормативы!$L$32,"III",IF(I283&lt;=Нормативы!$L$33,"I юн",IF(I283&lt;=Нормативы!$L$34,"II юн",IF(I283&lt;=Нормативы!$L$35,"III юн","б/р")))))))))))</f>
        <v>II юн</v>
      </c>
    </row>
    <row r="284" spans="1:10" x14ac:dyDescent="0.35">
      <c r="A284" s="14">
        <v>18</v>
      </c>
      <c r="B284" s="21" t="s">
        <v>26</v>
      </c>
      <c r="C284" s="28" t="s">
        <v>337</v>
      </c>
      <c r="E284" s="202">
        <v>42525</v>
      </c>
      <c r="F284" s="28" t="s">
        <v>198</v>
      </c>
      <c r="G284" s="33"/>
      <c r="H284" s="27"/>
      <c r="I284" s="201">
        <v>35.97</v>
      </c>
      <c r="J284" s="59" t="str">
        <f>IF(ISBLANK(I284)," ",IF(ISTEXT(I284)," ",IF(I284&lt;=Нормативы!$H$27,"КМС",IF(I284&lt;=Нормативы!$H$28,"КМС",IF(I284&lt;=Нормативы!$L$29,"КМС",IF(I284&lt;=Нормативы!$L$30,"I",IF(I284&lt;=Нормативы!$L$31,"II",IF(I284&lt;=Нормативы!$L$32,"III",IF(I284&lt;=Нормативы!$L$33,"I юн",IF(I284&lt;=Нормативы!$L$34,"II юн",IF(I284&lt;=Нормативы!$L$35,"III юн","б/р")))))))))))</f>
        <v>II юн</v>
      </c>
    </row>
    <row r="285" spans="1:10" x14ac:dyDescent="0.35">
      <c r="A285" s="14">
        <v>19</v>
      </c>
      <c r="B285" s="21" t="s">
        <v>23</v>
      </c>
      <c r="C285" s="28" t="s">
        <v>433</v>
      </c>
      <c r="E285" s="202">
        <v>42619</v>
      </c>
      <c r="F285" s="28" t="s">
        <v>172</v>
      </c>
      <c r="G285" s="33"/>
      <c r="H285" s="27"/>
      <c r="I285" s="201">
        <v>36.15</v>
      </c>
      <c r="J285" s="59" t="str">
        <f>IF(ISBLANK(I285)," ",IF(ISTEXT(I285)," ",IF(I285&lt;=Нормативы!$H$27,"КМС",IF(I285&lt;=Нормативы!$H$28,"КМС",IF(I285&lt;=Нормативы!$L$29,"КМС",IF(I285&lt;=Нормативы!$L$30,"I",IF(I285&lt;=Нормативы!$L$31,"II",IF(I285&lt;=Нормативы!$L$32,"III",IF(I285&lt;=Нормативы!$L$33,"I юн",IF(I285&lt;=Нормативы!$L$34,"II юн",IF(I285&lt;=Нормативы!$L$35,"III юн","б/р")))))))))))</f>
        <v>III юн</v>
      </c>
    </row>
    <row r="286" spans="1:10" x14ac:dyDescent="0.35">
      <c r="A286" s="14">
        <v>20</v>
      </c>
      <c r="B286" s="21" t="s">
        <v>26</v>
      </c>
      <c r="C286" s="28" t="s">
        <v>336</v>
      </c>
      <c r="E286" s="202">
        <v>42470</v>
      </c>
      <c r="F286" s="28" t="s">
        <v>198</v>
      </c>
      <c r="G286" s="33"/>
      <c r="H286" s="27"/>
      <c r="I286" s="201">
        <v>36.17</v>
      </c>
      <c r="J286" s="59" t="str">
        <f>IF(ISBLANK(I286)," ",IF(ISTEXT(I286)," ",IF(I286&lt;=Нормативы!$H$27,"КМС",IF(I286&lt;=Нормативы!$H$28,"КМС",IF(I286&lt;=Нормативы!$L$29,"КМС",IF(I286&lt;=Нормативы!$L$30,"I",IF(I286&lt;=Нормативы!$L$31,"II",IF(I286&lt;=Нормативы!$L$32,"III",IF(I286&lt;=Нормативы!$L$33,"I юн",IF(I286&lt;=Нормативы!$L$34,"II юн",IF(I286&lt;=Нормативы!$L$35,"III юн","б/р")))))))))))</f>
        <v>III юн</v>
      </c>
    </row>
    <row r="287" spans="1:10" x14ac:dyDescent="0.35">
      <c r="A287" s="14">
        <v>21</v>
      </c>
      <c r="B287" s="14" t="s">
        <v>22</v>
      </c>
      <c r="C287" s="28" t="s">
        <v>427</v>
      </c>
      <c r="E287" s="208">
        <v>42370</v>
      </c>
      <c r="F287" s="28" t="s">
        <v>172</v>
      </c>
      <c r="G287" s="33"/>
      <c r="H287" s="27"/>
      <c r="I287" s="201">
        <v>36.450000000000003</v>
      </c>
      <c r="J287" s="59" t="str">
        <f>IF(ISBLANK(I287)," ",IF(ISTEXT(I287)," ",IF(I287&lt;=Нормативы!$H$27,"КМС",IF(I287&lt;=Нормативы!$H$28,"КМС",IF(I287&lt;=Нормативы!$L$29,"КМС",IF(I287&lt;=Нормативы!$L$30,"I",IF(I287&lt;=Нормативы!$L$31,"II",IF(I287&lt;=Нормативы!$L$32,"III",IF(I287&lt;=Нормативы!$L$33,"I юн",IF(I287&lt;=Нормативы!$L$34,"II юн",IF(I287&lt;=Нормативы!$L$35,"III юн","б/р")))))))))))</f>
        <v>III юн</v>
      </c>
    </row>
    <row r="288" spans="1:10" x14ac:dyDescent="0.35">
      <c r="A288" s="14">
        <v>22</v>
      </c>
      <c r="B288" s="21" t="s">
        <v>23</v>
      </c>
      <c r="C288" s="28" t="s">
        <v>375</v>
      </c>
      <c r="E288" s="202">
        <v>42314</v>
      </c>
      <c r="F288" s="28" t="s">
        <v>176</v>
      </c>
      <c r="G288" s="33"/>
      <c r="H288" s="27"/>
      <c r="I288" s="201">
        <v>36.64</v>
      </c>
      <c r="J288" s="59" t="str">
        <f>IF(ISBLANK(I288)," ",IF(ISTEXT(I288)," ",IF(I288&lt;=Нормативы!$H$27,"КМС",IF(I288&lt;=Нормативы!$H$28,"КМС",IF(I288&lt;=Нормативы!$L$29,"КМС",IF(I288&lt;=Нормативы!$L$30,"I",IF(I288&lt;=Нормативы!$L$31,"II",IF(I288&lt;=Нормативы!$L$32,"III",IF(I288&lt;=Нормативы!$L$33,"I юн",IF(I288&lt;=Нормативы!$L$34,"II юн",IF(I288&lt;=Нормативы!$L$35,"III юн","б/р")))))))))))</f>
        <v>III юн</v>
      </c>
    </row>
    <row r="289" spans="1:10" x14ac:dyDescent="0.35">
      <c r="A289" s="14">
        <v>23</v>
      </c>
      <c r="B289" s="21" t="s">
        <v>23</v>
      </c>
      <c r="C289" s="28" t="s">
        <v>376</v>
      </c>
      <c r="E289" s="202">
        <v>42457</v>
      </c>
      <c r="F289" s="28" t="s">
        <v>176</v>
      </c>
      <c r="G289" s="33"/>
      <c r="H289" s="27"/>
      <c r="I289" s="201">
        <v>36.65</v>
      </c>
      <c r="J289" s="59" t="str">
        <f>IF(ISBLANK(I289)," ",IF(ISTEXT(I289)," ",IF(I289&lt;=Нормативы!$H$27,"КМС",IF(I289&lt;=Нормативы!$H$28,"КМС",IF(I289&lt;=Нормативы!$L$29,"КМС",IF(I289&lt;=Нормативы!$L$30,"I",IF(I289&lt;=Нормативы!$L$31,"II",IF(I289&lt;=Нормативы!$L$32,"III",IF(I289&lt;=Нормативы!$L$33,"I юн",IF(I289&lt;=Нормативы!$L$34,"II юн",IF(I289&lt;=Нормативы!$L$35,"III юн","б/р")))))))))))</f>
        <v>III юн</v>
      </c>
    </row>
    <row r="290" spans="1:10" x14ac:dyDescent="0.35">
      <c r="A290" s="14">
        <v>24</v>
      </c>
      <c r="B290" s="21" t="s">
        <v>26</v>
      </c>
      <c r="C290" s="28" t="s">
        <v>281</v>
      </c>
      <c r="E290" s="202">
        <v>42724</v>
      </c>
      <c r="F290" s="28" t="s">
        <v>198</v>
      </c>
      <c r="G290" s="33"/>
      <c r="H290" s="27"/>
      <c r="I290" s="201">
        <v>37.07</v>
      </c>
      <c r="J290" s="59" t="str">
        <f>IF(ISBLANK(I290)," ",IF(ISTEXT(I290)," ",IF(I290&lt;=Нормативы!$H$27,"КМС",IF(I290&lt;=Нормативы!$H$28,"КМС",IF(I290&lt;=Нормативы!$L$29,"КМС",IF(I290&lt;=Нормативы!$L$30,"I",IF(I290&lt;=Нормативы!$L$31,"II",IF(I290&lt;=Нормативы!$L$32,"III",IF(I290&lt;=Нормативы!$L$33,"I юн",IF(I290&lt;=Нормативы!$L$34,"II юн",IF(I290&lt;=Нормативы!$L$35,"III юн","б/р")))))))))))</f>
        <v>III юн</v>
      </c>
    </row>
    <row r="291" spans="1:10" x14ac:dyDescent="0.35">
      <c r="A291" s="14">
        <v>25</v>
      </c>
      <c r="B291" s="21" t="s">
        <v>23</v>
      </c>
      <c r="C291" s="28" t="s">
        <v>429</v>
      </c>
      <c r="E291" s="208">
        <v>42512</v>
      </c>
      <c r="F291" s="28" t="s">
        <v>172</v>
      </c>
      <c r="G291" s="33"/>
      <c r="H291" s="27"/>
      <c r="I291" s="201">
        <v>37.15</v>
      </c>
      <c r="J291" s="59" t="str">
        <f>IF(ISBLANK(I291)," ",IF(ISTEXT(I291)," ",IF(I291&lt;=Нормативы!$H$27,"КМС",IF(I291&lt;=Нормативы!$H$28,"КМС",IF(I291&lt;=Нормативы!$L$29,"КМС",IF(I291&lt;=Нормативы!$L$30,"I",IF(I291&lt;=Нормативы!$L$31,"II",IF(I291&lt;=Нормативы!$L$32,"III",IF(I291&lt;=Нормативы!$L$33,"I юн",IF(I291&lt;=Нормативы!$L$34,"II юн",IF(I291&lt;=Нормативы!$L$35,"III юн","б/р")))))))))))</f>
        <v>III юн</v>
      </c>
    </row>
    <row r="292" spans="1:10" x14ac:dyDescent="0.35">
      <c r="A292" s="14">
        <v>26</v>
      </c>
      <c r="B292" s="21" t="s">
        <v>23</v>
      </c>
      <c r="C292" s="28" t="s">
        <v>385</v>
      </c>
      <c r="E292" s="202">
        <v>42078</v>
      </c>
      <c r="F292" s="28" t="s">
        <v>245</v>
      </c>
      <c r="G292" s="33"/>
      <c r="H292" s="27"/>
      <c r="I292" s="201">
        <v>37.39</v>
      </c>
      <c r="J292" s="59" t="str">
        <f>IF(ISBLANK(I292)," ",IF(ISTEXT(I292)," ",IF(I292&lt;=Нормативы!$H$27,"КМС",IF(I292&lt;=Нормативы!$H$28,"КМС",IF(I292&lt;=Нормативы!$L$29,"КМС",IF(I292&lt;=Нормативы!$L$30,"I",IF(I292&lt;=Нормативы!$L$31,"II",IF(I292&lt;=Нормативы!$L$32,"III",IF(I292&lt;=Нормативы!$L$33,"I юн",IF(I292&lt;=Нормативы!$L$34,"II юн",IF(I292&lt;=Нормативы!$L$35,"III юн","б/р")))))))))))</f>
        <v>III юн</v>
      </c>
    </row>
    <row r="293" spans="1:10" x14ac:dyDescent="0.35">
      <c r="A293" s="14">
        <v>27</v>
      </c>
      <c r="B293" s="21" t="s">
        <v>23</v>
      </c>
      <c r="C293" s="28" t="s">
        <v>317</v>
      </c>
      <c r="E293" s="202">
        <v>42046</v>
      </c>
      <c r="F293" s="28" t="s">
        <v>198</v>
      </c>
      <c r="G293" s="33"/>
      <c r="H293" s="27"/>
      <c r="I293" s="201">
        <v>37.76</v>
      </c>
      <c r="J293" s="59" t="str">
        <f>IF(ISBLANK(I293)," ",IF(ISTEXT(I293)," ",IF(I293&lt;=Нормативы!$H$27,"КМС",IF(I293&lt;=Нормативы!$H$28,"КМС",IF(I293&lt;=Нормативы!$L$29,"КМС",IF(I293&lt;=Нормативы!$L$30,"I",IF(I293&lt;=Нормативы!$L$31,"II",IF(I293&lt;=Нормативы!$L$32,"III",IF(I293&lt;=Нормативы!$L$33,"I юн",IF(I293&lt;=Нормативы!$L$34,"II юн",IF(I293&lt;=Нормативы!$L$35,"III юн","б/р")))))))))))</f>
        <v>III юн</v>
      </c>
    </row>
    <row r="294" spans="1:10" x14ac:dyDescent="0.35">
      <c r="A294" s="14">
        <v>28</v>
      </c>
      <c r="B294" s="21" t="s">
        <v>23</v>
      </c>
      <c r="C294" s="28" t="s">
        <v>432</v>
      </c>
      <c r="E294" s="208">
        <v>42614</v>
      </c>
      <c r="F294" s="28" t="s">
        <v>172</v>
      </c>
      <c r="G294" s="33"/>
      <c r="H294" s="27"/>
      <c r="I294" s="201">
        <v>38.82</v>
      </c>
      <c r="J294" s="59" t="str">
        <f>IF(ISBLANK(I294)," ",IF(ISTEXT(I294)," ",IF(I294&lt;=Нормативы!$H$27,"КМС",IF(I294&lt;=Нормативы!$H$28,"КМС",IF(I294&lt;=Нормативы!$L$29,"КМС",IF(I294&lt;=Нормативы!$L$30,"I",IF(I294&lt;=Нормативы!$L$31,"II",IF(I294&lt;=Нормативы!$L$32,"III",IF(I294&lt;=Нормативы!$L$33,"I юн",IF(I294&lt;=Нормативы!$L$34,"II юн",IF(I294&lt;=Нормативы!$L$35,"III юн","б/р")))))))))))</f>
        <v>III юн</v>
      </c>
    </row>
    <row r="295" spans="1:10" x14ac:dyDescent="0.35">
      <c r="A295" s="14">
        <v>29</v>
      </c>
      <c r="B295" s="119" t="s">
        <v>26</v>
      </c>
      <c r="C295" s="52" t="s">
        <v>496</v>
      </c>
      <c r="E295" s="123">
        <v>42668</v>
      </c>
      <c r="F295" s="52" t="s">
        <v>198</v>
      </c>
      <c r="G295" s="27"/>
      <c r="H295" s="27"/>
      <c r="I295" s="224">
        <v>40.270000000000003</v>
      </c>
      <c r="J295" s="59" t="str">
        <f>IF(ISBLANK(I295)," ",IF(ISTEXT(I295)," ",IF(I295&lt;=Нормативы!$H$27,"КМС",IF(I295&lt;=Нормативы!$H$28,"КМС",IF(I295&lt;=Нормативы!$L$29,"КМС",IF(I295&lt;=Нормативы!$L$30,"I",IF(I295&lt;=Нормативы!$L$31,"II",IF(I295&lt;=Нормативы!$L$32,"III",IF(I295&lt;=Нормативы!$L$33,"I юн",IF(I295&lt;=Нормативы!$L$34,"II юн",IF(I295&lt;=Нормативы!$L$35,"III юн","б/р")))))))))))</f>
        <v>б/р</v>
      </c>
    </row>
    <row r="296" spans="1:10" x14ac:dyDescent="0.35">
      <c r="A296" s="14">
        <v>30</v>
      </c>
      <c r="B296" s="21" t="s">
        <v>26</v>
      </c>
      <c r="C296" s="28" t="s">
        <v>335</v>
      </c>
      <c r="E296" s="202">
        <v>42606</v>
      </c>
      <c r="F296" s="52" t="s">
        <v>198</v>
      </c>
      <c r="G296" s="33"/>
      <c r="H296" s="27"/>
      <c r="I296" s="201">
        <v>40.89</v>
      </c>
      <c r="J296" s="59" t="str">
        <f>IF(ISBLANK(I296)," ",IF(ISTEXT(I296)," ",IF(I296&lt;=Нормативы!$H$27,"КМС",IF(I296&lt;=Нормативы!$H$28,"КМС",IF(I296&lt;=Нормативы!$L$29,"КМС",IF(I296&lt;=Нормативы!$L$30,"I",IF(I296&lt;=Нормативы!$L$31,"II",IF(I296&lt;=Нормативы!$L$32,"III",IF(I296&lt;=Нормативы!$L$33,"I юн",IF(I296&lt;=Нормативы!$L$34,"II юн",IF(I296&lt;=Нормативы!$L$35,"III юн","б/р")))))))))))</f>
        <v>б/р</v>
      </c>
    </row>
    <row r="297" spans="1:10" x14ac:dyDescent="0.35">
      <c r="A297" s="14">
        <v>31</v>
      </c>
      <c r="B297" s="21" t="s">
        <v>23</v>
      </c>
      <c r="C297" s="28" t="s">
        <v>397</v>
      </c>
      <c r="E297" s="202">
        <v>42079</v>
      </c>
      <c r="F297" s="28" t="s">
        <v>193</v>
      </c>
      <c r="G297" s="33"/>
      <c r="H297" s="27"/>
      <c r="I297" s="201">
        <v>41.92</v>
      </c>
      <c r="J297" s="59" t="str">
        <f>IF(ISBLANK(I297)," ",IF(ISTEXT(I297)," ",IF(I297&lt;=Нормативы!$H$27,"КМС",IF(I297&lt;=Нормативы!$H$28,"КМС",IF(I297&lt;=Нормативы!$L$29,"КМС",IF(I297&lt;=Нормативы!$L$30,"I",IF(I297&lt;=Нормативы!$L$31,"II",IF(I297&lt;=Нормативы!$L$32,"III",IF(I297&lt;=Нормативы!$L$33,"I юн",IF(I297&lt;=Нормативы!$L$34,"II юн",IF(I297&lt;=Нормативы!$L$35,"III юн","б/р")))))))))))</f>
        <v>б/р</v>
      </c>
    </row>
    <row r="298" spans="1:10" x14ac:dyDescent="0.35">
      <c r="A298" s="14">
        <v>32</v>
      </c>
      <c r="B298" s="21" t="s">
        <v>23</v>
      </c>
      <c r="C298" s="28" t="s">
        <v>396</v>
      </c>
      <c r="E298" s="202">
        <v>42549</v>
      </c>
      <c r="F298" s="28" t="s">
        <v>193</v>
      </c>
      <c r="G298" s="33"/>
      <c r="H298" s="27"/>
      <c r="I298" s="201">
        <v>42.3</v>
      </c>
      <c r="J298" s="59" t="str">
        <f>IF(ISBLANK(I298)," ",IF(ISTEXT(I298)," ",IF(I298&lt;=Нормативы!$H$27,"КМС",IF(I298&lt;=Нормативы!$H$28,"КМС",IF(I298&lt;=Нормативы!$L$29,"КМС",IF(I298&lt;=Нормативы!$L$30,"I",IF(I298&lt;=Нормативы!$L$31,"II",IF(I298&lt;=Нормативы!$L$32,"III",IF(I298&lt;=Нормативы!$L$33,"I юн",IF(I298&lt;=Нормативы!$L$34,"II юн",IF(I298&lt;=Нормативы!$L$35,"III юн","б/р")))))))))))</f>
        <v>б/р</v>
      </c>
    </row>
    <row r="299" spans="1:10" x14ac:dyDescent="0.35">
      <c r="A299" s="14">
        <v>33</v>
      </c>
      <c r="B299" s="21" t="s">
        <v>26</v>
      </c>
      <c r="C299" s="28" t="s">
        <v>334</v>
      </c>
      <c r="E299" s="202">
        <v>42463</v>
      </c>
      <c r="F299" s="28" t="s">
        <v>198</v>
      </c>
      <c r="G299" s="33"/>
      <c r="H299" s="27"/>
      <c r="I299" s="201">
        <v>100.83</v>
      </c>
      <c r="J299" s="59" t="str">
        <f>IF(ISBLANK(I299)," ",IF(ISTEXT(I299)," ",IF(I299&lt;=Нормативы!$H$27,"КМС",IF(I299&lt;=Нормативы!$H$28,"КМС",IF(I299&lt;=Нормативы!$L$29,"КМС",IF(I299&lt;=Нормативы!$L$30,"I",IF(I299&lt;=Нормативы!$L$31,"II",IF(I299&lt;=Нормативы!$L$32,"III",IF(I299&lt;=Нормативы!$L$33,"I юн",IF(I299&lt;=Нормативы!$L$34,"II юн",IF(I299&lt;=Нормативы!$L$35,"III юн","б/р")))))))))))</f>
        <v>б/р</v>
      </c>
    </row>
    <row r="300" spans="1:10" x14ac:dyDescent="0.35">
      <c r="A300" s="14"/>
      <c r="B300" s="21" t="s">
        <v>26</v>
      </c>
      <c r="C300" s="28" t="s">
        <v>491</v>
      </c>
      <c r="E300" s="202">
        <v>42421</v>
      </c>
      <c r="F300" s="28" t="s">
        <v>198</v>
      </c>
      <c r="G300" s="33"/>
      <c r="H300" s="27"/>
      <c r="I300" s="201" t="s">
        <v>191</v>
      </c>
      <c r="J300" s="38"/>
    </row>
    <row r="301" spans="1:10" x14ac:dyDescent="0.35">
      <c r="A301" s="14"/>
      <c r="B301" s="14" t="s">
        <v>38</v>
      </c>
      <c r="C301" s="28" t="s">
        <v>460</v>
      </c>
      <c r="E301" s="205">
        <v>42155</v>
      </c>
      <c r="F301" s="28" t="s">
        <v>193</v>
      </c>
      <c r="G301" s="33"/>
      <c r="H301" s="27"/>
      <c r="I301" s="201" t="s">
        <v>191</v>
      </c>
      <c r="J301" s="38"/>
    </row>
    <row r="302" spans="1:10" hidden="1" x14ac:dyDescent="0.35">
      <c r="A302" s="14"/>
      <c r="B302" s="14"/>
      <c r="C302" s="28"/>
      <c r="E302" s="202"/>
      <c r="F302" s="28"/>
      <c r="G302" s="33"/>
      <c r="H302" s="27"/>
      <c r="I302" s="201"/>
      <c r="J302" s="38"/>
    </row>
    <row r="303" spans="1:10" x14ac:dyDescent="0.35">
      <c r="A303" s="221" t="s">
        <v>231</v>
      </c>
      <c r="B303" s="14"/>
      <c r="C303" s="28"/>
      <c r="E303" s="202"/>
      <c r="F303" s="28"/>
      <c r="G303" s="33"/>
      <c r="H303" s="27"/>
      <c r="I303" s="201"/>
      <c r="J303" s="38"/>
    </row>
    <row r="304" spans="1:10" x14ac:dyDescent="0.35">
      <c r="A304" s="14">
        <v>1</v>
      </c>
      <c r="B304" s="21" t="s">
        <v>23</v>
      </c>
      <c r="C304" s="28" t="s">
        <v>381</v>
      </c>
      <c r="E304" s="202">
        <v>42818</v>
      </c>
      <c r="F304" s="28" t="s">
        <v>193</v>
      </c>
      <c r="G304" s="33"/>
      <c r="H304" s="27"/>
      <c r="I304" s="201">
        <v>35.64</v>
      </c>
      <c r="J304" s="59" t="str">
        <f>IF(ISBLANK(I304)," ",IF(ISTEXT(I304)," ",IF(I304&lt;=Нормативы!$H$27,"КМС",IF(I304&lt;=Нормативы!$H$28,"КМС",IF(I304&lt;=Нормативы!$L$29,"КМС",IF(I304&lt;=Нормативы!$L$30,"I",IF(I304&lt;=Нормативы!$L$31,"II",IF(I304&lt;=Нормативы!$L$32,"III",IF(I304&lt;=Нормативы!$L$33,"I юн",IF(I304&lt;=Нормативы!$L$34,"II юн",IF(I304&lt;=Нормативы!$L$35,"III юн","б/р")))))))))))</f>
        <v>II юн</v>
      </c>
    </row>
    <row r="305" spans="1:10" x14ac:dyDescent="0.35">
      <c r="A305" s="14">
        <v>2</v>
      </c>
      <c r="B305" s="14" t="s">
        <v>22</v>
      </c>
      <c r="C305" s="28" t="s">
        <v>380</v>
      </c>
      <c r="E305" s="202">
        <v>42794</v>
      </c>
      <c r="F305" s="28" t="s">
        <v>193</v>
      </c>
      <c r="G305" s="33"/>
      <c r="H305" s="27"/>
      <c r="I305" s="201">
        <v>37.17</v>
      </c>
      <c r="J305" s="59" t="str">
        <f>IF(ISBLANK(I305)," ",IF(ISTEXT(I305)," ",IF(I305&lt;=Нормативы!$H$27,"КМС",IF(I305&lt;=Нормативы!$H$28,"КМС",IF(I305&lt;=Нормативы!$L$29,"КМС",IF(I305&lt;=Нормативы!$L$30,"I",IF(I305&lt;=Нормативы!$L$31,"II",IF(I305&lt;=Нормативы!$L$32,"III",IF(I305&lt;=Нормативы!$L$33,"I юн",IF(I305&lt;=Нормативы!$L$34,"II юн",IF(I305&lt;=Нормативы!$L$35,"III юн","б/р")))))))))))</f>
        <v>III юн</v>
      </c>
    </row>
    <row r="306" spans="1:10" x14ac:dyDescent="0.35">
      <c r="A306" s="14">
        <v>3</v>
      </c>
      <c r="B306" s="21" t="s">
        <v>23</v>
      </c>
      <c r="C306" s="28" t="s">
        <v>282</v>
      </c>
      <c r="E306" s="202">
        <v>42777</v>
      </c>
      <c r="F306" s="28" t="s">
        <v>198</v>
      </c>
      <c r="G306" s="33"/>
      <c r="H306" s="27"/>
      <c r="I306" s="201">
        <v>37.93</v>
      </c>
      <c r="J306" s="59" t="str">
        <f>IF(ISBLANK(I306)," ",IF(ISTEXT(I306)," ",IF(I306&lt;=Нормативы!$H$27,"КМС",IF(I306&lt;=Нормативы!$H$28,"КМС",IF(I306&lt;=Нормативы!$L$29,"КМС",IF(I306&lt;=Нормативы!$L$30,"I",IF(I306&lt;=Нормативы!$L$31,"II",IF(I306&lt;=Нормативы!$L$32,"III",IF(I306&lt;=Нормативы!$L$33,"I юн",IF(I306&lt;=Нормативы!$L$34,"II юн",IF(I306&lt;=Нормативы!$L$35,"III юн","б/р")))))))))))</f>
        <v>III юн</v>
      </c>
    </row>
    <row r="307" spans="1:10" x14ac:dyDescent="0.35">
      <c r="A307" s="14">
        <v>4</v>
      </c>
      <c r="B307" s="21" t="s">
        <v>26</v>
      </c>
      <c r="C307" s="28" t="s">
        <v>438</v>
      </c>
      <c r="E307" s="208">
        <v>43148</v>
      </c>
      <c r="F307" s="28" t="s">
        <v>172</v>
      </c>
      <c r="G307" s="33"/>
      <c r="H307" s="27"/>
      <c r="I307" s="201">
        <v>38.5</v>
      </c>
      <c r="J307" s="59" t="str">
        <f>IF(ISBLANK(I307)," ",IF(ISTEXT(I307)," ",IF(I307&lt;=Нормативы!$H$27,"КМС",IF(I307&lt;=Нормативы!$H$28,"КМС",IF(I307&lt;=Нормативы!$L$29,"КМС",IF(I307&lt;=Нормативы!$L$30,"I",IF(I307&lt;=Нормативы!$L$31,"II",IF(I307&lt;=Нормативы!$L$32,"III",IF(I307&lt;=Нормативы!$L$33,"I юн",IF(I307&lt;=Нормативы!$L$34,"II юн",IF(I307&lt;=Нормативы!$L$35,"III юн","б/р")))))))))))</f>
        <v>III юн</v>
      </c>
    </row>
    <row r="308" spans="1:10" x14ac:dyDescent="0.35">
      <c r="A308" s="14">
        <v>5</v>
      </c>
      <c r="B308" s="21" t="s">
        <v>26</v>
      </c>
      <c r="C308" s="28" t="s">
        <v>434</v>
      </c>
      <c r="E308" s="202">
        <v>42967</v>
      </c>
      <c r="F308" s="28" t="s">
        <v>172</v>
      </c>
      <c r="G308" s="33"/>
      <c r="H308" s="27"/>
      <c r="I308" s="201">
        <v>38.880000000000003</v>
      </c>
      <c r="J308" s="59" t="str">
        <f>IF(ISBLANK(I308)," ",IF(ISTEXT(I308)," ",IF(I308&lt;=Нормативы!$H$27,"КМС",IF(I308&lt;=Нормативы!$H$28,"КМС",IF(I308&lt;=Нормативы!$L$29,"КМС",IF(I308&lt;=Нормативы!$L$30,"I",IF(I308&lt;=Нормативы!$L$31,"II",IF(I308&lt;=Нормативы!$L$32,"III",IF(I308&lt;=Нормативы!$L$33,"I юн",IF(I308&lt;=Нормативы!$L$34,"II юн",IF(I308&lt;=Нормативы!$L$35,"III юн","б/р")))))))))))</f>
        <v>III юн</v>
      </c>
    </row>
    <row r="309" spans="1:10" x14ac:dyDescent="0.35">
      <c r="A309" s="14">
        <v>6</v>
      </c>
      <c r="B309" s="21" t="s">
        <v>26</v>
      </c>
      <c r="C309" s="28" t="s">
        <v>435</v>
      </c>
      <c r="E309" s="208">
        <v>43375</v>
      </c>
      <c r="F309" s="28" t="s">
        <v>172</v>
      </c>
      <c r="G309" s="33"/>
      <c r="H309" s="27"/>
      <c r="I309" s="201">
        <v>39.119999999999997</v>
      </c>
      <c r="J309" s="59" t="str">
        <f>IF(ISBLANK(I309)," ",IF(ISTEXT(I309)," ",IF(I309&lt;=Нормативы!$H$27,"КМС",IF(I309&lt;=Нормативы!$H$28,"КМС",IF(I309&lt;=Нормативы!$L$29,"КМС",IF(I309&lt;=Нормативы!$L$30,"I",IF(I309&lt;=Нормативы!$L$31,"II",IF(I309&lt;=Нормативы!$L$32,"III",IF(I309&lt;=Нормативы!$L$33,"I юн",IF(I309&lt;=Нормативы!$L$34,"II юн",IF(I309&lt;=Нормативы!$L$35,"III юн","б/р")))))))))))</f>
        <v>б/р</v>
      </c>
    </row>
    <row r="310" spans="1:10" x14ac:dyDescent="0.35">
      <c r="A310" s="14">
        <v>7</v>
      </c>
      <c r="B310" s="21" t="s">
        <v>26</v>
      </c>
      <c r="C310" s="28" t="s">
        <v>439</v>
      </c>
      <c r="E310" s="208">
        <v>43273</v>
      </c>
      <c r="F310" s="28" t="s">
        <v>172</v>
      </c>
      <c r="G310" s="33"/>
      <c r="H310" s="27"/>
      <c r="I310" s="201">
        <v>40.1</v>
      </c>
      <c r="J310" s="59" t="str">
        <f>IF(ISBLANK(I310)," ",IF(ISTEXT(I310)," ",IF(I310&lt;=Нормативы!$H$27,"КМС",IF(I310&lt;=Нормативы!$H$28,"КМС",IF(I310&lt;=Нормативы!$L$29,"КМС",IF(I310&lt;=Нормативы!$L$30,"I",IF(I310&lt;=Нормативы!$L$31,"II",IF(I310&lt;=Нормативы!$L$32,"III",IF(I310&lt;=Нормативы!$L$33,"I юн",IF(I310&lt;=Нормативы!$L$34,"II юн",IF(I310&lt;=Нормативы!$L$35,"III юн","б/р")))))))))))</f>
        <v>б/р</v>
      </c>
    </row>
    <row r="311" spans="1:10" x14ac:dyDescent="0.35">
      <c r="A311" s="14">
        <v>8</v>
      </c>
      <c r="B311" s="21" t="s">
        <v>26</v>
      </c>
      <c r="C311" s="28" t="s">
        <v>437</v>
      </c>
      <c r="E311" s="208">
        <v>43355</v>
      </c>
      <c r="F311" s="28" t="s">
        <v>172</v>
      </c>
      <c r="G311" s="33"/>
      <c r="H311" s="27"/>
      <c r="I311" s="201">
        <v>40.33</v>
      </c>
      <c r="J311" s="59" t="str">
        <f>IF(ISBLANK(I311)," ",IF(ISTEXT(I311)," ",IF(I311&lt;=Нормативы!$H$27,"КМС",IF(I311&lt;=Нормативы!$H$28,"КМС",IF(I311&lt;=Нормативы!$L$29,"КМС",IF(I311&lt;=Нормативы!$L$30,"I",IF(I311&lt;=Нормативы!$L$31,"II",IF(I311&lt;=Нормативы!$L$32,"III",IF(I311&lt;=Нормативы!$L$33,"I юн",IF(I311&lt;=Нормативы!$L$34,"II юн",IF(I311&lt;=Нормативы!$L$35,"III юн","б/р")))))))))))</f>
        <v>б/р</v>
      </c>
    </row>
    <row r="312" spans="1:10" x14ac:dyDescent="0.35">
      <c r="A312" s="14">
        <v>9</v>
      </c>
      <c r="B312" s="21" t="s">
        <v>26</v>
      </c>
      <c r="C312" s="28" t="s">
        <v>338</v>
      </c>
      <c r="E312" s="202">
        <v>43040</v>
      </c>
      <c r="F312" s="28" t="s">
        <v>198</v>
      </c>
      <c r="G312" s="33"/>
      <c r="H312" s="27"/>
      <c r="I312" s="201">
        <v>40.369999999999997</v>
      </c>
      <c r="J312" s="59" t="str">
        <f>IF(ISBLANK(I312)," ",IF(ISTEXT(I312)," ",IF(I312&lt;=Нормативы!$H$27,"КМС",IF(I312&lt;=Нормативы!$H$28,"КМС",IF(I312&lt;=Нормативы!$L$29,"КМС",IF(I312&lt;=Нормативы!$L$30,"I",IF(I312&lt;=Нормативы!$L$31,"II",IF(I312&lt;=Нормативы!$L$32,"III",IF(I312&lt;=Нормативы!$L$33,"I юн",IF(I312&lt;=Нормативы!$L$34,"II юн",IF(I312&lt;=Нормативы!$L$35,"III юн","б/р")))))))))))</f>
        <v>б/р</v>
      </c>
    </row>
    <row r="313" spans="1:10" x14ac:dyDescent="0.35">
      <c r="A313" s="14">
        <v>10</v>
      </c>
      <c r="B313" s="21" t="s">
        <v>26</v>
      </c>
      <c r="C313" s="28" t="s">
        <v>436</v>
      </c>
      <c r="E313" s="208">
        <v>43299</v>
      </c>
      <c r="F313" s="28" t="s">
        <v>172</v>
      </c>
      <c r="G313" s="33"/>
      <c r="H313" s="27"/>
      <c r="I313" s="201">
        <v>48.29</v>
      </c>
      <c r="J313" s="59" t="str">
        <f>IF(ISBLANK(I313)," ",IF(ISTEXT(I313)," ",IF(I313&lt;=Нормативы!$H$27,"КМС",IF(I313&lt;=Нормативы!$H$28,"КМС",IF(I313&lt;=Нормативы!$L$29,"КМС",IF(I313&lt;=Нормативы!$L$30,"I",IF(I313&lt;=Нормативы!$L$31,"II",IF(I313&lt;=Нормативы!$L$32,"III",IF(I313&lt;=Нормативы!$L$33,"I юн",IF(I313&lt;=Нормативы!$L$34,"II юн",IF(I313&lt;=Нормативы!$L$35,"III юн","б/р")))))))))))</f>
        <v>б/р</v>
      </c>
    </row>
    <row r="314" spans="1:10" x14ac:dyDescent="0.35">
      <c r="A314" s="14">
        <v>11</v>
      </c>
      <c r="B314" s="21" t="s">
        <v>26</v>
      </c>
      <c r="C314" s="28" t="s">
        <v>507</v>
      </c>
      <c r="E314" s="208">
        <v>43040</v>
      </c>
      <c r="F314" s="28" t="s">
        <v>198</v>
      </c>
      <c r="G314" s="33"/>
      <c r="H314" s="27"/>
      <c r="I314" s="201">
        <v>49.41</v>
      </c>
      <c r="J314" s="59" t="str">
        <f>IF(ISBLANK(I314)," ",IF(ISTEXT(I314)," ",IF(I314&lt;=Нормативы!$H$27,"КМС",IF(I314&lt;=Нормативы!$H$28,"КМС",IF(I314&lt;=Нормативы!$L$29,"КМС",IF(I314&lt;=Нормативы!$L$30,"I",IF(I314&lt;=Нормативы!$L$31,"II",IF(I314&lt;=Нормативы!$L$32,"III",IF(I314&lt;=Нормативы!$L$33,"I юн",IF(I314&lt;=Нормативы!$L$34,"II юн",IF(I314&lt;=Нормативы!$L$35,"III юн","б/р")))))))))))</f>
        <v>б/р</v>
      </c>
    </row>
    <row r="315" spans="1:10" x14ac:dyDescent="0.35">
      <c r="A315" s="14"/>
      <c r="B315" s="114"/>
      <c r="C315" s="222"/>
      <c r="E315" s="114"/>
      <c r="F315" s="114"/>
      <c r="G315" s="33"/>
      <c r="H315" s="114"/>
      <c r="I315" s="114"/>
      <c r="J315" s="38"/>
    </row>
    <row r="316" spans="1:10" s="54" customFormat="1" x14ac:dyDescent="0.35">
      <c r="A316" s="221" t="s">
        <v>220</v>
      </c>
      <c r="B316" s="14"/>
      <c r="C316" s="214"/>
      <c r="E316" s="226"/>
      <c r="F316" s="214"/>
      <c r="G316" s="216"/>
      <c r="H316" s="14"/>
      <c r="I316" s="217"/>
      <c r="J316" s="117"/>
    </row>
    <row r="317" spans="1:10" s="54" customFormat="1" x14ac:dyDescent="0.35">
      <c r="A317" s="14">
        <v>1</v>
      </c>
      <c r="B317" s="14" t="s">
        <v>38</v>
      </c>
      <c r="C317" s="214" t="s">
        <v>441</v>
      </c>
      <c r="E317" s="227">
        <v>42109</v>
      </c>
      <c r="F317" s="214" t="s">
        <v>172</v>
      </c>
      <c r="G317" s="216"/>
      <c r="H317" s="14"/>
      <c r="I317" s="217">
        <v>27.47</v>
      </c>
      <c r="J317" s="59" t="str">
        <f>IF(ISBLANK(I317)," ",IF(ISTEXT(I317)," ",IF(I317&lt;=Нормативы!$H$38,"КМС",IF(I317&lt;=Нормативы!$H$39,"КМС",IF(I317&lt;=Нормативы!$L$40,"КМС",IF(I317&lt;=Нормативы!$L$41,"I",IF(I317&lt;=Нормативы!$L$42,"II",IF(I317&lt;=Нормативы!$L$43,"III",IF(I317&lt;=Нормативы!$L$44,"I юн",IF(I317&lt;=Нормативы!$L$45,"II юн",IF(I317&lt;=Нормативы!$L$46,"III юн","б/р")))))))))))</f>
        <v>I юн</v>
      </c>
    </row>
    <row r="318" spans="1:10" s="54" customFormat="1" x14ac:dyDescent="0.35">
      <c r="A318" s="14">
        <v>2</v>
      </c>
      <c r="B318" s="14" t="s">
        <v>38</v>
      </c>
      <c r="C318" s="214" t="s">
        <v>440</v>
      </c>
      <c r="E318" s="215">
        <v>42103</v>
      </c>
      <c r="F318" s="214" t="s">
        <v>172</v>
      </c>
      <c r="G318" s="216"/>
      <c r="H318" s="14"/>
      <c r="I318" s="217">
        <v>27.49</v>
      </c>
      <c r="J318" s="59" t="str">
        <f>IF(ISBLANK(I318)," ",IF(ISTEXT(I318)," ",IF(I318&lt;=Нормативы!$H$38,"КМС",IF(I318&lt;=Нормативы!$H$39,"КМС",IF(I318&lt;=Нормативы!$L$40,"КМС",IF(I318&lt;=Нормативы!$L$41,"I",IF(I318&lt;=Нормативы!$L$42,"II",IF(I318&lt;=Нормативы!$L$43,"III",IF(I318&lt;=Нормативы!$L$44,"I юн",IF(I318&lt;=Нормативы!$L$45,"II юн",IF(I318&lt;=Нормативы!$L$46,"III юн","б/р")))))))))))</f>
        <v>I юн</v>
      </c>
    </row>
    <row r="319" spans="1:10" s="54" customFormat="1" x14ac:dyDescent="0.35">
      <c r="A319" s="14">
        <v>3</v>
      </c>
      <c r="B319" s="14" t="s">
        <v>38</v>
      </c>
      <c r="C319" s="214" t="s">
        <v>457</v>
      </c>
      <c r="E319" s="227">
        <v>42356</v>
      </c>
      <c r="F319" s="214" t="s">
        <v>172</v>
      </c>
      <c r="G319" s="216"/>
      <c r="H319" s="14"/>
      <c r="I319" s="217">
        <v>27.88</v>
      </c>
      <c r="J319" s="59" t="str">
        <f>IF(ISBLANK(I319)," ",IF(ISTEXT(I319)," ",IF(I319&lt;=Нормативы!$H$38,"КМС",IF(I319&lt;=Нормативы!$H$39,"КМС",IF(I319&lt;=Нормативы!$L$40,"КМС",IF(I319&lt;=Нормативы!$L$41,"I",IF(I319&lt;=Нормативы!$L$42,"II",IF(I319&lt;=Нормативы!$L$43,"III",IF(I319&lt;=Нормативы!$L$44,"I юн",IF(I319&lt;=Нормативы!$L$45,"II юн",IF(I319&lt;=Нормативы!$L$46,"III юн","б/р")))))))))))</f>
        <v>I юн</v>
      </c>
    </row>
    <row r="320" spans="1:10" s="54" customFormat="1" x14ac:dyDescent="0.35">
      <c r="A320" s="14">
        <v>4</v>
      </c>
      <c r="B320" s="14" t="s">
        <v>38</v>
      </c>
      <c r="C320" s="214" t="s">
        <v>386</v>
      </c>
      <c r="E320" s="215">
        <v>42060</v>
      </c>
      <c r="F320" s="214" t="s">
        <v>245</v>
      </c>
      <c r="G320" s="216"/>
      <c r="H320" s="14"/>
      <c r="I320" s="217">
        <v>28.96</v>
      </c>
      <c r="J320" s="59" t="str">
        <f>IF(ISBLANK(I320)," ",IF(ISTEXT(I320)," ",IF(I320&lt;=Нормативы!$H$38,"КМС",IF(I320&lt;=Нормативы!$H$39,"КМС",IF(I320&lt;=Нормативы!$L$40,"КМС",IF(I320&lt;=Нормативы!$L$41,"I",IF(I320&lt;=Нормативы!$L$42,"II",IF(I320&lt;=Нормативы!$L$43,"III",IF(I320&lt;=Нормативы!$L$44,"I юн",IF(I320&lt;=Нормативы!$L$45,"II юн",IF(I320&lt;=Нормативы!$L$46,"III юн","б/р")))))))))))</f>
        <v>I юн</v>
      </c>
    </row>
    <row r="321" spans="1:10" s="54" customFormat="1" x14ac:dyDescent="0.35">
      <c r="A321" s="14">
        <v>5</v>
      </c>
      <c r="B321" s="14" t="s">
        <v>22</v>
      </c>
      <c r="C321" s="214" t="s">
        <v>448</v>
      </c>
      <c r="E321" s="215">
        <v>42610</v>
      </c>
      <c r="F321" s="214" t="s">
        <v>172</v>
      </c>
      <c r="G321" s="216"/>
      <c r="H321" s="14"/>
      <c r="I321" s="217">
        <v>29.54</v>
      </c>
      <c r="J321" s="59" t="str">
        <f>IF(ISBLANK(I321)," ",IF(ISTEXT(I321)," ",IF(I321&lt;=Нормативы!$H$38,"КМС",IF(I321&lt;=Нормативы!$H$39,"КМС",IF(I321&lt;=Нормативы!$L$40,"КМС",IF(I321&lt;=Нормативы!$L$41,"I",IF(I321&lt;=Нормативы!$L$42,"II",IF(I321&lt;=Нормативы!$L$43,"III",IF(I321&lt;=Нормативы!$L$44,"I юн",IF(I321&lt;=Нормативы!$L$45,"II юн",IF(I321&lt;=Нормативы!$L$46,"III юн","б/р")))))))))))</f>
        <v>II юн</v>
      </c>
    </row>
    <row r="322" spans="1:10" s="54" customFormat="1" x14ac:dyDescent="0.35">
      <c r="A322" s="14">
        <v>6</v>
      </c>
      <c r="B322" s="14" t="s">
        <v>38</v>
      </c>
      <c r="C322" s="214" t="s">
        <v>442</v>
      </c>
      <c r="E322" s="215">
        <v>42222</v>
      </c>
      <c r="F322" s="214" t="s">
        <v>172</v>
      </c>
      <c r="G322" s="216"/>
      <c r="H322" s="14"/>
      <c r="I322" s="217">
        <v>29.66</v>
      </c>
      <c r="J322" s="59" t="str">
        <f>IF(ISBLANK(I322)," ",IF(ISTEXT(I322)," ",IF(I322&lt;=Нормативы!$H$38,"КМС",IF(I322&lt;=Нормативы!$H$39,"КМС",IF(I322&lt;=Нормативы!$L$40,"КМС",IF(I322&lt;=Нормативы!$L$41,"I",IF(I322&lt;=Нормативы!$L$42,"II",IF(I322&lt;=Нормативы!$L$43,"III",IF(I322&lt;=Нормативы!$L$44,"I юн",IF(I322&lt;=Нормативы!$L$45,"II юн",IF(I322&lt;=Нормативы!$L$46,"III юн","б/р")))))))))))</f>
        <v>II юн</v>
      </c>
    </row>
    <row r="323" spans="1:10" s="54" customFormat="1" x14ac:dyDescent="0.35">
      <c r="A323" s="14">
        <v>7</v>
      </c>
      <c r="B323" s="14" t="s">
        <v>22</v>
      </c>
      <c r="C323" s="214" t="s">
        <v>391</v>
      </c>
      <c r="E323" s="215">
        <v>42075</v>
      </c>
      <c r="F323" s="214" t="s">
        <v>245</v>
      </c>
      <c r="G323" s="216"/>
      <c r="H323" s="14"/>
      <c r="I323" s="217">
        <v>30.42</v>
      </c>
      <c r="J323" s="59" t="str">
        <f>IF(ISBLANK(I323)," ",IF(ISTEXT(I323)," ",IF(I323&lt;=Нормативы!$H$38,"КМС",IF(I323&lt;=Нормативы!$H$39,"КМС",IF(I323&lt;=Нормативы!$L$40,"КМС",IF(I323&lt;=Нормативы!$L$41,"I",IF(I323&lt;=Нормативы!$L$42,"II",IF(I323&lt;=Нормативы!$L$43,"III",IF(I323&lt;=Нормативы!$L$44,"I юн",IF(I323&lt;=Нормативы!$L$45,"II юн",IF(I323&lt;=Нормативы!$L$46,"III юн","б/р")))))))))))</f>
        <v>II юн</v>
      </c>
    </row>
    <row r="324" spans="1:10" s="54" customFormat="1" x14ac:dyDescent="0.35">
      <c r="A324" s="14">
        <v>8</v>
      </c>
      <c r="B324" s="14" t="s">
        <v>22</v>
      </c>
      <c r="C324" s="214" t="s">
        <v>445</v>
      </c>
      <c r="E324" s="227">
        <v>42502</v>
      </c>
      <c r="F324" s="214" t="s">
        <v>172</v>
      </c>
      <c r="G324" s="216"/>
      <c r="H324" s="14"/>
      <c r="I324" s="217">
        <v>30.9</v>
      </c>
      <c r="J324" s="59" t="str">
        <f>IF(ISBLANK(I324)," ",IF(ISTEXT(I324)," ",IF(I324&lt;=Нормативы!$H$38,"КМС",IF(I324&lt;=Нормативы!$H$39,"КМС",IF(I324&lt;=Нормативы!$L$40,"КМС",IF(I324&lt;=Нормативы!$L$41,"I",IF(I324&lt;=Нормативы!$L$42,"II",IF(I324&lt;=Нормативы!$L$43,"III",IF(I324&lt;=Нормативы!$L$44,"I юн",IF(I324&lt;=Нормативы!$L$45,"II юн",IF(I324&lt;=Нормативы!$L$46,"III юн","б/р")))))))))))</f>
        <v>II юн</v>
      </c>
    </row>
    <row r="325" spans="1:10" s="54" customFormat="1" x14ac:dyDescent="0.35">
      <c r="A325" s="14">
        <v>9</v>
      </c>
      <c r="B325" s="218" t="s">
        <v>26</v>
      </c>
      <c r="C325" s="214" t="s">
        <v>343</v>
      </c>
      <c r="E325" s="215">
        <v>42072</v>
      </c>
      <c r="F325" s="214" t="s">
        <v>198</v>
      </c>
      <c r="G325" s="216"/>
      <c r="H325" s="14"/>
      <c r="I325" s="217">
        <v>31.36</v>
      </c>
      <c r="J325" s="59" t="str">
        <f>IF(ISBLANK(I325)," ",IF(ISTEXT(I325)," ",IF(I325&lt;=Нормативы!$H$38,"КМС",IF(I325&lt;=Нормативы!$H$39,"КМС",IF(I325&lt;=Нормативы!$L$40,"КМС",IF(I325&lt;=Нормативы!$L$41,"I",IF(I325&lt;=Нормативы!$L$42,"II",IF(I325&lt;=Нормативы!$L$43,"III",IF(I325&lt;=Нормативы!$L$44,"I юн",IF(I325&lt;=Нормативы!$L$45,"II юн",IF(I325&lt;=Нормативы!$L$46,"III юн","б/р")))))))))))</f>
        <v>II юн</v>
      </c>
    </row>
    <row r="326" spans="1:10" s="54" customFormat="1" x14ac:dyDescent="0.35">
      <c r="A326" s="14">
        <v>10</v>
      </c>
      <c r="B326" s="14" t="s">
        <v>22</v>
      </c>
      <c r="C326" s="214" t="s">
        <v>446</v>
      </c>
      <c r="E326" s="215">
        <v>42508</v>
      </c>
      <c r="F326" s="214" t="s">
        <v>172</v>
      </c>
      <c r="G326" s="216"/>
      <c r="H326" s="14"/>
      <c r="I326" s="217">
        <v>31.37</v>
      </c>
      <c r="J326" s="59" t="str">
        <f>IF(ISBLANK(I326)," ",IF(ISTEXT(I326)," ",IF(I326&lt;=Нормативы!$H$38,"КМС",IF(I326&lt;=Нормативы!$H$39,"КМС",IF(I326&lt;=Нормативы!$L$40,"КМС",IF(I326&lt;=Нормативы!$L$41,"I",IF(I326&lt;=Нормативы!$L$42,"II",IF(I326&lt;=Нормативы!$L$43,"III",IF(I326&lt;=Нормативы!$L$44,"I юн",IF(I326&lt;=Нормативы!$L$45,"II юн",IF(I326&lt;=Нормативы!$L$46,"III юн","б/р")))))))))))</f>
        <v>II юн</v>
      </c>
    </row>
    <row r="327" spans="1:10" s="54" customFormat="1" x14ac:dyDescent="0.35">
      <c r="A327" s="14">
        <v>11</v>
      </c>
      <c r="B327" s="218" t="s">
        <v>23</v>
      </c>
      <c r="C327" s="214" t="s">
        <v>459</v>
      </c>
      <c r="E327" s="208">
        <v>42601</v>
      </c>
      <c r="F327" s="214" t="s">
        <v>172</v>
      </c>
      <c r="G327" s="216"/>
      <c r="H327" s="14"/>
      <c r="I327" s="217">
        <v>31.5</v>
      </c>
      <c r="J327" s="59" t="str">
        <f>IF(ISBLANK(I327)," ",IF(ISTEXT(I327)," ",IF(I327&lt;=Нормативы!$H$38,"КМС",IF(I327&lt;=Нормативы!$H$39,"КМС",IF(I327&lt;=Нормативы!$L$40,"КМС",IF(I327&lt;=Нормативы!$L$41,"I",IF(I327&lt;=Нормативы!$L$42,"II",IF(I327&lt;=Нормативы!$L$43,"III",IF(I327&lt;=Нормативы!$L$44,"I юн",IF(I327&lt;=Нормативы!$L$45,"II юн",IF(I327&lt;=Нормативы!$L$46,"III юн","б/р")))))))))))</f>
        <v>II юн</v>
      </c>
    </row>
    <row r="328" spans="1:10" s="54" customFormat="1" x14ac:dyDescent="0.35">
      <c r="A328" s="14">
        <v>12</v>
      </c>
      <c r="B328" s="218" t="s">
        <v>23</v>
      </c>
      <c r="C328" s="214" t="s">
        <v>310</v>
      </c>
      <c r="E328" s="215">
        <v>42169</v>
      </c>
      <c r="F328" s="214" t="s">
        <v>172</v>
      </c>
      <c r="G328" s="216"/>
      <c r="H328" s="14"/>
      <c r="I328" s="217">
        <v>31.74</v>
      </c>
      <c r="J328" s="59" t="str">
        <f>IF(ISBLANK(I328)," ",IF(ISTEXT(I328)," ",IF(I328&lt;=Нормативы!$H$38,"КМС",IF(I328&lt;=Нормативы!$H$39,"КМС",IF(I328&lt;=Нормативы!$L$40,"КМС",IF(I328&lt;=Нормативы!$L$41,"I",IF(I328&lt;=Нормативы!$L$42,"II",IF(I328&lt;=Нормативы!$L$43,"III",IF(I328&lt;=Нормативы!$L$44,"I юн",IF(I328&lt;=Нормативы!$L$45,"II юн",IF(I328&lt;=Нормативы!$L$46,"III юн","б/р")))))))))))</f>
        <v>II юн</v>
      </c>
    </row>
    <row r="329" spans="1:10" s="54" customFormat="1" x14ac:dyDescent="0.35">
      <c r="A329" s="14">
        <v>13</v>
      </c>
      <c r="B329" s="218" t="s">
        <v>23</v>
      </c>
      <c r="C329" s="214" t="s">
        <v>494</v>
      </c>
      <c r="E329" s="215">
        <v>42290</v>
      </c>
      <c r="F329" s="214" t="s">
        <v>172</v>
      </c>
      <c r="G329" s="216"/>
      <c r="H329" s="14"/>
      <c r="I329" s="217">
        <v>31.86</v>
      </c>
      <c r="J329" s="59" t="str">
        <f>IF(ISBLANK(I329)," ",IF(ISTEXT(I329)," ",IF(I329&lt;=Нормативы!$H$38,"КМС",IF(I329&lt;=Нормативы!$H$39,"КМС",IF(I329&lt;=Нормативы!$L$40,"КМС",IF(I329&lt;=Нормативы!$L$41,"I",IF(I329&lt;=Нормативы!$L$42,"II",IF(I329&lt;=Нормативы!$L$43,"III",IF(I329&lt;=Нормативы!$L$44,"I юн",IF(I329&lt;=Нормативы!$L$45,"II юн",IF(I329&lt;=Нормативы!$L$46,"III юн","б/р")))))))))))</f>
        <v>II юн</v>
      </c>
    </row>
    <row r="330" spans="1:10" s="54" customFormat="1" x14ac:dyDescent="0.35">
      <c r="A330" s="14">
        <v>14</v>
      </c>
      <c r="B330" s="218" t="s">
        <v>26</v>
      </c>
      <c r="C330" s="214" t="s">
        <v>360</v>
      </c>
      <c r="E330" s="215">
        <v>42457</v>
      </c>
      <c r="F330" s="214" t="s">
        <v>198</v>
      </c>
      <c r="G330" s="216"/>
      <c r="H330" s="14"/>
      <c r="I330" s="217">
        <v>32.44</v>
      </c>
      <c r="J330" s="59" t="str">
        <f>IF(ISBLANK(I330)," ",IF(ISTEXT(I330)," ",IF(I330&lt;=Нормативы!$H$38,"КМС",IF(I330&lt;=Нормативы!$H$39,"КМС",IF(I330&lt;=Нормативы!$L$40,"КМС",IF(I330&lt;=Нормативы!$L$41,"I",IF(I330&lt;=Нормативы!$L$42,"II",IF(I330&lt;=Нормативы!$L$43,"III",IF(I330&lt;=Нормативы!$L$44,"I юн",IF(I330&lt;=Нормативы!$L$45,"II юн",IF(I330&lt;=Нормативы!$L$46,"III юн","б/р")))))))))))</f>
        <v>III юн</v>
      </c>
    </row>
    <row r="331" spans="1:10" s="54" customFormat="1" x14ac:dyDescent="0.35">
      <c r="A331" s="14">
        <v>15</v>
      </c>
      <c r="B331" s="14" t="s">
        <v>22</v>
      </c>
      <c r="C331" s="214" t="s">
        <v>393</v>
      </c>
      <c r="E331" s="215">
        <v>42068</v>
      </c>
      <c r="F331" s="214" t="s">
        <v>245</v>
      </c>
      <c r="G331" s="216"/>
      <c r="H331" s="14"/>
      <c r="I331" s="217">
        <v>32.549999999999997</v>
      </c>
      <c r="J331" s="59" t="str">
        <f>IF(ISBLANK(I331)," ",IF(ISTEXT(I331)," ",IF(I331&lt;=Нормативы!$H$38,"КМС",IF(I331&lt;=Нормативы!$H$39,"КМС",IF(I331&lt;=Нормативы!$L$40,"КМС",IF(I331&lt;=Нормативы!$L$41,"I",IF(I331&lt;=Нормативы!$L$42,"II",IF(I331&lt;=Нормативы!$L$43,"III",IF(I331&lt;=Нормативы!$L$44,"I юн",IF(I331&lt;=Нормативы!$L$45,"II юн",IF(I331&lt;=Нормативы!$L$46,"III юн","б/р")))))))))))</f>
        <v>III юн</v>
      </c>
    </row>
    <row r="332" spans="1:10" s="54" customFormat="1" x14ac:dyDescent="0.35">
      <c r="A332" s="14">
        <v>16</v>
      </c>
      <c r="B332" s="218" t="s">
        <v>23</v>
      </c>
      <c r="C332" s="214" t="s">
        <v>444</v>
      </c>
      <c r="E332" s="215">
        <v>42353</v>
      </c>
      <c r="F332" s="214" t="s">
        <v>172</v>
      </c>
      <c r="G332" s="216"/>
      <c r="H332" s="14"/>
      <c r="I332" s="217">
        <v>32.82</v>
      </c>
      <c r="J332" s="59" t="str">
        <f>IF(ISBLANK(I332)," ",IF(ISTEXT(I332)," ",IF(I332&lt;=Нормативы!$H$38,"КМС",IF(I332&lt;=Нормативы!$H$39,"КМС",IF(I332&lt;=Нормативы!$L$40,"КМС",IF(I332&lt;=Нормативы!$L$41,"I",IF(I332&lt;=Нормативы!$L$42,"II",IF(I332&lt;=Нормативы!$L$43,"III",IF(I332&lt;=Нормативы!$L$44,"I юн",IF(I332&lt;=Нормативы!$L$45,"II юн",IF(I332&lt;=Нормативы!$L$46,"III юн","б/р")))))))))))</f>
        <v>III юн</v>
      </c>
    </row>
    <row r="333" spans="1:10" s="54" customFormat="1" x14ac:dyDescent="0.35">
      <c r="A333" s="14">
        <v>17</v>
      </c>
      <c r="B333" s="218" t="s">
        <v>23</v>
      </c>
      <c r="C333" s="214" t="s">
        <v>378</v>
      </c>
      <c r="E333" s="215">
        <v>42044</v>
      </c>
      <c r="F333" s="214" t="s">
        <v>176</v>
      </c>
      <c r="G333" s="216"/>
      <c r="H333" s="14"/>
      <c r="I333" s="217">
        <v>33.11</v>
      </c>
      <c r="J333" s="59" t="str">
        <f>IF(ISBLANK(I333)," ",IF(ISTEXT(I333)," ",IF(I333&lt;=Нормативы!$H$38,"КМС",IF(I333&lt;=Нормативы!$H$39,"КМС",IF(I333&lt;=Нормативы!$L$40,"КМС",IF(I333&lt;=Нормативы!$L$41,"I",IF(I333&lt;=Нормативы!$L$42,"II",IF(I333&lt;=Нормативы!$L$43,"III",IF(I333&lt;=Нормативы!$L$44,"I юн",IF(I333&lt;=Нормативы!$L$45,"II юн",IF(I333&lt;=Нормативы!$L$46,"III юн","б/р")))))))))))</f>
        <v>III юн</v>
      </c>
    </row>
    <row r="334" spans="1:10" s="54" customFormat="1" x14ac:dyDescent="0.35">
      <c r="A334" s="14">
        <v>18</v>
      </c>
      <c r="B334" s="218" t="s">
        <v>23</v>
      </c>
      <c r="C334" s="214" t="s">
        <v>443</v>
      </c>
      <c r="E334" s="208">
        <v>42295</v>
      </c>
      <c r="F334" s="214" t="s">
        <v>172</v>
      </c>
      <c r="G334" s="216"/>
      <c r="H334" s="14"/>
      <c r="I334" s="217">
        <v>33.54</v>
      </c>
      <c r="J334" s="59" t="str">
        <f>IF(ISBLANK(I334)," ",IF(ISTEXT(I334)," ",IF(I334&lt;=Нормативы!$H$38,"КМС",IF(I334&lt;=Нормативы!$H$39,"КМС",IF(I334&lt;=Нормативы!$L$40,"КМС",IF(I334&lt;=Нормативы!$L$41,"I",IF(I334&lt;=Нормативы!$L$42,"II",IF(I334&lt;=Нормативы!$L$43,"III",IF(I334&lt;=Нормативы!$L$44,"I юн",IF(I334&lt;=Нормативы!$L$45,"II юн",IF(I334&lt;=Нормативы!$L$46,"III юн","б/р")))))))))))</f>
        <v>III юн</v>
      </c>
    </row>
    <row r="335" spans="1:10" s="54" customFormat="1" x14ac:dyDescent="0.35">
      <c r="A335" s="14">
        <v>19</v>
      </c>
      <c r="B335" s="218" t="s">
        <v>26</v>
      </c>
      <c r="C335" s="214" t="s">
        <v>345</v>
      </c>
      <c r="E335" s="215">
        <v>42413</v>
      </c>
      <c r="F335" s="214" t="s">
        <v>198</v>
      </c>
      <c r="G335" s="216"/>
      <c r="H335" s="14"/>
      <c r="I335" s="217">
        <v>33.71</v>
      </c>
      <c r="J335" s="59" t="str">
        <f>IF(ISBLANK(I335)," ",IF(ISTEXT(I335)," ",IF(I335&lt;=Нормативы!$H$38,"КМС",IF(I335&lt;=Нормативы!$H$39,"КМС",IF(I335&lt;=Нормативы!$L$40,"КМС",IF(I335&lt;=Нормативы!$L$41,"I",IF(I335&lt;=Нормативы!$L$42,"II",IF(I335&lt;=Нормативы!$L$43,"III",IF(I335&lt;=Нормативы!$L$44,"I юн",IF(I335&lt;=Нормативы!$L$45,"II юн",IF(I335&lt;=Нормативы!$L$46,"III юн","б/р")))))))))))</f>
        <v>III юн</v>
      </c>
    </row>
    <row r="336" spans="1:10" s="54" customFormat="1" x14ac:dyDescent="0.35">
      <c r="A336" s="14">
        <v>20</v>
      </c>
      <c r="B336" s="218" t="s">
        <v>26</v>
      </c>
      <c r="C336" s="214" t="s">
        <v>342</v>
      </c>
      <c r="E336" s="215">
        <v>42609</v>
      </c>
      <c r="F336" s="214" t="s">
        <v>198</v>
      </c>
      <c r="G336" s="216"/>
      <c r="H336" s="14"/>
      <c r="I336" s="217">
        <v>33.770000000000003</v>
      </c>
      <c r="J336" s="59" t="str">
        <f>IF(ISBLANK(I336)," ",IF(ISTEXT(I336)," ",IF(I336&lt;=Нормативы!$H$38,"КМС",IF(I336&lt;=Нормативы!$H$39,"КМС",IF(I336&lt;=Нормативы!$L$40,"КМС",IF(I336&lt;=Нормативы!$L$41,"I",IF(I336&lt;=Нормативы!$L$42,"II",IF(I336&lt;=Нормативы!$L$43,"III",IF(I336&lt;=Нормативы!$L$44,"I юн",IF(I336&lt;=Нормативы!$L$45,"II юн",IF(I336&lt;=Нормативы!$L$46,"III юн","б/р")))))))))))</f>
        <v>III юн</v>
      </c>
    </row>
    <row r="337" spans="1:10" s="54" customFormat="1" x14ac:dyDescent="0.35">
      <c r="A337" s="14">
        <v>21</v>
      </c>
      <c r="B337" s="218" t="s">
        <v>26</v>
      </c>
      <c r="C337" s="214" t="s">
        <v>292</v>
      </c>
      <c r="E337" s="215">
        <v>42183</v>
      </c>
      <c r="F337" s="214" t="s">
        <v>198</v>
      </c>
      <c r="G337" s="216"/>
      <c r="H337" s="14"/>
      <c r="I337" s="217">
        <v>35.6</v>
      </c>
      <c r="J337" s="59" t="str">
        <f>IF(ISBLANK(I337)," ",IF(ISTEXT(I337)," ",IF(I337&lt;=Нормативы!$H$38,"КМС",IF(I337&lt;=Нормативы!$H$39,"КМС",IF(I337&lt;=Нормативы!$L$40,"КМС",IF(I337&lt;=Нормативы!$L$41,"I",IF(I337&lt;=Нормативы!$L$42,"II",IF(I337&lt;=Нормативы!$L$43,"III",IF(I337&lt;=Нормативы!$L$44,"I юн",IF(I337&lt;=Нормативы!$L$45,"II юн",IF(I337&lt;=Нормативы!$L$46,"III юн","б/р")))))))))))</f>
        <v>б/р</v>
      </c>
    </row>
    <row r="338" spans="1:10" s="54" customFormat="1" x14ac:dyDescent="0.35">
      <c r="A338" s="14">
        <v>22</v>
      </c>
      <c r="B338" s="218" t="s">
        <v>23</v>
      </c>
      <c r="C338" s="214" t="s">
        <v>389</v>
      </c>
      <c r="E338" s="215">
        <v>42717</v>
      </c>
      <c r="F338" s="214" t="s">
        <v>245</v>
      </c>
      <c r="G338" s="216"/>
      <c r="H338" s="14"/>
      <c r="I338" s="217">
        <v>35.6</v>
      </c>
      <c r="J338" s="59" t="str">
        <f>IF(ISBLANK(I338)," ",IF(ISTEXT(I338)," ",IF(I338&lt;=Нормативы!$H$38,"КМС",IF(I338&lt;=Нормативы!$H$39,"КМС",IF(I338&lt;=Нормативы!$L$40,"КМС",IF(I338&lt;=Нормативы!$L$41,"I",IF(I338&lt;=Нормативы!$L$42,"II",IF(I338&lt;=Нормативы!$L$43,"III",IF(I338&lt;=Нормативы!$L$44,"I юн",IF(I338&lt;=Нормативы!$L$45,"II юн",IF(I338&lt;=Нормативы!$L$46,"III юн","б/р")))))))))))</f>
        <v>б/р</v>
      </c>
    </row>
    <row r="339" spans="1:10" s="54" customFormat="1" x14ac:dyDescent="0.35">
      <c r="A339" s="14">
        <v>23</v>
      </c>
      <c r="B339" s="218" t="s">
        <v>26</v>
      </c>
      <c r="C339" s="214" t="s">
        <v>357</v>
      </c>
      <c r="E339" s="215">
        <v>42470</v>
      </c>
      <c r="F339" s="214" t="s">
        <v>198</v>
      </c>
      <c r="G339" s="216"/>
      <c r="H339" s="14"/>
      <c r="I339" s="217">
        <v>35.69</v>
      </c>
      <c r="J339" s="59" t="str">
        <f>IF(ISBLANK(I339)," ",IF(ISTEXT(I339)," ",IF(I339&lt;=Нормативы!$H$38,"КМС",IF(I339&lt;=Нормативы!$H$39,"КМС",IF(I339&lt;=Нормативы!$L$40,"КМС",IF(I339&lt;=Нормативы!$L$41,"I",IF(I339&lt;=Нормативы!$L$42,"II",IF(I339&lt;=Нормативы!$L$43,"III",IF(I339&lt;=Нормативы!$L$44,"I юн",IF(I339&lt;=Нормативы!$L$45,"II юн",IF(I339&lt;=Нормативы!$L$46,"III юн","б/р")))))))))))</f>
        <v>б/р</v>
      </c>
    </row>
    <row r="340" spans="1:10" s="54" customFormat="1" x14ac:dyDescent="0.35">
      <c r="A340" s="14">
        <v>24</v>
      </c>
      <c r="B340" s="218" t="s">
        <v>23</v>
      </c>
      <c r="C340" s="214" t="s">
        <v>451</v>
      </c>
      <c r="E340" s="215">
        <v>42720</v>
      </c>
      <c r="F340" s="214" t="s">
        <v>172</v>
      </c>
      <c r="G340" s="216"/>
      <c r="H340" s="14"/>
      <c r="I340" s="217">
        <v>35.799999999999997</v>
      </c>
      <c r="J340" s="59" t="str">
        <f>IF(ISBLANK(I340)," ",IF(ISTEXT(I340)," ",IF(I340&lt;=Нормативы!$H$38,"КМС",IF(I340&lt;=Нормативы!$H$39,"КМС",IF(I340&lt;=Нормативы!$L$40,"КМС",IF(I340&lt;=Нормативы!$L$41,"I",IF(I340&lt;=Нормативы!$L$42,"II",IF(I340&lt;=Нормативы!$L$43,"III",IF(I340&lt;=Нормативы!$L$44,"I юн",IF(I340&lt;=Нормативы!$L$45,"II юн",IF(I340&lt;=Нормативы!$L$46,"III юн","б/р")))))))))))</f>
        <v>б/р</v>
      </c>
    </row>
    <row r="341" spans="1:10" s="54" customFormat="1" x14ac:dyDescent="0.35">
      <c r="A341" s="14">
        <v>25</v>
      </c>
      <c r="B341" s="218" t="s">
        <v>23</v>
      </c>
      <c r="C341" s="214" t="s">
        <v>293</v>
      </c>
      <c r="E341" s="215">
        <v>42053</v>
      </c>
      <c r="F341" s="214" t="s">
        <v>198</v>
      </c>
      <c r="G341" s="216"/>
      <c r="H341" s="14"/>
      <c r="I341" s="217">
        <v>36.020000000000003</v>
      </c>
      <c r="J341" s="59" t="str">
        <f>IF(ISBLANK(I341)," ",IF(ISTEXT(I341)," ",IF(I341&lt;=Нормативы!$H$38,"КМС",IF(I341&lt;=Нормативы!$H$39,"КМС",IF(I341&lt;=Нормативы!$L$40,"КМС",IF(I341&lt;=Нормативы!$L$41,"I",IF(I341&lt;=Нормативы!$L$42,"II",IF(I341&lt;=Нормативы!$L$43,"III",IF(I341&lt;=Нормативы!$L$44,"I юн",IF(I341&lt;=Нормативы!$L$45,"II юн",IF(I341&lt;=Нормативы!$L$46,"III юн","б/р")))))))))))</f>
        <v>б/р</v>
      </c>
    </row>
    <row r="342" spans="1:10" s="54" customFormat="1" x14ac:dyDescent="0.35">
      <c r="A342" s="14">
        <v>26</v>
      </c>
      <c r="B342" s="218" t="s">
        <v>26</v>
      </c>
      <c r="C342" s="214" t="s">
        <v>297</v>
      </c>
      <c r="E342" s="215">
        <v>42487</v>
      </c>
      <c r="F342" s="214" t="s">
        <v>198</v>
      </c>
      <c r="G342" s="216"/>
      <c r="H342" s="14"/>
      <c r="I342" s="217">
        <v>36.04</v>
      </c>
      <c r="J342" s="59" t="str">
        <f>IF(ISBLANK(I342)," ",IF(ISTEXT(I342)," ",IF(I342&lt;=Нормативы!$H$38,"КМС",IF(I342&lt;=Нормативы!$H$39,"КМС",IF(I342&lt;=Нормативы!$L$40,"КМС",IF(I342&lt;=Нормативы!$L$41,"I",IF(I342&lt;=Нормативы!$L$42,"II",IF(I342&lt;=Нормативы!$L$43,"III",IF(I342&lt;=Нормативы!$L$44,"I юн",IF(I342&lt;=Нормативы!$L$45,"II юн",IF(I342&lt;=Нормативы!$L$46,"III юн","б/р")))))))))))</f>
        <v>б/р</v>
      </c>
    </row>
    <row r="343" spans="1:10" s="54" customFormat="1" x14ac:dyDescent="0.35">
      <c r="A343" s="14">
        <v>27</v>
      </c>
      <c r="B343" s="218" t="s">
        <v>26</v>
      </c>
      <c r="C343" s="214" t="s">
        <v>355</v>
      </c>
      <c r="E343" s="215">
        <v>42472</v>
      </c>
      <c r="F343" s="214" t="s">
        <v>198</v>
      </c>
      <c r="G343" s="216"/>
      <c r="H343" s="14"/>
      <c r="I343" s="217">
        <v>36.39</v>
      </c>
      <c r="J343" s="59" t="str">
        <f>IF(ISBLANK(I343)," ",IF(ISTEXT(I343)," ",IF(I343&lt;=Нормативы!$H$38,"КМС",IF(I343&lt;=Нормативы!$H$39,"КМС",IF(I343&lt;=Нормативы!$L$40,"КМС",IF(I343&lt;=Нормативы!$L$41,"I",IF(I343&lt;=Нормативы!$L$42,"II",IF(I343&lt;=Нормативы!$L$43,"III",IF(I343&lt;=Нормативы!$L$44,"I юн",IF(I343&lt;=Нормативы!$L$45,"II юн",IF(I343&lt;=Нормативы!$L$46,"III юн","б/р")))))))))))</f>
        <v>б/р</v>
      </c>
    </row>
    <row r="344" spans="1:10" s="54" customFormat="1" x14ac:dyDescent="0.35">
      <c r="A344" s="14">
        <v>28</v>
      </c>
      <c r="B344" s="218" t="s">
        <v>26</v>
      </c>
      <c r="C344" s="214" t="s">
        <v>450</v>
      </c>
      <c r="E344" s="226">
        <v>42646</v>
      </c>
      <c r="F344" s="214" t="s">
        <v>172</v>
      </c>
      <c r="G344" s="216"/>
      <c r="H344" s="14"/>
      <c r="I344" s="217">
        <v>36.6</v>
      </c>
      <c r="J344" s="59" t="str">
        <f>IF(ISBLANK(I344)," ",IF(ISTEXT(I344)," ",IF(I344&lt;=Нормативы!$H$38,"КМС",IF(I344&lt;=Нормативы!$H$39,"КМС",IF(I344&lt;=Нормативы!$L$40,"КМС",IF(I344&lt;=Нормативы!$L$41,"I",IF(I344&lt;=Нормативы!$L$42,"II",IF(I344&lt;=Нормативы!$L$43,"III",IF(I344&lt;=Нормативы!$L$44,"I юн",IF(I344&lt;=Нормативы!$L$45,"II юн",IF(I344&lt;=Нормативы!$L$46,"III юн","б/р")))))))))))</f>
        <v>б/р</v>
      </c>
    </row>
    <row r="345" spans="1:10" s="54" customFormat="1" x14ac:dyDescent="0.35">
      <c r="A345" s="14">
        <v>29</v>
      </c>
      <c r="B345" s="218" t="s">
        <v>23</v>
      </c>
      <c r="C345" s="214" t="s">
        <v>387</v>
      </c>
      <c r="E345" s="215">
        <v>42299</v>
      </c>
      <c r="F345" s="214" t="s">
        <v>245</v>
      </c>
      <c r="G345" s="216"/>
      <c r="H345" s="14"/>
      <c r="I345" s="217">
        <v>36.86</v>
      </c>
      <c r="J345" s="59" t="str">
        <f>IF(ISBLANK(I345)," ",IF(ISTEXT(I345)," ",IF(I345&lt;=Нормативы!$H$38,"КМС",IF(I345&lt;=Нормативы!$H$39,"КМС",IF(I345&lt;=Нормативы!$L$40,"КМС",IF(I345&lt;=Нормативы!$L$41,"I",IF(I345&lt;=Нормативы!$L$42,"II",IF(I345&lt;=Нормативы!$L$43,"III",IF(I345&lt;=Нормативы!$L$44,"I юн",IF(I345&lt;=Нормативы!$L$45,"II юн",IF(I345&lt;=Нормативы!$L$46,"III юн","б/р")))))))))))</f>
        <v>б/р</v>
      </c>
    </row>
    <row r="346" spans="1:10" s="54" customFormat="1" x14ac:dyDescent="0.35">
      <c r="A346" s="14">
        <v>30</v>
      </c>
      <c r="B346" s="14" t="s">
        <v>22</v>
      </c>
      <c r="C346" s="214" t="s">
        <v>304</v>
      </c>
      <c r="E346" s="215">
        <v>42524</v>
      </c>
      <c r="F346" s="214" t="s">
        <v>198</v>
      </c>
      <c r="G346" s="216"/>
      <c r="H346" s="14"/>
      <c r="I346" s="217">
        <v>36.99</v>
      </c>
      <c r="J346" s="59" t="str">
        <f>IF(ISBLANK(I346)," ",IF(ISTEXT(I346)," ",IF(I346&lt;=Нормативы!$H$38,"КМС",IF(I346&lt;=Нормативы!$H$39,"КМС",IF(I346&lt;=Нормативы!$L$40,"КМС",IF(I346&lt;=Нормативы!$L$41,"I",IF(I346&lt;=Нормативы!$L$42,"II",IF(I346&lt;=Нормативы!$L$43,"III",IF(I346&lt;=Нормативы!$L$44,"I юн",IF(I346&lt;=Нормативы!$L$45,"II юн",IF(I346&lt;=Нормативы!$L$46,"III юн","б/р")))))))))))</f>
        <v>б/р</v>
      </c>
    </row>
    <row r="347" spans="1:10" s="54" customFormat="1" x14ac:dyDescent="0.35">
      <c r="A347" s="14">
        <v>31</v>
      </c>
      <c r="B347" s="218" t="s">
        <v>26</v>
      </c>
      <c r="C347" s="214" t="s">
        <v>449</v>
      </c>
      <c r="E347" s="208">
        <v>42636</v>
      </c>
      <c r="F347" s="214" t="s">
        <v>172</v>
      </c>
      <c r="G347" s="216"/>
      <c r="H347" s="14"/>
      <c r="I347" s="217">
        <v>37.659999999999997</v>
      </c>
      <c r="J347" s="59" t="str">
        <f>IF(ISBLANK(I347)," ",IF(ISTEXT(I347)," ",IF(I347&lt;=Нормативы!$H$38,"КМС",IF(I347&lt;=Нормативы!$H$39,"КМС",IF(I347&lt;=Нормативы!$L$40,"КМС",IF(I347&lt;=Нормативы!$L$41,"I",IF(I347&lt;=Нормативы!$L$42,"II",IF(I347&lt;=Нормативы!$L$43,"III",IF(I347&lt;=Нормативы!$L$44,"I юн",IF(I347&lt;=Нормативы!$L$45,"II юн",IF(I347&lt;=Нормативы!$L$46,"III юн","б/р")))))))))))</f>
        <v>б/р</v>
      </c>
    </row>
    <row r="348" spans="1:10" s="54" customFormat="1" x14ac:dyDescent="0.35">
      <c r="A348" s="14">
        <v>32</v>
      </c>
      <c r="B348" s="218" t="s">
        <v>23</v>
      </c>
      <c r="C348" s="214" t="s">
        <v>447</v>
      </c>
      <c r="E348" s="215">
        <v>42508</v>
      </c>
      <c r="F348" s="214" t="s">
        <v>172</v>
      </c>
      <c r="G348" s="216"/>
      <c r="H348" s="14"/>
      <c r="I348" s="217">
        <v>37.83</v>
      </c>
      <c r="J348" s="59" t="str">
        <f>IF(ISBLANK(I348)," ",IF(ISTEXT(I348)," ",IF(I348&lt;=Нормативы!$H$38,"КМС",IF(I348&lt;=Нормативы!$H$39,"КМС",IF(I348&lt;=Нормативы!$L$40,"КМС",IF(I348&lt;=Нормативы!$L$41,"I",IF(I348&lt;=Нормативы!$L$42,"II",IF(I348&lt;=Нормативы!$L$43,"III",IF(I348&lt;=Нормативы!$L$44,"I юн",IF(I348&lt;=Нормативы!$L$45,"II юн",IF(I348&lt;=Нормативы!$L$46,"III юн","б/р")))))))))))</f>
        <v>б/р</v>
      </c>
    </row>
    <row r="349" spans="1:10" s="54" customFormat="1" x14ac:dyDescent="0.35">
      <c r="A349" s="14">
        <v>33</v>
      </c>
      <c r="B349" s="218" t="s">
        <v>26</v>
      </c>
      <c r="C349" s="214" t="s">
        <v>390</v>
      </c>
      <c r="E349" s="215">
        <v>42619</v>
      </c>
      <c r="F349" s="214" t="s">
        <v>245</v>
      </c>
      <c r="G349" s="216"/>
      <c r="H349" s="14"/>
      <c r="I349" s="217">
        <v>37.840000000000003</v>
      </c>
      <c r="J349" s="59" t="str">
        <f>IF(ISBLANK(I349)," ",IF(ISTEXT(I349)," ",IF(I349&lt;=Нормативы!$H$38,"КМС",IF(I349&lt;=Нормативы!$H$39,"КМС",IF(I349&lt;=Нормативы!$L$40,"КМС",IF(I349&lt;=Нормативы!$L$41,"I",IF(I349&lt;=Нормативы!$L$42,"II",IF(I349&lt;=Нормативы!$L$43,"III",IF(I349&lt;=Нормативы!$L$44,"I юн",IF(I349&lt;=Нормативы!$L$45,"II юн",IF(I349&lt;=Нормативы!$L$46,"III юн","б/р")))))))))))</f>
        <v>б/р</v>
      </c>
    </row>
    <row r="350" spans="1:10" s="54" customFormat="1" x14ac:dyDescent="0.35">
      <c r="A350" s="14">
        <v>34</v>
      </c>
      <c r="B350" s="218" t="s">
        <v>26</v>
      </c>
      <c r="C350" s="214" t="s">
        <v>348</v>
      </c>
      <c r="E350" s="215">
        <v>42521</v>
      </c>
      <c r="F350" s="214" t="s">
        <v>198</v>
      </c>
      <c r="G350" s="216"/>
      <c r="H350" s="14"/>
      <c r="I350" s="217">
        <v>39.36</v>
      </c>
      <c r="J350" s="59" t="str">
        <f>IF(ISBLANK(I350)," ",IF(ISTEXT(I350)," ",IF(I350&lt;=Нормативы!$H$38,"КМС",IF(I350&lt;=Нормативы!$H$39,"КМС",IF(I350&lt;=Нормативы!$L$40,"КМС",IF(I350&lt;=Нормативы!$L$41,"I",IF(I350&lt;=Нормативы!$L$42,"II",IF(I350&lt;=Нормативы!$L$43,"III",IF(I350&lt;=Нормативы!$L$44,"I юн",IF(I350&lt;=Нормативы!$L$45,"II юн",IF(I350&lt;=Нормативы!$L$46,"III юн","б/р")))))))))))</f>
        <v>б/р</v>
      </c>
    </row>
    <row r="351" spans="1:10" s="54" customFormat="1" x14ac:dyDescent="0.35">
      <c r="A351" s="14">
        <v>35</v>
      </c>
      <c r="B351" s="218" t="s">
        <v>26</v>
      </c>
      <c r="C351" s="214" t="s">
        <v>493</v>
      </c>
      <c r="E351" s="215">
        <v>42313</v>
      </c>
      <c r="F351" s="214" t="s">
        <v>198</v>
      </c>
      <c r="G351" s="216"/>
      <c r="H351" s="14"/>
      <c r="I351" s="217">
        <v>39.659999999999997</v>
      </c>
      <c r="J351" s="59" t="str">
        <f>IF(ISBLANK(I351)," ",IF(ISTEXT(I351)," ",IF(I351&lt;=Нормативы!$H$38,"КМС",IF(I351&lt;=Нормативы!$H$39,"КМС",IF(I351&lt;=Нормативы!$L$40,"КМС",IF(I351&lt;=Нормативы!$L$41,"I",IF(I351&lt;=Нормативы!$L$42,"II",IF(I351&lt;=Нормативы!$L$43,"III",IF(I351&lt;=Нормативы!$L$44,"I юн",IF(I351&lt;=Нормативы!$L$45,"II юн",IF(I351&lt;=Нормативы!$L$46,"III юн","б/р")))))))))))</f>
        <v>б/р</v>
      </c>
    </row>
    <row r="352" spans="1:10" s="54" customFormat="1" x14ac:dyDescent="0.35">
      <c r="A352" s="14">
        <v>36</v>
      </c>
      <c r="B352" s="218" t="s">
        <v>26</v>
      </c>
      <c r="C352" s="214" t="s">
        <v>346</v>
      </c>
      <c r="E352" s="215">
        <v>42394</v>
      </c>
      <c r="F352" s="214" t="s">
        <v>198</v>
      </c>
      <c r="G352" s="216"/>
      <c r="H352" s="14"/>
      <c r="I352" s="217">
        <v>42.42</v>
      </c>
      <c r="J352" s="59" t="str">
        <f>IF(ISBLANK(I352)," ",IF(ISTEXT(I352)," ",IF(I352&lt;=Нормативы!$H$38,"КМС",IF(I352&lt;=Нормативы!$H$39,"КМС",IF(I352&lt;=Нормативы!$L$40,"КМС",IF(I352&lt;=Нормативы!$L$41,"I",IF(I352&lt;=Нормативы!$L$42,"II",IF(I352&lt;=Нормативы!$L$43,"III",IF(I352&lt;=Нормативы!$L$44,"I юн",IF(I352&lt;=Нормативы!$L$45,"II юн",IF(I352&lt;=Нормативы!$L$46,"III юн","б/р")))))))))))</f>
        <v>б/р</v>
      </c>
    </row>
    <row r="353" spans="1:10" s="54" customFormat="1" x14ac:dyDescent="0.35">
      <c r="A353" s="14"/>
      <c r="B353" s="218" t="s">
        <v>26</v>
      </c>
      <c r="C353" s="214" t="s">
        <v>392</v>
      </c>
      <c r="E353" s="215">
        <v>42565</v>
      </c>
      <c r="F353" s="214" t="s">
        <v>245</v>
      </c>
      <c r="G353" s="216"/>
      <c r="H353" s="14"/>
      <c r="I353" s="217" t="s">
        <v>191</v>
      </c>
      <c r="J353" s="117"/>
    </row>
    <row r="354" spans="1:10" s="54" customFormat="1" x14ac:dyDescent="0.35">
      <c r="A354" s="14"/>
      <c r="B354" s="14"/>
      <c r="C354" s="222"/>
      <c r="E354" s="226"/>
      <c r="F354" s="214"/>
      <c r="G354" s="216"/>
      <c r="H354" s="14"/>
      <c r="I354" s="217"/>
      <c r="J354" s="117"/>
    </row>
    <row r="355" spans="1:10" s="54" customFormat="1" x14ac:dyDescent="0.35">
      <c r="A355" s="14"/>
      <c r="B355" s="221" t="s">
        <v>490</v>
      </c>
      <c r="C355" s="214"/>
      <c r="E355" s="215"/>
      <c r="F355" s="214"/>
      <c r="G355" s="216"/>
      <c r="H355" s="14"/>
      <c r="I355" s="117"/>
      <c r="J355" s="117"/>
    </row>
    <row r="356" spans="1:10" s="54" customFormat="1" x14ac:dyDescent="0.35">
      <c r="A356" s="14">
        <v>1</v>
      </c>
      <c r="B356" s="14" t="s">
        <v>22</v>
      </c>
      <c r="C356" s="214" t="s">
        <v>453</v>
      </c>
      <c r="E356" s="215">
        <v>42918</v>
      </c>
      <c r="F356" s="214" t="s">
        <v>172</v>
      </c>
      <c r="G356" s="216"/>
      <c r="H356" s="14"/>
      <c r="I356" s="217">
        <v>32.229999999999997</v>
      </c>
      <c r="J356" s="59" t="str">
        <f>IF(ISBLANK(I356)," ",IF(ISTEXT(I356)," ",IF(I356&lt;=Нормативы!$H$38,"КМС",IF(I356&lt;=Нормативы!$H$39,"КМС",IF(I356&lt;=Нормативы!$L$40,"КМС",IF(I356&lt;=Нормативы!$L$41,"I",IF(I356&lt;=Нормативы!$L$42,"II",IF(I356&lt;=Нормативы!$L$43,"III",IF(I356&lt;=Нормативы!$L$44,"I юн",IF(I356&lt;=Нормативы!$L$45,"II юн",IF(I356&lt;=Нормативы!$L$46,"III юн","б/р")))))))))))</f>
        <v>III юн</v>
      </c>
    </row>
    <row r="357" spans="1:10" s="54" customFormat="1" x14ac:dyDescent="0.35">
      <c r="A357" s="14">
        <v>2</v>
      </c>
      <c r="B357" s="218" t="s">
        <v>23</v>
      </c>
      <c r="C357" s="214" t="s">
        <v>452</v>
      </c>
      <c r="E357" s="215">
        <v>42886</v>
      </c>
      <c r="F357" s="214" t="s">
        <v>172</v>
      </c>
      <c r="G357" s="216"/>
      <c r="H357" s="14"/>
      <c r="I357" s="217">
        <v>33.46</v>
      </c>
      <c r="J357" s="59" t="str">
        <f>IF(ISBLANK(I357)," ",IF(ISTEXT(I357)," ",IF(I357&lt;=Нормативы!$H$38,"КМС",IF(I357&lt;=Нормативы!$H$39,"КМС",IF(I357&lt;=Нормативы!$L$40,"КМС",IF(I357&lt;=Нормативы!$L$41,"I",IF(I357&lt;=Нормативы!$L$42,"II",IF(I357&lt;=Нормативы!$L$43,"III",IF(I357&lt;=Нормативы!$L$44,"I юн",IF(I357&lt;=Нормативы!$L$45,"II юн",IF(I357&lt;=Нормативы!$L$46,"III юн","б/р")))))))))))</f>
        <v>III юн</v>
      </c>
    </row>
    <row r="358" spans="1:10" s="54" customFormat="1" x14ac:dyDescent="0.35">
      <c r="A358" s="14">
        <v>3</v>
      </c>
      <c r="B358" s="218" t="s">
        <v>23</v>
      </c>
      <c r="C358" s="214" t="s">
        <v>454</v>
      </c>
      <c r="E358" s="208">
        <v>43038</v>
      </c>
      <c r="F358" s="214" t="s">
        <v>172</v>
      </c>
      <c r="G358" s="216"/>
      <c r="H358" s="14"/>
      <c r="I358" s="217">
        <v>34.33</v>
      </c>
      <c r="J358" s="59" t="str">
        <f>IF(ISBLANK(I358)," ",IF(ISTEXT(I358)," ",IF(I358&lt;=Нормативы!$H$38,"КМС",IF(I358&lt;=Нормативы!$H$39,"КМС",IF(I358&lt;=Нормативы!$L$40,"КМС",IF(I358&lt;=Нормативы!$L$41,"I",IF(I358&lt;=Нормативы!$L$42,"II",IF(I358&lt;=Нормативы!$L$43,"III",IF(I358&lt;=Нормативы!$L$44,"I юн",IF(I358&lt;=Нормативы!$L$45,"II юн",IF(I358&lt;=Нормативы!$L$46,"III юн","б/р")))))))))))</f>
        <v>III юн</v>
      </c>
    </row>
    <row r="359" spans="1:10" s="54" customFormat="1" x14ac:dyDescent="0.35">
      <c r="A359" s="14">
        <v>4</v>
      </c>
      <c r="B359" s="218" t="s">
        <v>23</v>
      </c>
      <c r="C359" s="214" t="s">
        <v>455</v>
      </c>
      <c r="E359" s="208">
        <v>43088</v>
      </c>
      <c r="F359" s="214" t="s">
        <v>172</v>
      </c>
      <c r="G359" s="216"/>
      <c r="H359" s="14"/>
      <c r="I359" s="217">
        <v>34.57</v>
      </c>
      <c r="J359" s="59" t="str">
        <f>IF(ISBLANK(I359)," ",IF(ISTEXT(I359)," ",IF(I359&lt;=Нормативы!$H$38,"КМС",IF(I359&lt;=Нормативы!$H$39,"КМС",IF(I359&lt;=Нормативы!$L$40,"КМС",IF(I359&lt;=Нормативы!$L$41,"I",IF(I359&lt;=Нормативы!$L$42,"II",IF(I359&lt;=Нормативы!$L$43,"III",IF(I359&lt;=Нормативы!$L$44,"I юн",IF(I359&lt;=Нормативы!$L$45,"II юн",IF(I359&lt;=Нормативы!$L$46,"III юн","б/р")))))))))))</f>
        <v>III юн</v>
      </c>
    </row>
    <row r="360" spans="1:10" s="54" customFormat="1" x14ac:dyDescent="0.35">
      <c r="A360" s="14">
        <v>5</v>
      </c>
      <c r="B360" s="218" t="s">
        <v>26</v>
      </c>
      <c r="C360" s="214" t="s">
        <v>356</v>
      </c>
      <c r="E360" s="215">
        <v>42989</v>
      </c>
      <c r="F360" s="214" t="s">
        <v>198</v>
      </c>
      <c r="G360" s="216"/>
      <c r="H360" s="14"/>
      <c r="I360" s="217">
        <v>35.14</v>
      </c>
      <c r="J360" s="59" t="str">
        <f>IF(ISBLANK(I360)," ",IF(ISTEXT(I360)," ",IF(I360&lt;=Нормативы!$H$38,"КМС",IF(I360&lt;=Нормативы!$H$39,"КМС",IF(I360&lt;=Нормативы!$L$40,"КМС",IF(I360&lt;=Нормативы!$L$41,"I",IF(I360&lt;=Нормативы!$L$42,"II",IF(I360&lt;=Нормативы!$L$43,"III",IF(I360&lt;=Нормативы!$L$44,"I юн",IF(I360&lt;=Нормативы!$L$45,"II юн",IF(I360&lt;=Нормативы!$L$46,"III юн","б/р")))))))))))</f>
        <v>б/р</v>
      </c>
    </row>
    <row r="361" spans="1:10" s="54" customFormat="1" x14ac:dyDescent="0.35">
      <c r="A361" s="14">
        <v>6</v>
      </c>
      <c r="B361" s="218" t="s">
        <v>26</v>
      </c>
      <c r="C361" s="214" t="s">
        <v>456</v>
      </c>
      <c r="E361" s="208">
        <v>43166</v>
      </c>
      <c r="F361" s="214" t="s">
        <v>172</v>
      </c>
      <c r="G361" s="216"/>
      <c r="H361" s="14"/>
      <c r="I361" s="217">
        <v>36.200000000000003</v>
      </c>
      <c r="J361" s="59" t="str">
        <f>IF(ISBLANK(I361)," ",IF(ISTEXT(I361)," ",IF(I361&lt;=Нормативы!$H$38,"КМС",IF(I361&lt;=Нормативы!$H$39,"КМС",IF(I361&lt;=Нормативы!$L$40,"КМС",IF(I361&lt;=Нормативы!$L$41,"I",IF(I361&lt;=Нормативы!$L$42,"II",IF(I361&lt;=Нормативы!$L$43,"III",IF(I361&lt;=Нормативы!$L$44,"I юн",IF(I361&lt;=Нормативы!$L$45,"II юн",IF(I361&lt;=Нормативы!$L$46,"III юн","б/р")))))))))))</f>
        <v>б/р</v>
      </c>
    </row>
    <row r="362" spans="1:10" s="54" customFormat="1" x14ac:dyDescent="0.35">
      <c r="A362" s="14">
        <v>7</v>
      </c>
      <c r="B362" s="218" t="s">
        <v>26</v>
      </c>
      <c r="C362" s="214" t="s">
        <v>458</v>
      </c>
      <c r="E362" s="215">
        <v>42844</v>
      </c>
      <c r="F362" s="214" t="s">
        <v>172</v>
      </c>
      <c r="G362" s="216"/>
      <c r="H362" s="14"/>
      <c r="I362" s="217">
        <v>36.32</v>
      </c>
      <c r="J362" s="59" t="str">
        <f>IF(ISBLANK(I362)," ",IF(ISTEXT(I362)," ",IF(I362&lt;=Нормативы!$H$38,"КМС",IF(I362&lt;=Нормативы!$H$39,"КМС",IF(I362&lt;=Нормативы!$L$40,"КМС",IF(I362&lt;=Нормативы!$L$41,"I",IF(I362&lt;=Нормативы!$L$42,"II",IF(I362&lt;=Нормативы!$L$43,"III",IF(I362&lt;=Нормативы!$L$44,"I юн",IF(I362&lt;=Нормативы!$L$45,"II юн",IF(I362&lt;=Нормативы!$L$46,"III юн","б/р")))))))))))</f>
        <v>б/р</v>
      </c>
    </row>
    <row r="363" spans="1:10" s="54" customFormat="1" x14ac:dyDescent="0.35">
      <c r="A363" s="14">
        <v>8</v>
      </c>
      <c r="B363" s="218" t="s">
        <v>26</v>
      </c>
      <c r="C363" s="214" t="s">
        <v>350</v>
      </c>
      <c r="E363" s="215">
        <v>42949</v>
      </c>
      <c r="F363" s="214" t="s">
        <v>198</v>
      </c>
      <c r="G363" s="216"/>
      <c r="H363" s="14"/>
      <c r="I363" s="217">
        <v>39.39</v>
      </c>
      <c r="J363" s="59" t="str">
        <f>IF(ISBLANK(I363)," ",IF(ISTEXT(I363)," ",IF(I363&lt;=Нормативы!$H$38,"КМС",IF(I363&lt;=Нормативы!$H$39,"КМС",IF(I363&lt;=Нормативы!$L$40,"КМС",IF(I363&lt;=Нормативы!$L$41,"I",IF(I363&lt;=Нормативы!$L$42,"II",IF(I363&lt;=Нормативы!$L$43,"III",IF(I363&lt;=Нормативы!$L$44,"I юн",IF(I363&lt;=Нормативы!$L$45,"II юн",IF(I363&lt;=Нормативы!$L$46,"III юн","б/р")))))))))))</f>
        <v>б/р</v>
      </c>
    </row>
    <row r="364" spans="1:10" s="54" customFormat="1" x14ac:dyDescent="0.35">
      <c r="A364" s="14">
        <v>9</v>
      </c>
      <c r="B364" s="218" t="s">
        <v>26</v>
      </c>
      <c r="C364" s="214" t="s">
        <v>303</v>
      </c>
      <c r="E364" s="215">
        <v>42740</v>
      </c>
      <c r="F364" s="214" t="s">
        <v>198</v>
      </c>
      <c r="G364" s="216"/>
      <c r="H364" s="14"/>
      <c r="I364" s="217">
        <v>40.24</v>
      </c>
      <c r="J364" s="59" t="str">
        <f>IF(ISBLANK(I364)," ",IF(ISTEXT(I364)," ",IF(I364&lt;=Нормативы!$H$38,"КМС",IF(I364&lt;=Нормативы!$H$39,"КМС",IF(I364&lt;=Нормативы!$L$40,"КМС",IF(I364&lt;=Нормативы!$L$41,"I",IF(I364&lt;=Нормативы!$L$42,"II",IF(I364&lt;=Нормативы!$L$43,"III",IF(I364&lt;=Нормативы!$L$44,"I юн",IF(I364&lt;=Нормативы!$L$45,"II юн",IF(I364&lt;=Нормативы!$L$46,"III юн","б/р")))))))))))</f>
        <v>б/р</v>
      </c>
    </row>
    <row r="365" spans="1:10" s="54" customFormat="1" x14ac:dyDescent="0.35">
      <c r="A365" s="14">
        <v>10</v>
      </c>
      <c r="B365" s="218" t="s">
        <v>26</v>
      </c>
      <c r="C365" s="214" t="s">
        <v>359</v>
      </c>
      <c r="E365" s="215">
        <v>42753</v>
      </c>
      <c r="F365" s="214" t="s">
        <v>198</v>
      </c>
      <c r="G365" s="216"/>
      <c r="H365" s="14"/>
      <c r="I365" s="217">
        <v>47</v>
      </c>
      <c r="J365" s="59" t="str">
        <f>IF(ISBLANK(I365)," ",IF(ISTEXT(I365)," ",IF(I365&lt;=Нормативы!$H$38,"КМС",IF(I365&lt;=Нормативы!$H$39,"КМС",IF(I365&lt;=Нормативы!$L$40,"КМС",IF(I365&lt;=Нормативы!$L$41,"I",IF(I365&lt;=Нормативы!$L$42,"II",IF(I365&lt;=Нормативы!$L$43,"III",IF(I365&lt;=Нормативы!$L$44,"I юн",IF(I365&lt;=Нормативы!$L$45,"II юн",IF(I365&lt;=Нормативы!$L$46,"III юн","б/р")))))))))))</f>
        <v>б/р</v>
      </c>
    </row>
    <row r="366" spans="1:10" s="54" customFormat="1" x14ac:dyDescent="0.35">
      <c r="A366" s="14"/>
      <c r="B366" s="218"/>
      <c r="C366" s="222"/>
      <c r="E366" s="215"/>
      <c r="F366" s="214"/>
      <c r="G366" s="216"/>
      <c r="H366" s="14"/>
      <c r="I366" s="217"/>
      <c r="J366" s="117"/>
    </row>
    <row r="367" spans="1:10" s="54" customFormat="1" x14ac:dyDescent="0.35">
      <c r="A367" s="221" t="s">
        <v>221</v>
      </c>
      <c r="B367" s="14"/>
      <c r="C367" s="214"/>
      <c r="E367" s="215"/>
      <c r="F367" s="214"/>
      <c r="G367" s="216"/>
      <c r="H367" s="14"/>
      <c r="I367" s="217"/>
      <c r="J367" s="59" t="str">
        <f>IF(ISBLANK(I367)," ",IF(ISTEXT(I367)," ",IF(I367&lt;=Нормативы!$H$49,"КМС",IF(I367&lt;=Нормативы!$H$50,"КМС",IF(I367&lt;=Нормативы!$L$51,"КМС",IF(I367&lt;=Нормативы!$L$52,"I",IF(I367&lt;=Нормативы!$L$53,"II",IF(I367&lt;=Нормативы!$L$54,"III",IF(I367&lt;=Нормативы!$L$55,"I юн",IF(I367&lt;=Нормативы!$L$56,"II юн",IF(I367&lt;=Нормативы!$L$57,"III юн","б/р")))))))))))</f>
        <v xml:space="preserve"> </v>
      </c>
    </row>
    <row r="368" spans="1:10" s="54" customFormat="1" x14ac:dyDescent="0.35">
      <c r="A368" s="14">
        <v>1</v>
      </c>
      <c r="B368" s="14" t="s">
        <v>38</v>
      </c>
      <c r="C368" s="214" t="s">
        <v>460</v>
      </c>
      <c r="E368" s="226">
        <v>42155</v>
      </c>
      <c r="F368" s="214" t="s">
        <v>193</v>
      </c>
      <c r="G368" s="216"/>
      <c r="H368" s="14"/>
      <c r="I368" s="217">
        <v>102.15</v>
      </c>
      <c r="J368" s="59" t="str">
        <f>IF(ISBLANK(I368)," ",IF(ISTEXT(I368)," ",IF(I368&lt;=Нормативы!$H$49,"КМС",IF(I368&lt;=Нормативы!$H$50,"КМС",IF(I368&lt;=Нормативы!$L$51,"КМС",IF(I368&lt;=Нормативы!$L$52,"I",IF(I368&lt;=Нормативы!$L$53,"II",IF(I368&lt;=Нормативы!$L$54,"III",IF(I368&lt;=Нормативы!$L$55,"I юн",IF(I368&lt;=Нормативы!$L$56,"II юн",IF(I368&lt;=Нормативы!$L$57,"III юн","б/р")))))))))))</f>
        <v>II юн</v>
      </c>
    </row>
    <row r="369" spans="1:10" s="54" customFormat="1" x14ac:dyDescent="0.35">
      <c r="A369" s="14">
        <v>2</v>
      </c>
      <c r="B369" s="14" t="s">
        <v>38</v>
      </c>
      <c r="C369" s="214" t="s">
        <v>430</v>
      </c>
      <c r="E369" s="215">
        <v>42512</v>
      </c>
      <c r="F369" s="214" t="s">
        <v>172</v>
      </c>
      <c r="G369" s="216"/>
      <c r="H369" s="14"/>
      <c r="I369" s="217">
        <v>107</v>
      </c>
      <c r="J369" s="59" t="str">
        <f>IF(ISBLANK(I369)," ",IF(ISTEXT(I369)," ",IF(I369&lt;=Нормативы!$H$49,"КМС",IF(I369&lt;=Нормативы!$H$50,"КМС",IF(I369&lt;=Нормативы!$L$51,"КМС",IF(I369&lt;=Нормативы!$L$52,"I",IF(I369&lt;=Нормативы!$L$53,"II",IF(I369&lt;=Нормативы!$L$54,"III",IF(I369&lt;=Нормативы!$L$55,"I юн",IF(I369&lt;=Нормативы!$L$56,"II юн",IF(I369&lt;=Нормативы!$L$57,"III юн","б/р")))))))))))</f>
        <v>III юн</v>
      </c>
    </row>
    <row r="370" spans="1:10" s="54" customFormat="1" x14ac:dyDescent="0.35">
      <c r="A370" s="14">
        <v>3</v>
      </c>
      <c r="B370" s="14" t="s">
        <v>22</v>
      </c>
      <c r="C370" s="214" t="s">
        <v>495</v>
      </c>
      <c r="E370" s="215">
        <v>42276</v>
      </c>
      <c r="F370" s="214" t="s">
        <v>172</v>
      </c>
      <c r="G370" s="216"/>
      <c r="H370" s="14"/>
      <c r="I370" s="217">
        <v>108</v>
      </c>
      <c r="J370" s="59" t="str">
        <f>IF(ISBLANK(I370)," ",IF(ISTEXT(I370)," ",IF(I370&lt;=Нормативы!$H$49,"КМС",IF(I370&lt;=Нормативы!$H$50,"КМС",IF(I370&lt;=Нормативы!$L$51,"КМС",IF(I370&lt;=Нормативы!$L$52,"I",IF(I370&lt;=Нормативы!$L$53,"II",IF(I370&lt;=Нормативы!$L$54,"III",IF(I370&lt;=Нормативы!$L$55,"I юн",IF(I370&lt;=Нормативы!$L$56,"II юн",IF(I370&lt;=Нормативы!$L$57,"III юн","б/р")))))))))))</f>
        <v>III юн</v>
      </c>
    </row>
    <row r="371" spans="1:10" s="54" customFormat="1" x14ac:dyDescent="0.35">
      <c r="A371" s="14">
        <v>4</v>
      </c>
      <c r="B371" s="218" t="s">
        <v>23</v>
      </c>
      <c r="C371" s="214" t="s">
        <v>319</v>
      </c>
      <c r="E371" s="215">
        <v>42616</v>
      </c>
      <c r="F371" s="214" t="s">
        <v>198</v>
      </c>
      <c r="G371" s="216"/>
      <c r="H371" s="14"/>
      <c r="I371" s="217">
        <v>108.6</v>
      </c>
      <c r="J371" s="59" t="str">
        <f>IF(ISBLANK(I371)," ",IF(ISTEXT(I371)," ",IF(I371&lt;=Нормативы!$H$49,"КМС",IF(I371&lt;=Нормативы!$H$50,"КМС",IF(I371&lt;=Нормативы!$L$51,"КМС",IF(I371&lt;=Нормативы!$L$52,"I",IF(I371&lt;=Нормативы!$L$53,"II",IF(I371&lt;=Нормативы!$L$54,"III",IF(I371&lt;=Нормативы!$L$55,"I юн",IF(I371&lt;=Нормативы!$L$56,"II юн",IF(I371&lt;=Нормативы!$L$57,"III юн","б/р")))))))))))</f>
        <v>III юн</v>
      </c>
    </row>
    <row r="372" spans="1:10" s="54" customFormat="1" x14ac:dyDescent="0.35">
      <c r="A372" s="14">
        <v>5</v>
      </c>
      <c r="B372" s="14" t="s">
        <v>22</v>
      </c>
      <c r="C372" s="214" t="s">
        <v>431</v>
      </c>
      <c r="E372" s="215">
        <v>42631</v>
      </c>
      <c r="F372" s="214" t="s">
        <v>172</v>
      </c>
      <c r="G372" s="216"/>
      <c r="H372" s="14"/>
      <c r="I372" s="217">
        <v>110.57</v>
      </c>
      <c r="J372" s="59" t="str">
        <f>IF(ISBLANK(I372)," ",IF(ISTEXT(I372)," ",IF(I372&lt;=Нормативы!$H$49,"КМС",IF(I372&lt;=Нормативы!$H$50,"КМС",IF(I372&lt;=Нормативы!$L$51,"КМС",IF(I372&lt;=Нормативы!$L$52,"I",IF(I372&lt;=Нормативы!$L$53,"II",IF(I372&lt;=Нормативы!$L$54,"III",IF(I372&lt;=Нормативы!$L$55,"I юн",IF(I372&lt;=Нормативы!$L$56,"II юн",IF(I372&lt;=Нормативы!$L$57,"III юн","б/р")))))))))))</f>
        <v>б/р</v>
      </c>
    </row>
    <row r="373" spans="1:10" s="54" customFormat="1" x14ac:dyDescent="0.35">
      <c r="A373" s="14">
        <v>6</v>
      </c>
      <c r="B373" s="14" t="s">
        <v>22</v>
      </c>
      <c r="C373" s="214" t="s">
        <v>425</v>
      </c>
      <c r="E373" s="215">
        <v>42112</v>
      </c>
      <c r="F373" s="214" t="s">
        <v>172</v>
      </c>
      <c r="G373" s="216"/>
      <c r="H373" s="14"/>
      <c r="I373" s="217">
        <v>113.12</v>
      </c>
      <c r="J373" s="59" t="str">
        <f>IF(ISBLANK(I373)," ",IF(ISTEXT(I373)," ",IF(I373&lt;=Нормативы!$H$49,"КМС",IF(I373&lt;=Нормативы!$H$50,"КМС",IF(I373&lt;=Нормативы!$L$51,"КМС",IF(I373&lt;=Нормативы!$L$52,"I",IF(I373&lt;=Нормативы!$L$53,"II",IF(I373&lt;=Нормативы!$L$54,"III",IF(I373&lt;=Нормативы!$L$55,"I юн",IF(I373&lt;=Нормативы!$L$56,"II юн",IF(I373&lt;=Нормативы!$L$57,"III юн","б/р")))))))))))</f>
        <v>б/р</v>
      </c>
    </row>
    <row r="374" spans="1:10" s="54" customFormat="1" x14ac:dyDescent="0.35">
      <c r="A374" s="14">
        <v>7</v>
      </c>
      <c r="B374" s="14" t="s">
        <v>26</v>
      </c>
      <c r="C374" s="214" t="s">
        <v>491</v>
      </c>
      <c r="E374" s="215">
        <v>42421</v>
      </c>
      <c r="F374" s="214" t="s">
        <v>198</v>
      </c>
      <c r="G374" s="216"/>
      <c r="H374" s="14"/>
      <c r="I374" s="217">
        <v>122.57</v>
      </c>
      <c r="J374" s="59" t="str">
        <f>IF(ISBLANK(I374)," ",IF(ISTEXT(I374)," ",IF(I374&lt;=Нормативы!$H$49,"КМС",IF(I374&lt;=Нормативы!$H$50,"КМС",IF(I374&lt;=Нормативы!$L$51,"КМС",IF(I374&lt;=Нормативы!$L$52,"I",IF(I374&lt;=Нормативы!$L$53,"II",IF(I374&lt;=Нормативы!$L$54,"III",IF(I374&lt;=Нормативы!$L$55,"I юн",IF(I374&lt;=Нормативы!$L$56,"II юн",IF(I374&lt;=Нормативы!$L$57,"III юн","б/р")))))))))))</f>
        <v>б/р</v>
      </c>
    </row>
    <row r="375" spans="1:10" s="54" customFormat="1" x14ac:dyDescent="0.35">
      <c r="A375" s="14">
        <v>8</v>
      </c>
      <c r="B375" s="14" t="s">
        <v>22</v>
      </c>
      <c r="C375" s="214" t="s">
        <v>379</v>
      </c>
      <c r="E375" s="215">
        <v>42486</v>
      </c>
      <c r="F375" s="214" t="s">
        <v>193</v>
      </c>
      <c r="G375" s="216"/>
      <c r="H375" s="14"/>
      <c r="I375" s="217">
        <v>122.89</v>
      </c>
      <c r="J375" s="59" t="str">
        <f>IF(ISBLANK(I375)," ",IF(ISTEXT(I375)," ",IF(I375&lt;=Нормативы!$H$49,"КМС",IF(I375&lt;=Нормативы!$H$50,"КМС",IF(I375&lt;=Нормативы!$L$51,"КМС",IF(I375&lt;=Нормативы!$L$52,"I",IF(I375&lt;=Нормативы!$L$53,"II",IF(I375&lt;=Нормативы!$L$54,"III",IF(I375&lt;=Нормативы!$L$55,"I юн",IF(I375&lt;=Нормативы!$L$56,"II юн",IF(I375&lt;=Нормативы!$L$57,"III юн","б/р")))))))))))</f>
        <v>б/р</v>
      </c>
    </row>
    <row r="376" spans="1:10" s="54" customFormat="1" x14ac:dyDescent="0.35">
      <c r="A376" s="14"/>
      <c r="B376" s="14"/>
      <c r="C376" s="214"/>
      <c r="E376" s="215"/>
      <c r="F376" s="214"/>
      <c r="G376" s="216"/>
      <c r="H376" s="14"/>
      <c r="I376" s="217"/>
      <c r="J376" s="59" t="str">
        <f>IF(ISBLANK(I376)," ",IF(ISTEXT(I376)," ",IF(I376&lt;=Нормативы!$H$49,"КМС",IF(I376&lt;=Нормативы!$H$50,"КМС",IF(I376&lt;=Нормативы!$L$51,"КМС",IF(I376&lt;=Нормативы!$L$52,"I",IF(I376&lt;=Нормативы!$L$53,"II",IF(I376&lt;=Нормативы!$L$54,"III",IF(I376&lt;=Нормативы!$L$55,"I юн",IF(I376&lt;=Нормативы!$L$56,"II юн",IF(I376&lt;=Нормативы!$L$57,"III юн","б/р")))))))))))</f>
        <v xml:space="preserve"> </v>
      </c>
    </row>
    <row r="377" spans="1:10" s="54" customFormat="1" x14ac:dyDescent="0.35">
      <c r="A377" s="221" t="s">
        <v>232</v>
      </c>
      <c r="B377" s="14"/>
      <c r="C377" s="214"/>
      <c r="E377" s="215"/>
      <c r="F377" s="214"/>
      <c r="G377" s="216"/>
      <c r="H377" s="14"/>
      <c r="I377" s="217"/>
      <c r="J377" s="59" t="str">
        <f>IF(ISBLANK(I377)," ",IF(ISTEXT(I377)," ",IF(I377&lt;=Нормативы!$H$49,"КМС",IF(I377&lt;=Нормативы!$H$50,"КМС",IF(I377&lt;=Нормативы!$L$51,"КМС",IF(I377&lt;=Нормативы!$L$52,"I",IF(I377&lt;=Нормативы!$L$53,"II",IF(I377&lt;=Нормативы!$L$54,"III",IF(I377&lt;=Нормативы!$L$55,"I юн",IF(I377&lt;=Нормативы!$L$56,"II юн",IF(I377&lt;=Нормативы!$L$57,"III юн","б/р")))))))))))</f>
        <v xml:space="preserve"> </v>
      </c>
    </row>
    <row r="378" spans="1:10" s="54" customFormat="1" x14ac:dyDescent="0.35">
      <c r="A378" s="14">
        <v>1</v>
      </c>
      <c r="B378" s="14" t="s">
        <v>22</v>
      </c>
      <c r="C378" s="214" t="s">
        <v>380</v>
      </c>
      <c r="E378" s="215">
        <v>42794</v>
      </c>
      <c r="F378" s="214" t="s">
        <v>193</v>
      </c>
      <c r="G378" s="216"/>
      <c r="H378" s="14"/>
      <c r="I378" s="217">
        <v>125.55</v>
      </c>
      <c r="J378" s="59" t="str">
        <f>IF(ISBLANK(I378)," ",IF(ISTEXT(I378)," ",IF(I378&lt;=Нормативы!$H$49,"КМС",IF(I378&lt;=Нормативы!$H$50,"КМС",IF(I378&lt;=Нормативы!$L$51,"КМС",IF(I378&lt;=Нормативы!$L$52,"I",IF(I378&lt;=Нормативы!$L$53,"II",IF(I378&lt;=Нормативы!$L$54,"III",IF(I378&lt;=Нормативы!$L$55,"I юн",IF(I378&lt;=Нормативы!$L$56,"II юн",IF(I378&lt;=Нормативы!$L$57,"III юн","б/р")))))))))))</f>
        <v>б/р</v>
      </c>
    </row>
    <row r="379" spans="1:10" s="54" customFormat="1" x14ac:dyDescent="0.35">
      <c r="A379" s="14">
        <v>2</v>
      </c>
      <c r="B379" s="218" t="s">
        <v>26</v>
      </c>
      <c r="C379" s="214" t="s">
        <v>434</v>
      </c>
      <c r="E379" s="215">
        <v>42967</v>
      </c>
      <c r="F379" s="214" t="s">
        <v>172</v>
      </c>
      <c r="G379" s="216"/>
      <c r="H379" s="14"/>
      <c r="I379" s="217">
        <v>126.52</v>
      </c>
      <c r="J379" s="59" t="str">
        <f>IF(ISBLANK(I379)," ",IF(ISTEXT(I379)," ",IF(I379&lt;=Нормативы!$H$49,"КМС",IF(I379&lt;=Нормативы!$H$50,"КМС",IF(I379&lt;=Нормативы!$L$51,"КМС",IF(I379&lt;=Нормативы!$L$52,"I",IF(I379&lt;=Нормативы!$L$53,"II",IF(I379&lt;=Нормативы!$L$54,"III",IF(I379&lt;=Нормативы!$L$55,"I юн",IF(I379&lt;=Нормативы!$L$56,"II юн",IF(I379&lt;=Нормативы!$L$57,"III юн","б/р")))))))))))</f>
        <v>б/р</v>
      </c>
    </row>
    <row r="380" spans="1:10" s="54" customFormat="1" x14ac:dyDescent="0.35">
      <c r="A380" s="14">
        <v>3</v>
      </c>
      <c r="B380" s="218" t="s">
        <v>26</v>
      </c>
      <c r="C380" s="214" t="s">
        <v>338</v>
      </c>
      <c r="E380" s="215">
        <v>43040</v>
      </c>
      <c r="F380" s="214" t="s">
        <v>198</v>
      </c>
      <c r="G380" s="216"/>
      <c r="H380" s="14"/>
      <c r="I380" s="217">
        <v>140.53</v>
      </c>
      <c r="J380" s="59" t="str">
        <f>IF(ISBLANK(I380)," ",IF(ISTEXT(I380)," ",IF(I380&lt;=Нормативы!$H$49,"КМС",IF(I380&lt;=Нормативы!$H$50,"КМС",IF(I380&lt;=Нормативы!$L$51,"КМС",IF(I380&lt;=Нормативы!$L$52,"I",IF(I380&lt;=Нормативы!$L$53,"II",IF(I380&lt;=Нормативы!$L$54,"III",IF(I380&lt;=Нормативы!$L$55,"I юн",IF(I380&lt;=Нормативы!$L$56,"II юн",IF(I380&lt;=Нормативы!$L$57,"III юн","б/р")))))))))))</f>
        <v>б/р</v>
      </c>
    </row>
    <row r="381" spans="1:10" s="54" customFormat="1" x14ac:dyDescent="0.35">
      <c r="A381" s="14"/>
      <c r="B381" s="14"/>
      <c r="C381" s="214"/>
      <c r="E381" s="227"/>
      <c r="F381" s="214"/>
      <c r="G381" s="216"/>
      <c r="H381" s="14"/>
      <c r="I381" s="217"/>
      <c r="J381" s="117"/>
    </row>
    <row r="382" spans="1:10" s="54" customFormat="1" x14ac:dyDescent="0.35">
      <c r="A382" s="221" t="s">
        <v>224</v>
      </c>
      <c r="B382" s="14"/>
      <c r="C382" s="214"/>
      <c r="E382" s="227"/>
      <c r="F382" s="214"/>
      <c r="G382" s="216"/>
      <c r="H382" s="14"/>
      <c r="I382" s="217"/>
      <c r="J382" s="59" t="str">
        <f>IF(ISBLANK(I382)," ",IF(ISTEXT(I382)," ",IF(I382&lt;=Нормативы!$H$60,"КМС",IF(I382&lt;=Нормативы!$H$61,"КМС",IF(I382&lt;=Нормативы!$L$62,"КМС",IF(I382&lt;=Нормативы!$L$63,"I",IF(I382&lt;=Нормативы!$L$64,"II",IF(I382&lt;=Нормативы!$L$65,"III",IF(I382&lt;=Нормативы!$L$66,"I юн",IF(I382&lt;=Нормативы!$L$67,"II юн",IF(I382&lt;=Нормативы!$L$68,"III юн","б/р")))))))))))</f>
        <v xml:space="preserve"> </v>
      </c>
    </row>
    <row r="383" spans="1:10" s="54" customFormat="1" x14ac:dyDescent="0.35">
      <c r="A383" s="14">
        <v>1</v>
      </c>
      <c r="B383" s="14" t="s">
        <v>38</v>
      </c>
      <c r="C383" s="214" t="s">
        <v>388</v>
      </c>
      <c r="E383" s="215">
        <v>42206</v>
      </c>
      <c r="F383" s="214" t="s">
        <v>245</v>
      </c>
      <c r="G383" s="216"/>
      <c r="H383" s="14"/>
      <c r="I383" s="217">
        <v>58.16</v>
      </c>
      <c r="J383" s="59" t="str">
        <f>IF(ISBLANK(I383)," ",IF(ISTEXT(I383)," ",IF(I383&lt;=Нормативы!$H$60,"КМС",IF(I383&lt;=Нормативы!$H$61,"КМС",IF(I383&lt;=Нормативы!$L$62,"КМС",IF(I383&lt;=Нормативы!$L$63,"I",IF(I383&lt;=Нормативы!$L$64,"II",IF(I383&lt;=Нормативы!$L$65,"III",IF(I383&lt;=Нормативы!$L$66,"I юн",IF(I383&lt;=Нормативы!$L$67,"II юн",IF(I383&lt;=Нормативы!$L$68,"III юн","б/р")))))))))))</f>
        <v>II юн</v>
      </c>
    </row>
    <row r="384" spans="1:10" s="54" customFormat="1" x14ac:dyDescent="0.35">
      <c r="A384" s="14">
        <v>2</v>
      </c>
      <c r="B384" s="14" t="s">
        <v>38</v>
      </c>
      <c r="C384" s="214" t="s">
        <v>441</v>
      </c>
      <c r="E384" s="227">
        <v>42109</v>
      </c>
      <c r="F384" s="214" t="s">
        <v>172</v>
      </c>
      <c r="G384" s="216"/>
      <c r="H384" s="14"/>
      <c r="I384" s="217">
        <v>58.56</v>
      </c>
      <c r="J384" s="59" t="str">
        <f>IF(ISBLANK(I384)," ",IF(ISTEXT(I384)," ",IF(I384&lt;=Нормативы!$H$60,"КМС",IF(I384&lt;=Нормативы!$H$61,"КМС",IF(I384&lt;=Нормативы!$L$62,"КМС",IF(I384&lt;=Нормативы!$L$63,"I",IF(I384&lt;=Нормативы!$L$64,"II",IF(I384&lt;=Нормативы!$L$65,"III",IF(I384&lt;=Нормативы!$L$66,"I юн",IF(I384&lt;=Нормативы!$L$67,"II юн",IF(I384&lt;=Нормативы!$L$68,"III юн","б/р")))))))))))</f>
        <v>II юн</v>
      </c>
    </row>
    <row r="385" spans="1:10" s="54" customFormat="1" x14ac:dyDescent="0.35">
      <c r="A385" s="14">
        <v>3</v>
      </c>
      <c r="B385" s="218" t="s">
        <v>23</v>
      </c>
      <c r="C385" s="214" t="s">
        <v>494</v>
      </c>
      <c r="E385" s="215">
        <v>42290</v>
      </c>
      <c r="F385" s="214" t="s">
        <v>172</v>
      </c>
      <c r="G385" s="216"/>
      <c r="H385" s="14"/>
      <c r="I385" s="217">
        <v>100.97</v>
      </c>
      <c r="J385" s="59" t="str">
        <f>IF(ISBLANK(I385)," ",IF(ISTEXT(I385)," ",IF(I385&lt;=Нормативы!$H$60,"КМС",IF(I385&lt;=Нормативы!$H$61,"КМС",IF(I385&lt;=Нормативы!$L$62,"КМС",IF(I385&lt;=Нормативы!$L$63,"I",IF(I385&lt;=Нормативы!$L$64,"II",IF(I385&lt;=Нормативы!$L$65,"III",IF(I385&lt;=Нормативы!$L$66,"I юн",IF(I385&lt;=Нормативы!$L$67,"II юн",IF(I385&lt;=Нормативы!$L$68,"III юн","б/р")))))))))))</f>
        <v>III юн</v>
      </c>
    </row>
    <row r="386" spans="1:10" s="54" customFormat="1" x14ac:dyDescent="0.35">
      <c r="A386" s="14">
        <v>4</v>
      </c>
      <c r="B386" s="14" t="s">
        <v>38</v>
      </c>
      <c r="C386" s="214" t="s">
        <v>440</v>
      </c>
      <c r="E386" s="215">
        <v>42103</v>
      </c>
      <c r="F386" s="214" t="s">
        <v>172</v>
      </c>
      <c r="G386" s="216"/>
      <c r="H386" s="14"/>
      <c r="I386" s="217">
        <v>102.25</v>
      </c>
      <c r="J386" s="59" t="str">
        <f>IF(ISBLANK(I386)," ",IF(ISTEXT(I386)," ",IF(I386&lt;=Нормативы!$H$60,"КМС",IF(I386&lt;=Нормативы!$H$61,"КМС",IF(I386&lt;=Нормативы!$L$62,"КМС",IF(I386&lt;=Нормативы!$L$63,"I",IF(I386&lt;=Нормативы!$L$64,"II",IF(I386&lt;=Нормативы!$L$65,"III",IF(I386&lt;=Нормативы!$L$66,"I юн",IF(I386&lt;=Нормативы!$L$67,"II юн",IF(I386&lt;=Нормативы!$L$68,"III юн","б/р")))))))))))</f>
        <v>III юн</v>
      </c>
    </row>
    <row r="387" spans="1:10" s="54" customFormat="1" x14ac:dyDescent="0.35">
      <c r="A387" s="14">
        <v>5</v>
      </c>
      <c r="B387" s="14" t="s">
        <v>22</v>
      </c>
      <c r="C387" s="214" t="s">
        <v>445</v>
      </c>
      <c r="E387" s="227">
        <v>42502</v>
      </c>
      <c r="F387" s="214" t="s">
        <v>172</v>
      </c>
      <c r="G387" s="216"/>
      <c r="H387" s="14"/>
      <c r="I387" s="217">
        <v>102.83</v>
      </c>
      <c r="J387" s="59" t="str">
        <f>IF(ISBLANK(I387)," ",IF(ISTEXT(I387)," ",IF(I387&lt;=Нормативы!$H$60,"КМС",IF(I387&lt;=Нормативы!$H$61,"КМС",IF(I387&lt;=Нормативы!$L$62,"КМС",IF(I387&lt;=Нормативы!$L$63,"I",IF(I387&lt;=Нормативы!$L$64,"II",IF(I387&lt;=Нормативы!$L$65,"III",IF(I387&lt;=Нормативы!$L$66,"I юн",IF(I387&lt;=Нормативы!$L$67,"II юн",IF(I387&lt;=Нормативы!$L$68,"III юн","б/р")))))))))))</f>
        <v>III юн</v>
      </c>
    </row>
    <row r="388" spans="1:10" s="54" customFormat="1" x14ac:dyDescent="0.35">
      <c r="A388" s="14">
        <v>6</v>
      </c>
      <c r="B388" s="218" t="s">
        <v>23</v>
      </c>
      <c r="C388" s="214" t="s">
        <v>398</v>
      </c>
      <c r="E388" s="215">
        <v>42256</v>
      </c>
      <c r="F388" s="214" t="s">
        <v>193</v>
      </c>
      <c r="G388" s="216"/>
      <c r="H388" s="14"/>
      <c r="I388" s="217">
        <v>104.5</v>
      </c>
      <c r="J388" s="59" t="str">
        <f>IF(ISBLANK(I388)," ",IF(ISTEXT(I388)," ",IF(I388&lt;=Нормативы!$H$60,"КМС",IF(I388&lt;=Нормативы!$H$61,"КМС",IF(I388&lt;=Нормативы!$L$62,"КМС",IF(I388&lt;=Нормативы!$L$63,"I",IF(I388&lt;=Нормативы!$L$64,"II",IF(I388&lt;=Нормативы!$L$65,"III",IF(I388&lt;=Нормативы!$L$66,"I юн",IF(I388&lt;=Нормативы!$L$67,"II юн",IF(I388&lt;=Нормативы!$L$68,"III юн","б/р")))))))))))</f>
        <v>б/р</v>
      </c>
    </row>
    <row r="389" spans="1:10" s="54" customFormat="1" x14ac:dyDescent="0.35">
      <c r="A389" s="14">
        <v>7</v>
      </c>
      <c r="B389" s="218" t="s">
        <v>26</v>
      </c>
      <c r="C389" s="214" t="s">
        <v>342</v>
      </c>
      <c r="E389" s="215">
        <v>42609</v>
      </c>
      <c r="F389" s="214" t="s">
        <v>198</v>
      </c>
      <c r="G389" s="216"/>
      <c r="H389" s="14"/>
      <c r="I389" s="217">
        <v>109.37</v>
      </c>
      <c r="J389" s="59" t="str">
        <f>IF(ISBLANK(I389)," ",IF(ISTEXT(I389)," ",IF(I389&lt;=Нормативы!$H$60,"КМС",IF(I389&lt;=Нормативы!$H$61,"КМС",IF(I389&lt;=Нормативы!$L$62,"КМС",IF(I389&lt;=Нормативы!$L$63,"I",IF(I389&lt;=Нормативы!$L$64,"II",IF(I389&lt;=Нормативы!$L$65,"III",IF(I389&lt;=Нормативы!$L$66,"I юн",IF(I389&lt;=Нормативы!$L$67,"II юн",IF(I389&lt;=Нормативы!$L$68,"III юн","б/р")))))))))))</f>
        <v>б/р</v>
      </c>
    </row>
    <row r="390" spans="1:10" s="54" customFormat="1" x14ac:dyDescent="0.35">
      <c r="A390" s="14">
        <v>8</v>
      </c>
      <c r="B390" s="218" t="s">
        <v>23</v>
      </c>
      <c r="C390" s="214" t="s">
        <v>293</v>
      </c>
      <c r="E390" s="215">
        <v>42053</v>
      </c>
      <c r="F390" s="214" t="s">
        <v>198</v>
      </c>
      <c r="G390" s="216"/>
      <c r="H390" s="14"/>
      <c r="I390" s="217">
        <v>110.65</v>
      </c>
      <c r="J390" s="59" t="str">
        <f>IF(ISBLANK(I390)," ",IF(ISTEXT(I390)," ",IF(I390&lt;=Нормативы!$H$60,"КМС",IF(I390&lt;=Нормативы!$H$61,"КМС",IF(I390&lt;=Нормативы!$L$62,"КМС",IF(I390&lt;=Нормативы!$L$63,"I",IF(I390&lt;=Нормативы!$L$64,"II",IF(I390&lt;=Нормативы!$L$65,"III",IF(I390&lt;=Нормативы!$L$66,"I юн",IF(I390&lt;=Нормативы!$L$67,"II юн",IF(I390&lt;=Нормативы!$L$68,"III юн","б/р")))))))))))</f>
        <v>б/р</v>
      </c>
    </row>
    <row r="391" spans="1:10" s="54" customFormat="1" x14ac:dyDescent="0.35">
      <c r="A391" s="14">
        <v>9</v>
      </c>
      <c r="B391" s="218" t="s">
        <v>23</v>
      </c>
      <c r="C391" s="214" t="s">
        <v>459</v>
      </c>
      <c r="E391" s="208">
        <v>42601</v>
      </c>
      <c r="F391" s="214" t="s">
        <v>172</v>
      </c>
      <c r="G391" s="216"/>
      <c r="H391" s="14"/>
      <c r="I391" s="217">
        <v>113.54</v>
      </c>
      <c r="J391" s="59" t="str">
        <f>IF(ISBLANK(I391)," ",IF(ISTEXT(I391)," ",IF(I391&lt;=Нормативы!$H$60,"КМС",IF(I391&lt;=Нормативы!$H$61,"КМС",IF(I391&lt;=Нормативы!$L$62,"КМС",IF(I391&lt;=Нормативы!$L$63,"I",IF(I391&lt;=Нормативы!$L$64,"II",IF(I391&lt;=Нормативы!$L$65,"III",IF(I391&lt;=Нормативы!$L$66,"I юн",IF(I391&lt;=Нормативы!$L$67,"II юн",IF(I391&lt;=Нормативы!$L$68,"III юн","б/р")))))))))))</f>
        <v>б/р</v>
      </c>
    </row>
    <row r="392" spans="1:10" s="54" customFormat="1" x14ac:dyDescent="0.35">
      <c r="A392" s="14">
        <v>10</v>
      </c>
      <c r="B392" s="218" t="s">
        <v>26</v>
      </c>
      <c r="C392" s="214" t="s">
        <v>343</v>
      </c>
      <c r="E392" s="215">
        <v>42072</v>
      </c>
      <c r="F392" s="214" t="s">
        <v>198</v>
      </c>
      <c r="G392" s="216"/>
      <c r="H392" s="14"/>
      <c r="I392" s="217">
        <v>117.29</v>
      </c>
      <c r="J392" s="59" t="str">
        <f>IF(ISBLANK(I392)," ",IF(ISTEXT(I392)," ",IF(I392&lt;=Нормативы!$H$60,"КМС",IF(I392&lt;=Нормативы!$H$61,"КМС",IF(I392&lt;=Нормативы!$L$62,"КМС",IF(I392&lt;=Нормативы!$L$63,"I",IF(I392&lt;=Нормативы!$L$64,"II",IF(I392&lt;=Нормативы!$L$65,"III",IF(I392&lt;=Нормативы!$L$66,"I юн",IF(I392&lt;=Нормативы!$L$67,"II юн",IF(I392&lt;=Нормативы!$L$68,"III юн","б/р")))))))))))</f>
        <v>б/р</v>
      </c>
    </row>
    <row r="393" spans="1:10" s="54" customFormat="1" x14ac:dyDescent="0.35">
      <c r="A393" s="14"/>
      <c r="B393" s="218" t="s">
        <v>26</v>
      </c>
      <c r="C393" s="214" t="s">
        <v>349</v>
      </c>
      <c r="E393" s="215">
        <v>42636</v>
      </c>
      <c r="F393" s="214" t="s">
        <v>198</v>
      </c>
      <c r="G393" s="216"/>
      <c r="H393" s="14"/>
      <c r="I393" s="217" t="s">
        <v>191</v>
      </c>
      <c r="J393" s="59" t="str">
        <f>IF(ISBLANK(I393)," ",IF(ISTEXT(I393)," ",IF(I393&lt;=Нормативы!$H$60,"КМС",IF(I393&lt;=Нормативы!$H$61,"КМС",IF(I393&lt;=Нормативы!$L$62,"КМС",IF(I393&lt;=Нормативы!$L$63,"I",IF(I393&lt;=Нормативы!$L$64,"II",IF(I393&lt;=Нормативы!$L$65,"III",IF(I393&lt;=Нормативы!$L$66,"I юн",IF(I393&lt;=Нормативы!$L$67,"II юн",IF(I393&lt;=Нормативы!$L$68,"III юн","б/р")))))))))))</f>
        <v xml:space="preserve"> </v>
      </c>
    </row>
    <row r="394" spans="1:10" s="54" customFormat="1" x14ac:dyDescent="0.35">
      <c r="A394" s="14"/>
      <c r="B394" s="14"/>
      <c r="C394" s="222"/>
      <c r="E394" s="227"/>
      <c r="F394" s="214"/>
      <c r="G394" s="216"/>
      <c r="H394" s="14"/>
      <c r="I394" s="217"/>
      <c r="J394" s="59" t="str">
        <f>IF(ISBLANK(I394)," ",IF(ISTEXT(I394)," ",IF(I394&lt;=Нормативы!$H$60,"КМС",IF(I394&lt;=Нормативы!$H$61,"КМС",IF(I394&lt;=Нормативы!$L$62,"КМС",IF(I394&lt;=Нормативы!$L$63,"I",IF(I394&lt;=Нормативы!$L$64,"II",IF(I394&lt;=Нормативы!$L$65,"III",IF(I394&lt;=Нормативы!$L$66,"I юн",IF(I394&lt;=Нормативы!$L$67,"II юн",IF(I394&lt;=Нормативы!$L$68,"III юн","б/р")))))))))))</f>
        <v xml:space="preserve"> </v>
      </c>
    </row>
    <row r="395" spans="1:10" s="54" customFormat="1" x14ac:dyDescent="0.35">
      <c r="A395" s="221" t="s">
        <v>233</v>
      </c>
      <c r="B395" s="218"/>
      <c r="C395" s="214"/>
      <c r="E395" s="215"/>
      <c r="F395" s="214"/>
      <c r="G395" s="216"/>
      <c r="H395" s="14"/>
      <c r="I395" s="217"/>
      <c r="J395" s="59" t="str">
        <f>IF(ISBLANK(I395)," ",IF(ISTEXT(I395)," ",IF(I395&lt;=Нормативы!$H$60,"КМС",IF(I395&lt;=Нормативы!$H$61,"КМС",IF(I395&lt;=Нормативы!$L$62,"КМС",IF(I395&lt;=Нормативы!$L$63,"I",IF(I395&lt;=Нормативы!$L$64,"II",IF(I395&lt;=Нормативы!$L$65,"III",IF(I395&lt;=Нормативы!$L$66,"I юн",IF(I395&lt;=Нормативы!$L$67,"II юн",IF(I395&lt;=Нормативы!$L$68,"III юн","б/р")))))))))))</f>
        <v xml:space="preserve"> </v>
      </c>
    </row>
    <row r="396" spans="1:10" s="54" customFormat="1" x14ac:dyDescent="0.35">
      <c r="A396" s="14">
        <v>1</v>
      </c>
      <c r="B396" s="14" t="s">
        <v>22</v>
      </c>
      <c r="C396" s="214" t="s">
        <v>453</v>
      </c>
      <c r="E396" s="215">
        <v>42918</v>
      </c>
      <c r="F396" s="214" t="s">
        <v>172</v>
      </c>
      <c r="G396" s="216"/>
      <c r="H396" s="14"/>
      <c r="I396" s="217">
        <v>112.4</v>
      </c>
      <c r="J396" s="59" t="str">
        <f>IF(ISBLANK(I396)," ",IF(ISTEXT(I396)," ",IF(I396&lt;=Нормативы!$H$60,"КМС",IF(I396&lt;=Нормативы!$H$61,"КМС",IF(I396&lt;=Нормативы!$L$62,"КМС",IF(I396&lt;=Нормативы!$L$63,"I",IF(I396&lt;=Нормативы!$L$64,"II",IF(I396&lt;=Нормативы!$L$65,"III",IF(I396&lt;=Нормативы!$L$66,"I юн",IF(I396&lt;=Нормативы!$L$67,"II юн",IF(I396&lt;=Нормативы!$L$68,"III юн","б/р")))))))))))</f>
        <v>б/р</v>
      </c>
    </row>
    <row r="397" spans="1:10" s="54" customFormat="1" x14ac:dyDescent="0.35">
      <c r="A397" s="14">
        <v>2</v>
      </c>
      <c r="B397" s="218" t="s">
        <v>26</v>
      </c>
      <c r="C397" s="214" t="s">
        <v>456</v>
      </c>
      <c r="E397" s="208">
        <v>43166</v>
      </c>
      <c r="F397" s="214" t="s">
        <v>172</v>
      </c>
      <c r="G397" s="216"/>
      <c r="H397" s="14"/>
      <c r="I397" s="217">
        <v>134.46</v>
      </c>
      <c r="J397" s="59" t="str">
        <f>IF(ISBLANK(I397)," ",IF(ISTEXT(I397)," ",IF(I397&lt;=Нормативы!$H$60,"КМС",IF(I397&lt;=Нормативы!$H$61,"КМС",IF(I397&lt;=Нормативы!$L$62,"КМС",IF(I397&lt;=Нормативы!$L$63,"I",IF(I397&lt;=Нормативы!$L$64,"II",IF(I397&lt;=Нормативы!$L$65,"III",IF(I397&lt;=Нормативы!$L$66,"I юн",IF(I397&lt;=Нормативы!$L$67,"II юн",IF(I397&lt;=Нормативы!$L$68,"III юн","б/р")))))))))))</f>
        <v>б/р</v>
      </c>
    </row>
    <row r="398" spans="1:10" s="54" customFormat="1" x14ac:dyDescent="0.35">
      <c r="A398" s="14">
        <v>3</v>
      </c>
      <c r="B398" s="218" t="s">
        <v>26</v>
      </c>
      <c r="C398" s="214" t="s">
        <v>309</v>
      </c>
      <c r="E398" s="215">
        <v>43574</v>
      </c>
      <c r="F398" s="214" t="s">
        <v>198</v>
      </c>
      <c r="G398" s="216"/>
      <c r="H398" s="14"/>
      <c r="I398" s="217">
        <v>135.6</v>
      </c>
      <c r="J398" s="59" t="str">
        <f>IF(ISBLANK(I398)," ",IF(ISTEXT(I398)," ",IF(I398&lt;=Нормативы!$H$60,"КМС",IF(I398&lt;=Нормативы!$H$61,"КМС",IF(I398&lt;=Нормативы!$L$62,"КМС",IF(I398&lt;=Нормативы!$L$63,"I",IF(I398&lt;=Нормативы!$L$64,"II",IF(I398&lt;=Нормативы!$L$65,"III",IF(I398&lt;=Нормативы!$L$66,"I юн",IF(I398&lt;=Нормативы!$L$67,"II юн",IF(I398&lt;=Нормативы!$L$68,"III юн","б/р")))))))))))</f>
        <v>б/р</v>
      </c>
    </row>
    <row r="399" spans="1:10" s="54" customFormat="1" x14ac:dyDescent="0.35">
      <c r="A399" s="124"/>
      <c r="I399" s="117"/>
    </row>
    <row r="400" spans="1:10" s="54" customFormat="1" x14ac:dyDescent="0.35">
      <c r="A400" s="124"/>
      <c r="I400" s="117"/>
    </row>
    <row r="401" spans="1:10" s="54" customFormat="1" x14ac:dyDescent="0.35">
      <c r="A401" s="124"/>
      <c r="I401" s="117"/>
    </row>
    <row r="402" spans="1:10" s="54" customFormat="1" x14ac:dyDescent="0.35">
      <c r="A402" s="124"/>
      <c r="I402" s="117"/>
    </row>
    <row r="403" spans="1:10" s="54" customFormat="1" x14ac:dyDescent="0.35">
      <c r="A403" s="221" t="s">
        <v>222</v>
      </c>
      <c r="B403" s="14"/>
      <c r="C403" s="214"/>
      <c r="E403" s="215"/>
      <c r="F403" s="214"/>
      <c r="G403" s="216"/>
      <c r="H403" s="14"/>
      <c r="I403" s="217"/>
      <c r="J403" s="59" t="str">
        <f>IF(ISBLANK(I403)," ",IF(ISTEXT(I403)," ",IF(I403&lt;=Нормативы!$H$115,"КМС",IF(I403&lt;=Нормативы!$H$116,"КМС",IF(I403&lt;=Нормативы!$L$117,"КМС",IF(I403&lt;=Нормативы!$L$118,"I",IF(I403&lt;=Нормативы!$L$119,"II",IF(I403&lt;=Нормативы!$L$120,"III",IF(I403&lt;=Нормативы!$L$121,"I юн",IF(I403&lt;=Нормативы!$L$122,"II юн",IF(I403&lt;=Нормативы!$L$123,"III юн","б/р")))))))))))</f>
        <v xml:space="preserve"> </v>
      </c>
    </row>
    <row r="404" spans="1:10" s="54" customFormat="1" x14ac:dyDescent="0.35">
      <c r="A404" s="14">
        <v>1</v>
      </c>
      <c r="B404" s="14" t="s">
        <v>38</v>
      </c>
      <c r="C404" s="214" t="s">
        <v>383</v>
      </c>
      <c r="E404" s="215">
        <v>42198</v>
      </c>
      <c r="F404" s="214" t="s">
        <v>193</v>
      </c>
      <c r="G404" s="216"/>
      <c r="H404" s="14"/>
      <c r="I404" s="217">
        <v>225.55</v>
      </c>
      <c r="J404" s="59" t="str">
        <f>IF(ISBLANK(I404)," ",IF(ISTEXT(I404)," ",IF(I404&lt;=Нормативы!$H$115,"КМС",IF(I404&lt;=Нормативы!$H$116,"КМС",IF(I404&lt;=Нормативы!$L$117,"КМС",IF(I404&lt;=Нормативы!$L$118,"I",IF(I404&lt;=Нормативы!$L$119,"II",IF(I404&lt;=Нормативы!$L$120,"III",IF(I404&lt;=Нормативы!$L$121,"I юн",IF(I404&lt;=Нормативы!$L$122,"II юн",IF(I404&lt;=Нормативы!$L$123,"III юн","б/р")))))))))))</f>
        <v>III</v>
      </c>
    </row>
    <row r="405" spans="1:10" s="54" customFormat="1" x14ac:dyDescent="0.35">
      <c r="A405" s="14">
        <v>2</v>
      </c>
      <c r="B405" s="14" t="s">
        <v>38</v>
      </c>
      <c r="C405" s="214" t="s">
        <v>283</v>
      </c>
      <c r="E405" s="215">
        <v>42028</v>
      </c>
      <c r="F405" s="214" t="s">
        <v>198</v>
      </c>
      <c r="G405" s="216"/>
      <c r="H405" s="14"/>
      <c r="I405" s="217">
        <v>227.86</v>
      </c>
      <c r="J405" s="59" t="str">
        <f>IF(ISBLANK(I405)," ",IF(ISTEXT(I405)," ",IF(I405&lt;=Нормативы!$H$115,"КМС",IF(I405&lt;=Нормативы!$H$116,"КМС",IF(I405&lt;=Нормативы!$L$117,"КМС",IF(I405&lt;=Нормативы!$L$118,"I",IF(I405&lt;=Нормативы!$L$119,"II",IF(I405&lt;=Нормативы!$L$120,"III",IF(I405&lt;=Нормативы!$L$121,"I юн",IF(I405&lt;=Нормативы!$L$122,"II юн",IF(I405&lt;=Нормативы!$L$123,"III юн","б/р")))))))))))</f>
        <v>I юн</v>
      </c>
    </row>
    <row r="406" spans="1:10" s="54" customFormat="1" x14ac:dyDescent="0.35">
      <c r="A406" s="14">
        <v>3</v>
      </c>
      <c r="B406" s="14" t="s">
        <v>38</v>
      </c>
      <c r="C406" s="214" t="s">
        <v>426</v>
      </c>
      <c r="E406" s="215">
        <v>42244</v>
      </c>
      <c r="F406" s="214" t="s">
        <v>172</v>
      </c>
      <c r="G406" s="216"/>
      <c r="H406" s="14"/>
      <c r="I406" s="217">
        <v>232.27</v>
      </c>
      <c r="J406" s="59" t="str">
        <f>IF(ISBLANK(I406)," ",IF(ISTEXT(I406)," ",IF(I406&lt;=Нормативы!$H$115,"КМС",IF(I406&lt;=Нормативы!$H$116,"КМС",IF(I406&lt;=Нормативы!$L$117,"КМС",IF(I406&lt;=Нормативы!$L$118,"I",IF(I406&lt;=Нормативы!$L$119,"II",IF(I406&lt;=Нормативы!$L$120,"III",IF(I406&lt;=Нормативы!$L$121,"I юн",IF(I406&lt;=Нормативы!$L$122,"II юн",IF(I406&lt;=Нормативы!$L$123,"III юн","б/р")))))))))))</f>
        <v>I юн</v>
      </c>
    </row>
    <row r="407" spans="1:10" s="54" customFormat="1" x14ac:dyDescent="0.35">
      <c r="A407" s="14">
        <v>4</v>
      </c>
      <c r="B407" s="14" t="s">
        <v>22</v>
      </c>
      <c r="C407" s="214" t="s">
        <v>382</v>
      </c>
      <c r="E407" s="215">
        <v>42114</v>
      </c>
      <c r="F407" s="214" t="s">
        <v>193</v>
      </c>
      <c r="G407" s="216"/>
      <c r="H407" s="14"/>
      <c r="I407" s="217">
        <v>236.24</v>
      </c>
      <c r="J407" s="59" t="str">
        <f>IF(ISBLANK(I407)," ",IF(ISTEXT(I407)," ",IF(I407&lt;=Нормативы!$H$115,"КМС",IF(I407&lt;=Нормативы!$H$116,"КМС",IF(I407&lt;=Нормативы!$L$117,"КМС",IF(I407&lt;=Нормативы!$L$118,"I",IF(I407&lt;=Нормативы!$L$119,"II",IF(I407&lt;=Нормативы!$L$120,"III",IF(I407&lt;=Нормативы!$L$121,"I юн",IF(I407&lt;=Нормативы!$L$122,"II юн",IF(I407&lt;=Нормативы!$L$123,"III юн","б/р")))))))))))</f>
        <v>I юн</v>
      </c>
    </row>
    <row r="408" spans="1:10" s="54" customFormat="1" x14ac:dyDescent="0.35">
      <c r="A408" s="14">
        <v>5</v>
      </c>
      <c r="B408" s="14" t="s">
        <v>22</v>
      </c>
      <c r="C408" s="214" t="s">
        <v>384</v>
      </c>
      <c r="E408" s="215">
        <v>42450</v>
      </c>
      <c r="F408" s="214" t="s">
        <v>193</v>
      </c>
      <c r="G408" s="216"/>
      <c r="H408" s="14"/>
      <c r="I408" s="217">
        <v>236.55</v>
      </c>
      <c r="J408" s="59" t="str">
        <f>IF(ISBLANK(I408)," ",IF(ISTEXT(I408)," ",IF(I408&lt;=Нормативы!$H$115,"КМС",IF(I408&lt;=Нормативы!$H$116,"КМС",IF(I408&lt;=Нормативы!$L$117,"КМС",IF(I408&lt;=Нормативы!$L$118,"I",IF(I408&lt;=Нормативы!$L$119,"II",IF(I408&lt;=Нормативы!$L$120,"III",IF(I408&lt;=Нормативы!$L$121,"I юн",IF(I408&lt;=Нормативы!$L$122,"II юн",IF(I408&lt;=Нормативы!$L$123,"III юн","б/р")))))))))))</f>
        <v>I юн</v>
      </c>
    </row>
    <row r="409" spans="1:10" s="54" customFormat="1" x14ac:dyDescent="0.35">
      <c r="A409" s="14">
        <v>6</v>
      </c>
      <c r="B409" s="218" t="s">
        <v>23</v>
      </c>
      <c r="C409" s="214" t="s">
        <v>331</v>
      </c>
      <c r="E409" s="215">
        <v>42375</v>
      </c>
      <c r="F409" s="214" t="s">
        <v>198</v>
      </c>
      <c r="G409" s="216"/>
      <c r="H409" s="14"/>
      <c r="I409" s="217">
        <v>238.51</v>
      </c>
      <c r="J409" s="59" t="str">
        <f>IF(ISBLANK(I409)," ",IF(ISTEXT(I409)," ",IF(I409&lt;=Нормативы!$H$115,"КМС",IF(I409&lt;=Нормативы!$H$116,"КМС",IF(I409&lt;=Нормативы!$L$117,"КМС",IF(I409&lt;=Нормативы!$L$118,"I",IF(I409&lt;=Нормативы!$L$119,"II",IF(I409&lt;=Нормативы!$L$120,"III",IF(I409&lt;=Нормативы!$L$121,"I юн",IF(I409&lt;=Нормативы!$L$122,"II юн",IF(I409&lt;=Нормативы!$L$123,"III юн","б/р")))))))))))</f>
        <v>I юн</v>
      </c>
    </row>
    <row r="410" spans="1:10" s="54" customFormat="1" x14ac:dyDescent="0.35">
      <c r="A410" s="14">
        <v>7</v>
      </c>
      <c r="B410" s="14" t="s">
        <v>22</v>
      </c>
      <c r="C410" s="214" t="s">
        <v>321</v>
      </c>
      <c r="E410" s="215">
        <v>42038</v>
      </c>
      <c r="F410" s="214" t="s">
        <v>198</v>
      </c>
      <c r="G410" s="216"/>
      <c r="H410" s="14"/>
      <c r="I410" s="217">
        <v>250.79</v>
      </c>
      <c r="J410" s="59" t="str">
        <f>IF(ISBLANK(I410)," ",IF(ISTEXT(I410)," ",IF(I410&lt;=Нормативы!$H$115,"КМС",IF(I410&lt;=Нормативы!$H$116,"КМС",IF(I410&lt;=Нормативы!$L$117,"КМС",IF(I410&lt;=Нормативы!$L$118,"I",IF(I410&lt;=Нормативы!$L$119,"II",IF(I410&lt;=Нормативы!$L$120,"III",IF(I410&lt;=Нормативы!$L$121,"I юн",IF(I410&lt;=Нормативы!$L$122,"II юн",IF(I410&lt;=Нормативы!$L$123,"III юн","б/р")))))))))))</f>
        <v>II юн</v>
      </c>
    </row>
    <row r="411" spans="1:10" s="54" customFormat="1" x14ac:dyDescent="0.35">
      <c r="A411" s="14">
        <v>8</v>
      </c>
      <c r="B411" s="218" t="s">
        <v>23</v>
      </c>
      <c r="C411" s="214" t="s">
        <v>385</v>
      </c>
      <c r="E411" s="215">
        <v>42078</v>
      </c>
      <c r="F411" s="214" t="s">
        <v>245</v>
      </c>
      <c r="G411" s="216"/>
      <c r="H411" s="14"/>
      <c r="I411" s="217">
        <v>253.71</v>
      </c>
      <c r="J411" s="59" t="str">
        <f>IF(ISBLANK(I411)," ",IF(ISTEXT(I411)," ",IF(I411&lt;=Нормативы!$H$115,"КМС",IF(I411&lt;=Нормативы!$H$116,"КМС",IF(I411&lt;=Нормативы!$L$117,"КМС",IF(I411&lt;=Нормативы!$L$118,"I",IF(I411&lt;=Нормативы!$L$119,"II",IF(I411&lt;=Нормативы!$L$120,"III",IF(I411&lt;=Нормативы!$L$121,"I юн",IF(I411&lt;=Нормативы!$L$122,"II юн",IF(I411&lt;=Нормативы!$L$123,"III юн","б/р")))))))))))</f>
        <v>II юн</v>
      </c>
    </row>
    <row r="412" spans="1:10" s="54" customFormat="1" x14ac:dyDescent="0.35">
      <c r="A412" s="14">
        <v>9</v>
      </c>
      <c r="B412" s="218" t="s">
        <v>23</v>
      </c>
      <c r="C412" s="214" t="s">
        <v>332</v>
      </c>
      <c r="E412" s="215">
        <v>42323</v>
      </c>
      <c r="F412" s="214" t="s">
        <v>198</v>
      </c>
      <c r="G412" s="216"/>
      <c r="H412" s="14"/>
      <c r="I412" s="217">
        <v>300.25</v>
      </c>
      <c r="J412" s="59" t="str">
        <f>IF(ISBLANK(I412)," ",IF(ISTEXT(I412)," ",IF(I412&lt;=Нормативы!$H$115,"КМС",IF(I412&lt;=Нормативы!$H$116,"КМС",IF(I412&lt;=Нормативы!$L$117,"КМС",IF(I412&lt;=Нормативы!$L$118,"I",IF(I412&lt;=Нормативы!$L$119,"II",IF(I412&lt;=Нормативы!$L$120,"III",IF(I412&lt;=Нормативы!$L$121,"I юн",IF(I412&lt;=Нормативы!$L$122,"II юн",IF(I412&lt;=Нормативы!$L$123,"III юн","б/р")))))))))))</f>
        <v>III юн</v>
      </c>
    </row>
    <row r="413" spans="1:10" s="54" customFormat="1" x14ac:dyDescent="0.35">
      <c r="A413" s="14">
        <v>10</v>
      </c>
      <c r="B413" s="218" t="s">
        <v>26</v>
      </c>
      <c r="C413" s="214" t="s">
        <v>337</v>
      </c>
      <c r="E413" s="215">
        <v>42525</v>
      </c>
      <c r="F413" s="214" t="s">
        <v>198</v>
      </c>
      <c r="G413" s="216"/>
      <c r="H413" s="14"/>
      <c r="I413" s="217">
        <v>302.19</v>
      </c>
      <c r="J413" s="59" t="str">
        <f>IF(ISBLANK(I413)," ",IF(ISTEXT(I413)," ",IF(I413&lt;=Нормативы!$H$115,"КМС",IF(I413&lt;=Нормативы!$H$116,"КМС",IF(I413&lt;=Нормативы!$L$117,"КМС",IF(I413&lt;=Нормативы!$L$118,"I",IF(I413&lt;=Нормативы!$L$119,"II",IF(I413&lt;=Нормативы!$L$120,"III",IF(I413&lt;=Нормативы!$L$121,"I юн",IF(I413&lt;=Нормативы!$L$122,"II юн",IF(I413&lt;=Нормативы!$L$123,"III юн","б/р")))))))))))</f>
        <v>III юн</v>
      </c>
    </row>
    <row r="414" spans="1:10" s="54" customFormat="1" x14ac:dyDescent="0.35">
      <c r="A414" s="14">
        <v>11</v>
      </c>
      <c r="B414" s="218" t="s">
        <v>23</v>
      </c>
      <c r="C414" s="214" t="s">
        <v>317</v>
      </c>
      <c r="E414" s="215">
        <v>42046</v>
      </c>
      <c r="F414" s="214" t="s">
        <v>198</v>
      </c>
      <c r="G414" s="216"/>
      <c r="H414" s="14"/>
      <c r="I414" s="217">
        <v>302.44</v>
      </c>
      <c r="J414" s="59" t="str">
        <f>IF(ISBLANK(I414)," ",IF(ISTEXT(I414)," ",IF(I414&lt;=Нормативы!$H$115,"КМС",IF(I414&lt;=Нормативы!$H$116,"КМС",IF(I414&lt;=Нормативы!$L$117,"КМС",IF(I414&lt;=Нормативы!$L$118,"I",IF(I414&lt;=Нормативы!$L$119,"II",IF(I414&lt;=Нормативы!$L$120,"III",IF(I414&lt;=Нормативы!$L$121,"I юн",IF(I414&lt;=Нормативы!$L$122,"II юн",IF(I414&lt;=Нормативы!$L$123,"III юн","б/р")))))))))))</f>
        <v>III юн</v>
      </c>
    </row>
    <row r="415" spans="1:10" s="54" customFormat="1" x14ac:dyDescent="0.35">
      <c r="A415" s="14">
        <v>12</v>
      </c>
      <c r="B415" s="218" t="s">
        <v>23</v>
      </c>
      <c r="C415" s="214" t="s">
        <v>375</v>
      </c>
      <c r="E415" s="215">
        <v>42314</v>
      </c>
      <c r="F415" s="214" t="s">
        <v>176</v>
      </c>
      <c r="G415" s="216"/>
      <c r="H415" s="14"/>
      <c r="I415" s="217">
        <v>304.02999999999997</v>
      </c>
      <c r="J415" s="59" t="str">
        <f>IF(ISBLANK(I415)," ",IF(ISTEXT(I415)," ",IF(I415&lt;=Нормативы!$H$115,"КМС",IF(I415&lt;=Нормативы!$H$116,"КМС",IF(I415&lt;=Нормативы!$L$117,"КМС",IF(I415&lt;=Нормативы!$L$118,"I",IF(I415&lt;=Нормативы!$L$119,"II",IF(I415&lt;=Нормативы!$L$120,"III",IF(I415&lt;=Нормативы!$L$121,"I юн",IF(I415&lt;=Нормативы!$L$122,"II юн",IF(I415&lt;=Нормативы!$L$123,"III юн","б/р")))))))))))</f>
        <v>III юн</v>
      </c>
    </row>
    <row r="416" spans="1:10" s="54" customFormat="1" x14ac:dyDescent="0.35">
      <c r="A416" s="14">
        <v>13</v>
      </c>
      <c r="B416" s="218" t="s">
        <v>23</v>
      </c>
      <c r="C416" s="214" t="s">
        <v>377</v>
      </c>
      <c r="E416" s="215">
        <v>42091</v>
      </c>
      <c r="F416" s="214" t="s">
        <v>176</v>
      </c>
      <c r="G416" s="216"/>
      <c r="H416" s="14"/>
      <c r="I416" s="217">
        <v>305.14</v>
      </c>
      <c r="J416" s="59" t="str">
        <f>IF(ISBLANK(I416)," ",IF(ISTEXT(I416)," ",IF(I416&lt;=Нормативы!$H$115,"КМС",IF(I416&lt;=Нормативы!$H$116,"КМС",IF(I416&lt;=Нормативы!$L$117,"КМС",IF(I416&lt;=Нормативы!$L$118,"I",IF(I416&lt;=Нормативы!$L$119,"II",IF(I416&lt;=Нормативы!$L$120,"III",IF(I416&lt;=Нормативы!$L$121,"I юн",IF(I416&lt;=Нормативы!$L$122,"II юн",IF(I416&lt;=Нормативы!$L$123,"III юн","б/р")))))))))))</f>
        <v>III юн</v>
      </c>
    </row>
    <row r="417" spans="1:10" s="54" customFormat="1" x14ac:dyDescent="0.35">
      <c r="A417" s="14">
        <v>14</v>
      </c>
      <c r="B417" s="218" t="s">
        <v>23</v>
      </c>
      <c r="C417" s="214" t="s">
        <v>376</v>
      </c>
      <c r="E417" s="215">
        <v>42457</v>
      </c>
      <c r="F417" s="214" t="s">
        <v>176</v>
      </c>
      <c r="G417" s="216"/>
      <c r="H417" s="14"/>
      <c r="I417" s="217">
        <v>306.11</v>
      </c>
      <c r="J417" s="59" t="str">
        <f>IF(ISBLANK(I417)," ",IF(ISTEXT(I417)," ",IF(I417&lt;=Нормативы!$H$115,"КМС",IF(I417&lt;=Нормативы!$H$116,"КМС",IF(I417&lt;=Нормативы!$L$117,"КМС",IF(I417&lt;=Нормативы!$L$118,"I",IF(I417&lt;=Нормативы!$L$119,"II",IF(I417&lt;=Нормативы!$L$120,"III",IF(I417&lt;=Нормативы!$L$121,"I юн",IF(I417&lt;=Нормативы!$L$122,"II юн",IF(I417&lt;=Нормативы!$L$123,"III юн","б/р")))))))))))</f>
        <v>III юн</v>
      </c>
    </row>
    <row r="418" spans="1:10" s="54" customFormat="1" x14ac:dyDescent="0.35">
      <c r="A418" s="14">
        <v>15</v>
      </c>
      <c r="B418" s="218" t="s">
        <v>26</v>
      </c>
      <c r="C418" s="214" t="s">
        <v>281</v>
      </c>
      <c r="E418" s="215">
        <v>42724</v>
      </c>
      <c r="F418" s="214" t="s">
        <v>198</v>
      </c>
      <c r="G418" s="216"/>
      <c r="H418" s="14"/>
      <c r="I418" s="217">
        <v>313.5</v>
      </c>
      <c r="J418" s="59" t="str">
        <f>IF(ISBLANK(I418)," ",IF(ISTEXT(I418)," ",IF(I418&lt;=Нормативы!$H$115,"КМС",IF(I418&lt;=Нормативы!$H$116,"КМС",IF(I418&lt;=Нормативы!$L$117,"КМС",IF(I418&lt;=Нормативы!$L$118,"I",IF(I418&lt;=Нормативы!$L$119,"II",IF(I418&lt;=Нормативы!$L$120,"III",IF(I418&lt;=Нормативы!$L$121,"I юн",IF(I418&lt;=Нормативы!$L$122,"II юн",IF(I418&lt;=Нормативы!$L$123,"III юн","б/р")))))))))))</f>
        <v>б/р</v>
      </c>
    </row>
    <row r="419" spans="1:10" s="54" customFormat="1" x14ac:dyDescent="0.35">
      <c r="A419" s="14">
        <v>16</v>
      </c>
      <c r="B419" s="218" t="s">
        <v>26</v>
      </c>
      <c r="C419" s="214" t="s">
        <v>336</v>
      </c>
      <c r="E419" s="215">
        <v>42470</v>
      </c>
      <c r="F419" s="214" t="s">
        <v>198</v>
      </c>
      <c r="G419" s="216"/>
      <c r="H419" s="14"/>
      <c r="I419" s="217">
        <v>318.45999999999998</v>
      </c>
      <c r="J419" s="59" t="str">
        <f>IF(ISBLANK(I419)," ",IF(ISTEXT(I419)," ",IF(I419&lt;=Нормативы!$H$115,"КМС",IF(I419&lt;=Нормативы!$H$116,"КМС",IF(I419&lt;=Нормативы!$L$117,"КМС",IF(I419&lt;=Нормативы!$L$118,"I",IF(I419&lt;=Нормативы!$L$119,"II",IF(I419&lt;=Нормативы!$L$120,"III",IF(I419&lt;=Нормативы!$L$121,"I юн",IF(I419&lt;=Нормативы!$L$122,"II юн",IF(I419&lt;=Нормативы!$L$123,"III юн","б/р")))))))))))</f>
        <v>б/р</v>
      </c>
    </row>
    <row r="420" spans="1:10" s="54" customFormat="1" x14ac:dyDescent="0.35">
      <c r="A420" s="14"/>
      <c r="B420" s="14"/>
      <c r="C420" s="222"/>
      <c r="E420" s="215"/>
      <c r="F420" s="214"/>
      <c r="G420" s="216"/>
      <c r="H420" s="14"/>
      <c r="I420" s="217"/>
      <c r="J420" s="117"/>
    </row>
    <row r="421" spans="1:10" s="54" customFormat="1" x14ac:dyDescent="0.35">
      <c r="A421" s="221" t="s">
        <v>223</v>
      </c>
      <c r="B421" s="14"/>
      <c r="C421" s="214"/>
      <c r="E421" s="227"/>
      <c r="F421" s="214"/>
      <c r="G421" s="216"/>
      <c r="H421" s="14"/>
      <c r="I421" s="217"/>
      <c r="J421" s="117"/>
    </row>
    <row r="422" spans="1:10" s="54" customFormat="1" x14ac:dyDescent="0.35">
      <c r="A422" s="14">
        <v>1</v>
      </c>
      <c r="B422" s="14" t="s">
        <v>38</v>
      </c>
      <c r="C422" s="214" t="s">
        <v>457</v>
      </c>
      <c r="E422" s="227">
        <v>42356</v>
      </c>
      <c r="F422" s="214" t="s">
        <v>172</v>
      </c>
      <c r="G422" s="216"/>
      <c r="H422" s="14"/>
      <c r="I422" s="217">
        <v>215.51</v>
      </c>
      <c r="J422" s="59" t="str">
        <f>IF(ISBLANK(I422)," ",IF(ISTEXT(I422)," ",IF(I422&lt;=Нормативы!$H$126,"КМС",IF(I422&lt;=Нормативы!$H$127,"КМС",IF(I422&lt;=Нормативы!$L$128,"КМС",IF(I422&lt;=Нормативы!$L$129,"I",IF(I422&lt;=Нормативы!$L$130,"II",IF(I422&lt;=Нормативы!$L$131,"III",IF(I422&lt;=Нормативы!$L$132,"I юн",IF(I422&lt;=Нормативы!$L$133,"II юн",IF(I422&lt;=Нормативы!$L$134,"III юн","б/р")))))))))))</f>
        <v>I юн</v>
      </c>
    </row>
    <row r="423" spans="1:10" s="54" customFormat="1" x14ac:dyDescent="0.35">
      <c r="A423" s="14">
        <v>2</v>
      </c>
      <c r="B423" s="14" t="s">
        <v>38</v>
      </c>
      <c r="C423" s="214" t="s">
        <v>386</v>
      </c>
      <c r="E423" s="215">
        <v>42060</v>
      </c>
      <c r="F423" s="214" t="s">
        <v>245</v>
      </c>
      <c r="G423" s="216"/>
      <c r="H423" s="14"/>
      <c r="I423" s="217">
        <v>220.98</v>
      </c>
      <c r="J423" s="59" t="str">
        <f>IF(ISBLANK(I423)," ",IF(ISTEXT(I423)," ",IF(I423&lt;=Нормативы!$H$126,"КМС",IF(I423&lt;=Нормативы!$H$127,"КМС",IF(I423&lt;=Нормативы!$L$128,"КМС",IF(I423&lt;=Нормативы!$L$129,"I",IF(I423&lt;=Нормативы!$L$130,"II",IF(I423&lt;=Нормативы!$L$131,"III",IF(I423&lt;=Нормативы!$L$132,"I юн",IF(I423&lt;=Нормативы!$L$133,"II юн",IF(I423&lt;=Нормативы!$L$134,"III юн","б/р")))))))))))</f>
        <v>I юн</v>
      </c>
    </row>
    <row r="424" spans="1:10" s="54" customFormat="1" x14ac:dyDescent="0.35">
      <c r="A424" s="14">
        <v>3</v>
      </c>
      <c r="B424" s="14" t="s">
        <v>38</v>
      </c>
      <c r="C424" s="214" t="s">
        <v>344</v>
      </c>
      <c r="E424" s="215">
        <v>42016</v>
      </c>
      <c r="F424" s="214" t="s">
        <v>198</v>
      </c>
      <c r="G424" s="216"/>
      <c r="H424" s="14"/>
      <c r="I424" s="217">
        <v>224.58</v>
      </c>
      <c r="J424" s="59" t="str">
        <f>IF(ISBLANK(I424)," ",IF(ISTEXT(I424)," ",IF(I424&lt;=Нормативы!$H$126,"КМС",IF(I424&lt;=Нормативы!$H$127,"КМС",IF(I424&lt;=Нормативы!$L$128,"КМС",IF(I424&lt;=Нормативы!$L$129,"I",IF(I424&lt;=Нормативы!$L$130,"II",IF(I424&lt;=Нормативы!$L$131,"III",IF(I424&lt;=Нормативы!$L$132,"I юн",IF(I424&lt;=Нормативы!$L$133,"II юн",IF(I424&lt;=Нормативы!$L$134,"III юн","б/р")))))))))))</f>
        <v>I юн</v>
      </c>
    </row>
    <row r="425" spans="1:10" s="54" customFormat="1" x14ac:dyDescent="0.35">
      <c r="A425" s="14">
        <v>4</v>
      </c>
      <c r="B425" s="218" t="s">
        <v>23</v>
      </c>
      <c r="C425" s="214" t="s">
        <v>310</v>
      </c>
      <c r="E425" s="215">
        <v>42169</v>
      </c>
      <c r="F425" s="214" t="s">
        <v>172</v>
      </c>
      <c r="G425" s="216"/>
      <c r="H425" s="14"/>
      <c r="I425" s="217">
        <v>237.73</v>
      </c>
      <c r="J425" s="59" t="str">
        <f>IF(ISBLANK(I425)," ",IF(ISTEXT(I425)," ",IF(I425&lt;=Нормативы!$H$126,"КМС",IF(I425&lt;=Нормативы!$H$127,"КМС",IF(I425&lt;=Нормативы!$L$128,"КМС",IF(I425&lt;=Нормативы!$L$129,"I",IF(I425&lt;=Нормативы!$L$130,"II",IF(I425&lt;=Нормативы!$L$131,"III",IF(I425&lt;=Нормативы!$L$132,"I юн",IF(I425&lt;=Нормативы!$L$133,"II юн",IF(I425&lt;=Нормативы!$L$134,"III юн","б/р")))))))))))</f>
        <v>II юн</v>
      </c>
    </row>
    <row r="426" spans="1:10" s="54" customFormat="1" x14ac:dyDescent="0.35">
      <c r="A426" s="14">
        <v>5</v>
      </c>
      <c r="B426" s="218" t="s">
        <v>23</v>
      </c>
      <c r="C426" s="214" t="s">
        <v>459</v>
      </c>
      <c r="E426" s="208">
        <v>42601</v>
      </c>
      <c r="F426" s="214" t="s">
        <v>172</v>
      </c>
      <c r="G426" s="216"/>
      <c r="H426" s="14"/>
      <c r="I426" s="217">
        <v>239.61</v>
      </c>
      <c r="J426" s="59" t="str">
        <f>IF(ISBLANK(I426)," ",IF(ISTEXT(I426)," ",IF(I426&lt;=Нормативы!$H$126,"КМС",IF(I426&lt;=Нормативы!$H$127,"КМС",IF(I426&lt;=Нормативы!$L$128,"КМС",IF(I426&lt;=Нормативы!$L$129,"I",IF(I426&lt;=Нормативы!$L$130,"II",IF(I426&lt;=Нормативы!$L$131,"III",IF(I426&lt;=Нормативы!$L$132,"I юн",IF(I426&lt;=Нормативы!$L$133,"II юн",IF(I426&lt;=Нормативы!$L$134,"III юн","б/р")))))))))))</f>
        <v>II юн</v>
      </c>
    </row>
    <row r="427" spans="1:10" s="54" customFormat="1" x14ac:dyDescent="0.35">
      <c r="A427" s="14">
        <v>6</v>
      </c>
      <c r="B427" s="14" t="s">
        <v>22</v>
      </c>
      <c r="C427" s="214" t="s">
        <v>391</v>
      </c>
      <c r="E427" s="215">
        <v>42075</v>
      </c>
      <c r="F427" s="214" t="s">
        <v>245</v>
      </c>
      <c r="G427" s="216"/>
      <c r="H427" s="14"/>
      <c r="I427" s="217">
        <v>240.57</v>
      </c>
      <c r="J427" s="59" t="str">
        <f>IF(ISBLANK(I427)," ",IF(ISTEXT(I427)," ",IF(I427&lt;=Нормативы!$H$126,"КМС",IF(I427&lt;=Нормативы!$H$127,"КМС",IF(I427&lt;=Нормативы!$L$128,"КМС",IF(I427&lt;=Нормативы!$L$129,"I",IF(I427&lt;=Нормативы!$L$130,"II",IF(I427&lt;=Нормативы!$L$131,"III",IF(I427&lt;=Нормативы!$L$132,"I юн",IF(I427&lt;=Нормативы!$L$133,"II юн",IF(I427&lt;=Нормативы!$L$134,"III юн","б/р")))))))))))</f>
        <v>III юн</v>
      </c>
    </row>
    <row r="428" spans="1:10" s="54" customFormat="1" x14ac:dyDescent="0.35">
      <c r="A428" s="14">
        <v>7</v>
      </c>
      <c r="B428" s="218" t="s">
        <v>26</v>
      </c>
      <c r="C428" s="214" t="s">
        <v>360</v>
      </c>
      <c r="E428" s="215">
        <v>42457</v>
      </c>
      <c r="F428" s="214" t="s">
        <v>198</v>
      </c>
      <c r="G428" s="216"/>
      <c r="H428" s="14"/>
      <c r="I428" s="217">
        <v>245.55</v>
      </c>
      <c r="J428" s="59" t="str">
        <f>IF(ISBLANK(I428)," ",IF(ISTEXT(I428)," ",IF(I428&lt;=Нормативы!$H$126,"КМС",IF(I428&lt;=Нормативы!$H$127,"КМС",IF(I428&lt;=Нормативы!$L$128,"КМС",IF(I428&lt;=Нормативы!$L$129,"I",IF(I428&lt;=Нормативы!$L$130,"II",IF(I428&lt;=Нормативы!$L$131,"III",IF(I428&lt;=Нормативы!$L$132,"I юн",IF(I428&lt;=Нормативы!$L$133,"II юн",IF(I428&lt;=Нормативы!$L$134,"III юн","б/р")))))))))))</f>
        <v>III юн</v>
      </c>
    </row>
    <row r="429" spans="1:10" s="54" customFormat="1" x14ac:dyDescent="0.35">
      <c r="A429" s="14">
        <v>8</v>
      </c>
      <c r="B429" s="218" t="s">
        <v>26</v>
      </c>
      <c r="C429" s="214" t="s">
        <v>297</v>
      </c>
      <c r="E429" s="215">
        <v>42487</v>
      </c>
      <c r="F429" s="214" t="s">
        <v>198</v>
      </c>
      <c r="G429" s="216"/>
      <c r="H429" s="14"/>
      <c r="I429" s="217">
        <v>251.22</v>
      </c>
      <c r="J429" s="59" t="str">
        <f>IF(ISBLANK(I429)," ",IF(ISTEXT(I429)," ",IF(I429&lt;=Нормативы!$H$126,"КМС",IF(I429&lt;=Нормативы!$H$127,"КМС",IF(I429&lt;=Нормативы!$L$128,"КМС",IF(I429&lt;=Нормативы!$L$129,"I",IF(I429&lt;=Нормативы!$L$130,"II",IF(I429&lt;=Нормативы!$L$131,"III",IF(I429&lt;=Нормативы!$L$132,"I юн",IF(I429&lt;=Нормативы!$L$133,"II юн",IF(I429&lt;=Нормативы!$L$134,"III юн","б/р")))))))))))</f>
        <v>б/р</v>
      </c>
    </row>
    <row r="430" spans="1:10" s="54" customFormat="1" x14ac:dyDescent="0.35">
      <c r="A430" s="14">
        <v>9</v>
      </c>
      <c r="B430" s="218" t="s">
        <v>26</v>
      </c>
      <c r="C430" s="214" t="s">
        <v>292</v>
      </c>
      <c r="E430" s="215">
        <v>42183</v>
      </c>
      <c r="F430" s="214" t="s">
        <v>198</v>
      </c>
      <c r="G430" s="216"/>
      <c r="H430" s="14"/>
      <c r="I430" s="217">
        <v>252.03</v>
      </c>
      <c r="J430" s="59" t="str">
        <f>IF(ISBLANK(I430)," ",IF(ISTEXT(I430)," ",IF(I430&lt;=Нормативы!$H$126,"КМС",IF(I430&lt;=Нормативы!$H$127,"КМС",IF(I430&lt;=Нормативы!$L$128,"КМС",IF(I430&lt;=Нормативы!$L$129,"I",IF(I430&lt;=Нормативы!$L$130,"II",IF(I430&lt;=Нормативы!$L$131,"III",IF(I430&lt;=Нормативы!$L$132,"I юн",IF(I430&lt;=Нормативы!$L$133,"II юн",IF(I430&lt;=Нормативы!$L$134,"III юн","б/р")))))))))))</f>
        <v>б/р</v>
      </c>
    </row>
    <row r="431" spans="1:10" s="54" customFormat="1" x14ac:dyDescent="0.35">
      <c r="A431" s="14">
        <v>10</v>
      </c>
      <c r="B431" s="218" t="s">
        <v>26</v>
      </c>
      <c r="C431" s="214" t="s">
        <v>345</v>
      </c>
      <c r="E431" s="215">
        <v>42413</v>
      </c>
      <c r="F431" s="214" t="s">
        <v>198</v>
      </c>
      <c r="G431" s="216"/>
      <c r="H431" s="14"/>
      <c r="I431" s="217">
        <v>253.13</v>
      </c>
      <c r="J431" s="59" t="str">
        <f>IF(ISBLANK(I431)," ",IF(ISTEXT(I431)," ",IF(I431&lt;=Нормативы!$H$126,"КМС",IF(I431&lt;=Нормативы!$H$127,"КМС",IF(I431&lt;=Нормативы!$L$128,"КМС",IF(I431&lt;=Нормативы!$L$129,"I",IF(I431&lt;=Нормативы!$L$130,"II",IF(I431&lt;=Нормативы!$L$131,"III",IF(I431&lt;=Нормативы!$L$132,"I юн",IF(I431&lt;=Нормативы!$L$133,"II юн",IF(I431&lt;=Нормативы!$L$134,"III юн","б/р")))))))))))</f>
        <v>б/р</v>
      </c>
    </row>
    <row r="432" spans="1:10" s="54" customFormat="1" x14ac:dyDescent="0.35">
      <c r="A432" s="14">
        <v>11</v>
      </c>
      <c r="B432" s="218" t="s">
        <v>23</v>
      </c>
      <c r="C432" s="214" t="s">
        <v>378</v>
      </c>
      <c r="E432" s="215">
        <v>42044</v>
      </c>
      <c r="F432" s="214" t="s">
        <v>176</v>
      </c>
      <c r="G432" s="216"/>
      <c r="H432" s="14"/>
      <c r="I432" s="217">
        <v>255.06</v>
      </c>
      <c r="J432" s="59" t="str">
        <f>IF(ISBLANK(I432)," ",IF(ISTEXT(I432)," ",IF(I432&lt;=Нормативы!$H$126,"КМС",IF(I432&lt;=Нормативы!$H$127,"КМС",IF(I432&lt;=Нормативы!$L$128,"КМС",IF(I432&lt;=Нормативы!$L$129,"I",IF(I432&lt;=Нормативы!$L$130,"II",IF(I432&lt;=Нормативы!$L$131,"III",IF(I432&lt;=Нормативы!$L$132,"I юн",IF(I432&lt;=Нормативы!$L$133,"II юн",IF(I432&lt;=Нормативы!$L$134,"III юн","б/р")))))))))))</f>
        <v>б/р</v>
      </c>
    </row>
    <row r="433" spans="1:20" s="54" customFormat="1" x14ac:dyDescent="0.35">
      <c r="A433" s="14">
        <v>12</v>
      </c>
      <c r="B433" s="218" t="s">
        <v>26</v>
      </c>
      <c r="C433" s="214" t="s">
        <v>357</v>
      </c>
      <c r="E433" s="215">
        <v>42470</v>
      </c>
      <c r="F433" s="214" t="s">
        <v>198</v>
      </c>
      <c r="G433" s="216"/>
      <c r="H433" s="14"/>
      <c r="I433" s="217">
        <v>255.15</v>
      </c>
      <c r="J433" s="59" t="str">
        <f>IF(ISBLANK(I433)," ",IF(ISTEXT(I433)," ",IF(I433&lt;=Нормативы!$H$126,"КМС",IF(I433&lt;=Нормативы!$H$127,"КМС",IF(I433&lt;=Нормативы!$L$128,"КМС",IF(I433&lt;=Нормативы!$L$129,"I",IF(I433&lt;=Нормативы!$L$130,"II",IF(I433&lt;=Нормативы!$L$131,"III",IF(I433&lt;=Нормативы!$L$132,"I юн",IF(I433&lt;=Нормативы!$L$133,"II юн",IF(I433&lt;=Нормативы!$L$134,"III юн","б/р")))))))))))</f>
        <v>б/р</v>
      </c>
    </row>
    <row r="434" spans="1:20" s="54" customFormat="1" x14ac:dyDescent="0.35">
      <c r="A434" s="14">
        <v>13</v>
      </c>
      <c r="B434" s="14" t="s">
        <v>22</v>
      </c>
      <c r="C434" s="214" t="s">
        <v>304</v>
      </c>
      <c r="E434" s="215">
        <v>42524</v>
      </c>
      <c r="F434" s="214" t="s">
        <v>198</v>
      </c>
      <c r="G434" s="216"/>
      <c r="H434" s="14"/>
      <c r="I434" s="217">
        <v>257.77999999999997</v>
      </c>
      <c r="J434" s="59" t="str">
        <f>IF(ISBLANK(I434)," ",IF(ISTEXT(I434)," ",IF(I434&lt;=Нормативы!$H$126,"КМС",IF(I434&lt;=Нормативы!$H$127,"КМС",IF(I434&lt;=Нормативы!$L$128,"КМС",IF(I434&lt;=Нормативы!$L$129,"I",IF(I434&lt;=Нормативы!$L$130,"II",IF(I434&lt;=Нормативы!$L$131,"III",IF(I434&lt;=Нормативы!$L$132,"I юн",IF(I434&lt;=Нормативы!$L$133,"II юн",IF(I434&lt;=Нормативы!$L$134,"III юн","б/р")))))))))))</f>
        <v>б/р</v>
      </c>
    </row>
    <row r="435" spans="1:20" s="54" customFormat="1" x14ac:dyDescent="0.35">
      <c r="A435" s="14">
        <v>14</v>
      </c>
      <c r="B435" s="218" t="s">
        <v>23</v>
      </c>
      <c r="C435" s="214" t="s">
        <v>389</v>
      </c>
      <c r="E435" s="215">
        <v>42717</v>
      </c>
      <c r="F435" s="214" t="s">
        <v>245</v>
      </c>
      <c r="G435" s="216"/>
      <c r="H435" s="14"/>
      <c r="I435" s="217">
        <v>258.2</v>
      </c>
      <c r="J435" s="59" t="str">
        <f>IF(ISBLANK(I435)," ",IF(ISTEXT(I435)," ",IF(I435&lt;=Нормативы!$H$126,"КМС",IF(I435&lt;=Нормативы!$H$127,"КМС",IF(I435&lt;=Нормативы!$L$128,"КМС",IF(I435&lt;=Нормативы!$L$129,"I",IF(I435&lt;=Нормативы!$L$130,"II",IF(I435&lt;=Нормативы!$L$131,"III",IF(I435&lt;=Нормативы!$L$132,"I юн",IF(I435&lt;=Нормативы!$L$133,"II юн",IF(I435&lt;=Нормативы!$L$134,"III юн","б/р")))))))))))</f>
        <v>б/р</v>
      </c>
    </row>
    <row r="436" spans="1:20" s="54" customFormat="1" x14ac:dyDescent="0.35">
      <c r="A436" s="14">
        <v>15</v>
      </c>
      <c r="B436" s="218" t="s">
        <v>23</v>
      </c>
      <c r="C436" s="214" t="s">
        <v>387</v>
      </c>
      <c r="E436" s="215">
        <v>42299</v>
      </c>
      <c r="F436" s="214" t="s">
        <v>245</v>
      </c>
      <c r="G436" s="216"/>
      <c r="H436" s="14"/>
      <c r="I436" s="217">
        <v>307.35000000000002</v>
      </c>
      <c r="J436" s="59" t="str">
        <f>IF(ISBLANK(I436)," ",IF(ISTEXT(I436)," ",IF(I436&lt;=Нормативы!$H$126,"КМС",IF(I436&lt;=Нормативы!$H$127,"КМС",IF(I436&lt;=Нормативы!$L$128,"КМС",IF(I436&lt;=Нормативы!$L$129,"I",IF(I436&lt;=Нормативы!$L$130,"II",IF(I436&lt;=Нормативы!$L$131,"III",IF(I436&lt;=Нормативы!$L$132,"I юн",IF(I436&lt;=Нормативы!$L$133,"II юн",IF(I436&lt;=Нормативы!$L$134,"III юн","б/р")))))))))))</f>
        <v>б/р</v>
      </c>
    </row>
    <row r="437" spans="1:20" s="54" customFormat="1" x14ac:dyDescent="0.35">
      <c r="A437" s="14">
        <v>16</v>
      </c>
      <c r="B437" s="218" t="s">
        <v>26</v>
      </c>
      <c r="C437" s="214" t="s">
        <v>392</v>
      </c>
      <c r="E437" s="215">
        <v>42565</v>
      </c>
      <c r="F437" s="214" t="s">
        <v>245</v>
      </c>
      <c r="G437" s="216"/>
      <c r="H437" s="14"/>
      <c r="I437" s="217">
        <v>311.3</v>
      </c>
      <c r="J437" s="59" t="str">
        <f>IF(ISBLANK(I437)," ",IF(ISTEXT(I437)," ",IF(I437&lt;=Нормативы!$H$126,"КМС",IF(I437&lt;=Нормативы!$H$127,"КМС",IF(I437&lt;=Нормативы!$L$128,"КМС",IF(I437&lt;=Нормативы!$L$129,"I",IF(I437&lt;=Нормативы!$L$130,"II",IF(I437&lt;=Нормативы!$L$131,"III",IF(I437&lt;=Нормативы!$L$132,"I юн",IF(I437&lt;=Нормативы!$L$133,"II юн",IF(I437&lt;=Нормативы!$L$134,"III юн","б/р")))))))))))</f>
        <v>б/р</v>
      </c>
    </row>
    <row r="438" spans="1:20" s="54" customFormat="1" x14ac:dyDescent="0.35">
      <c r="A438" s="14">
        <v>17</v>
      </c>
      <c r="B438" s="218" t="s">
        <v>23</v>
      </c>
      <c r="C438" s="214" t="s">
        <v>447</v>
      </c>
      <c r="E438" s="215">
        <v>42508</v>
      </c>
      <c r="F438" s="214" t="s">
        <v>172</v>
      </c>
      <c r="G438" s="216"/>
      <c r="H438" s="14"/>
      <c r="I438" s="217">
        <v>312.24</v>
      </c>
      <c r="J438" s="59" t="str">
        <f>IF(ISBLANK(I438)," ",IF(ISTEXT(I438)," ",IF(I438&lt;=Нормативы!$H$126,"КМС",IF(I438&lt;=Нормативы!$H$127,"КМС",IF(I438&lt;=Нормативы!$L$128,"КМС",IF(I438&lt;=Нормативы!$L$129,"I",IF(I438&lt;=Нормативы!$L$130,"II",IF(I438&lt;=Нормативы!$L$131,"III",IF(I438&lt;=Нормативы!$L$132,"I юн",IF(I438&lt;=Нормативы!$L$133,"II юн",IF(I438&lt;=Нормативы!$L$134,"III юн","б/р")))))))))))</f>
        <v>б/р</v>
      </c>
    </row>
    <row r="439" spans="1:20" s="54" customFormat="1" x14ac:dyDescent="0.35">
      <c r="A439" s="14">
        <v>18</v>
      </c>
      <c r="B439" s="218" t="s">
        <v>26</v>
      </c>
      <c r="C439" s="214" t="s">
        <v>390</v>
      </c>
      <c r="E439" s="215">
        <v>42619</v>
      </c>
      <c r="F439" s="214" t="s">
        <v>245</v>
      </c>
      <c r="G439" s="216"/>
      <c r="H439" s="14"/>
      <c r="I439" s="217">
        <v>317.52</v>
      </c>
      <c r="J439" s="59" t="str">
        <f>IF(ISBLANK(I439)," ",IF(ISTEXT(I439)," ",IF(I439&lt;=Нормативы!$H$126,"КМС",IF(I439&lt;=Нормативы!$H$127,"КМС",IF(I439&lt;=Нормативы!$L$128,"КМС",IF(I439&lt;=Нормативы!$L$129,"I",IF(I439&lt;=Нормативы!$L$130,"II",IF(I439&lt;=Нормативы!$L$131,"III",IF(I439&lt;=Нормативы!$L$132,"I юн",IF(I439&lt;=Нормативы!$L$133,"II юн",IF(I439&lt;=Нормативы!$L$134,"III юн","б/р")))))))))))</f>
        <v>б/р</v>
      </c>
    </row>
    <row r="440" spans="1:20" s="54" customFormat="1" x14ac:dyDescent="0.35">
      <c r="A440" s="14">
        <v>19</v>
      </c>
      <c r="B440" s="218" t="s">
        <v>26</v>
      </c>
      <c r="C440" s="214" t="s">
        <v>493</v>
      </c>
      <c r="E440" s="215">
        <v>42313</v>
      </c>
      <c r="F440" s="214" t="s">
        <v>198</v>
      </c>
      <c r="G440" s="216"/>
      <c r="H440" s="14"/>
      <c r="I440" s="217">
        <v>321.73</v>
      </c>
      <c r="J440" s="59" t="str">
        <f>IF(ISBLANK(I440)," ",IF(ISTEXT(I440)," ",IF(I440&lt;=Нормативы!$H$126,"КМС",IF(I440&lt;=Нормативы!$H$127,"КМС",IF(I440&lt;=Нормативы!$L$128,"КМС",IF(I440&lt;=Нормативы!$L$129,"I",IF(I440&lt;=Нормативы!$L$130,"II",IF(I440&lt;=Нормативы!$L$131,"III",IF(I440&lt;=Нормативы!$L$132,"I юн",IF(I440&lt;=Нормативы!$L$133,"II юн",IF(I440&lt;=Нормативы!$L$134,"III юн","б/р")))))))))))</f>
        <v>б/р</v>
      </c>
    </row>
    <row r="441" spans="1:20" s="54" customFormat="1" x14ac:dyDescent="0.35">
      <c r="A441" s="14"/>
      <c r="B441" s="14"/>
      <c r="C441" s="222"/>
      <c r="E441" s="227"/>
      <c r="F441" s="214"/>
      <c r="G441" s="216"/>
      <c r="H441" s="14"/>
      <c r="I441" s="217"/>
      <c r="J441" s="117"/>
    </row>
    <row r="442" spans="1:20" s="229" customFormat="1" ht="14.5" customHeight="1" x14ac:dyDescent="0.3">
      <c r="A442" s="221" t="s">
        <v>229</v>
      </c>
      <c r="B442" s="14"/>
      <c r="C442" s="214"/>
      <c r="D442" s="214"/>
      <c r="E442" s="215"/>
      <c r="F442" s="214"/>
      <c r="G442" s="216"/>
      <c r="H442" s="14"/>
      <c r="I442" s="217"/>
      <c r="J442" s="59" t="str">
        <f>IF(ISBLANK(I442)," ",IF(ISTEXT(I442)," ",IF(I442&lt;=Нормативы!$H$5,"КМС",IF(I442&lt;=Нормативы!$H$6,"КМС",IF(I442&lt;=Нормативы!$L$7,"КМС",IF(I442&lt;=Нормативы!$L$8,"I",IF(I442&lt;=Нормативы!$L$9,"II",IF(I442&lt;=Нормативы!$L$10,"III",IF(I442&lt;=Нормативы!$L$11,"I юн",IF(I442&lt;=Нормативы!$L$12,"II юн",IF(I442&lt;=Нормативы!$L$13,"III юн",IF(ISTEXT(I442)," ",IF(ISBLANK(I442)," ","б/р")))))))))))))</f>
        <v xml:space="preserve"> </v>
      </c>
      <c r="K442" s="14"/>
      <c r="L442" s="228"/>
      <c r="P442" s="230"/>
      <c r="Q442" s="230"/>
      <c r="R442" s="230"/>
      <c r="S442" s="230"/>
      <c r="T442" s="230"/>
    </row>
    <row r="443" spans="1:20" s="229" customFormat="1" ht="14.5" customHeight="1" x14ac:dyDescent="0.3">
      <c r="A443" s="14">
        <v>1</v>
      </c>
      <c r="B443" s="14" t="s">
        <v>38</v>
      </c>
      <c r="C443" s="214" t="s">
        <v>283</v>
      </c>
      <c r="D443" s="214"/>
      <c r="E443" s="215">
        <v>42028</v>
      </c>
      <c r="F443" s="214" t="s">
        <v>198</v>
      </c>
      <c r="G443" s="216"/>
      <c r="H443" s="14"/>
      <c r="I443" s="217">
        <v>26.74</v>
      </c>
      <c r="J443" s="59" t="str">
        <f>IF(ISBLANK(I443)," ",IF(ISTEXT(I443)," ",IF(I443&lt;=Нормативы!$H$5,"КМС",IF(I443&lt;=Нормативы!$H$6,"КМС",IF(I443&lt;=Нормативы!$L$7,"КМС",IF(I443&lt;=Нормативы!$L$8,"I",IF(I443&lt;=Нормативы!$L$9,"II",IF(I443&lt;=Нормативы!$L$10,"III",IF(I443&lt;=Нормативы!$L$11,"I юн",IF(I443&lt;=Нормативы!$L$12,"II юн",IF(I443&lt;=Нормативы!$L$13,"III юн",IF(ISTEXT(I443)," ",IF(ISBLANK(I443)," ","б/р")))))))))))))</f>
        <v>I юн</v>
      </c>
      <c r="K443" s="14"/>
      <c r="L443" s="228"/>
      <c r="N443" s="230"/>
      <c r="P443" s="230"/>
      <c r="Q443" s="230"/>
      <c r="R443" s="230"/>
      <c r="S443" s="230"/>
      <c r="T443" s="230"/>
    </row>
    <row r="444" spans="1:20" s="229" customFormat="1" ht="14.5" customHeight="1" x14ac:dyDescent="0.3">
      <c r="A444" s="14">
        <v>2</v>
      </c>
      <c r="B444" s="14" t="s">
        <v>38</v>
      </c>
      <c r="C444" s="214" t="s">
        <v>460</v>
      </c>
      <c r="D444" s="214"/>
      <c r="E444" s="215">
        <v>42155</v>
      </c>
      <c r="F444" s="214" t="s">
        <v>193</v>
      </c>
      <c r="G444" s="216"/>
      <c r="H444" s="14"/>
      <c r="I444" s="217">
        <v>28.51</v>
      </c>
      <c r="J444" s="59" t="str">
        <f>IF(ISBLANK(I444)," ",IF(ISTEXT(I444)," ",IF(I444&lt;=Нормативы!$H$5,"КМС",IF(I444&lt;=Нормативы!$H$6,"КМС",IF(I444&lt;=Нормативы!$L$7,"КМС",IF(I444&lt;=Нормативы!$L$8,"I",IF(I444&lt;=Нормативы!$L$9,"II",IF(I444&lt;=Нормативы!$L$10,"III",IF(I444&lt;=Нормативы!$L$11,"I юн",IF(I444&lt;=Нормативы!$L$12,"II юн",IF(I444&lt;=Нормативы!$L$13,"III юн",IF(ISTEXT(I444)," ",IF(ISBLANK(I444)," ","б/р")))))))))))))</f>
        <v>II юн</v>
      </c>
      <c r="K444" s="14"/>
      <c r="L444" s="228"/>
      <c r="N444" s="230"/>
      <c r="P444" s="230"/>
      <c r="Q444" s="230"/>
      <c r="R444" s="230"/>
      <c r="S444" s="230"/>
      <c r="T444" s="230"/>
    </row>
    <row r="445" spans="1:20" s="229" customFormat="1" ht="14.5" customHeight="1" x14ac:dyDescent="0.3">
      <c r="A445" s="14">
        <v>3</v>
      </c>
      <c r="B445" s="14" t="s">
        <v>38</v>
      </c>
      <c r="C445" s="214" t="s">
        <v>430</v>
      </c>
      <c r="D445" s="214"/>
      <c r="E445" s="215">
        <v>42512</v>
      </c>
      <c r="F445" s="214" t="s">
        <v>172</v>
      </c>
      <c r="G445" s="216"/>
      <c r="H445" s="14"/>
      <c r="I445" s="217">
        <v>29.26</v>
      </c>
      <c r="J445" s="59" t="str">
        <f>IF(ISBLANK(I445)," ",IF(ISTEXT(I445)," ",IF(I445&lt;=Нормативы!$H$5,"КМС",IF(I445&lt;=Нормативы!$H$6,"КМС",IF(I445&lt;=Нормативы!$L$7,"КМС",IF(I445&lt;=Нормативы!$L$8,"I",IF(I445&lt;=Нормативы!$L$9,"II",IF(I445&lt;=Нормативы!$L$10,"III",IF(I445&lt;=Нормативы!$L$11,"I юн",IF(I445&lt;=Нормативы!$L$12,"II юн",IF(I445&lt;=Нормативы!$L$13,"III юн",IF(ISTEXT(I445)," ",IF(ISBLANK(I445)," ","б/р")))))))))))))</f>
        <v>II юн</v>
      </c>
      <c r="K445" s="14"/>
      <c r="L445" s="228"/>
      <c r="N445" s="230"/>
      <c r="P445" s="230"/>
      <c r="Q445" s="230"/>
      <c r="R445" s="230"/>
      <c r="S445" s="230"/>
      <c r="T445" s="230"/>
    </row>
    <row r="446" spans="1:20" s="229" customFormat="1" ht="14.5" customHeight="1" x14ac:dyDescent="0.3">
      <c r="A446" s="14">
        <v>4</v>
      </c>
      <c r="B446" s="14" t="s">
        <v>22</v>
      </c>
      <c r="C446" s="214" t="s">
        <v>495</v>
      </c>
      <c r="D446" s="214"/>
      <c r="E446" s="215">
        <v>42276</v>
      </c>
      <c r="F446" s="214" t="s">
        <v>172</v>
      </c>
      <c r="G446" s="216"/>
      <c r="H446" s="14"/>
      <c r="I446" s="217">
        <v>30.31</v>
      </c>
      <c r="J446" s="59" t="str">
        <f>IF(ISBLANK(I446)," ",IF(ISTEXT(I446)," ",IF(I446&lt;=Нормативы!$H$5,"КМС",IF(I446&lt;=Нормативы!$H$6,"КМС",IF(I446&lt;=Нормативы!$L$7,"КМС",IF(I446&lt;=Нормативы!$L$8,"I",IF(I446&lt;=Нормативы!$L$9,"II",IF(I446&lt;=Нормативы!$L$10,"III",IF(I446&lt;=Нормативы!$L$11,"I юн",IF(I446&lt;=Нормативы!$L$12,"II юн",IF(I446&lt;=Нормативы!$L$13,"III юн",IF(ISTEXT(I446)," ",IF(ISBLANK(I446)," ","б/р")))))))))))))</f>
        <v>III юн</v>
      </c>
      <c r="K446" s="14"/>
      <c r="L446" s="228"/>
      <c r="N446" s="230"/>
      <c r="P446" s="230"/>
      <c r="Q446" s="230"/>
      <c r="R446" s="230"/>
      <c r="S446" s="230"/>
      <c r="T446" s="230"/>
    </row>
    <row r="447" spans="1:20" s="229" customFormat="1" ht="14.5" customHeight="1" x14ac:dyDescent="0.3">
      <c r="A447" s="14">
        <v>5</v>
      </c>
      <c r="B447" s="14" t="s">
        <v>22</v>
      </c>
      <c r="C447" s="214" t="s">
        <v>431</v>
      </c>
      <c r="D447" s="214"/>
      <c r="E447" s="215">
        <v>42631</v>
      </c>
      <c r="F447" s="214" t="s">
        <v>172</v>
      </c>
      <c r="G447" s="216"/>
      <c r="H447" s="14"/>
      <c r="I447" s="217">
        <v>30.62</v>
      </c>
      <c r="J447" s="59" t="str">
        <f>IF(ISBLANK(I447)," ",IF(ISTEXT(I447)," ",IF(I447&lt;=Нормативы!$H$5,"КМС",IF(I447&lt;=Нормативы!$H$6,"КМС",IF(I447&lt;=Нормативы!$L$7,"КМС",IF(I447&lt;=Нормативы!$L$8,"I",IF(I447&lt;=Нормативы!$L$9,"II",IF(I447&lt;=Нормативы!$L$10,"III",IF(I447&lt;=Нормативы!$L$11,"I юн",IF(I447&lt;=Нормативы!$L$12,"II юн",IF(I447&lt;=Нормативы!$L$13,"III юн",IF(ISTEXT(I447)," ",IF(ISBLANK(I447)," ","б/р")))))))))))))</f>
        <v>III юн</v>
      </c>
      <c r="K447" s="14"/>
      <c r="L447" s="228"/>
      <c r="N447" s="230"/>
      <c r="P447" s="230"/>
      <c r="Q447" s="230"/>
      <c r="R447" s="230"/>
      <c r="S447" s="230"/>
      <c r="T447" s="230"/>
    </row>
    <row r="448" spans="1:20" s="229" customFormat="1" ht="14.5" customHeight="1" x14ac:dyDescent="0.3">
      <c r="A448" s="14">
        <v>6</v>
      </c>
      <c r="B448" s="14" t="s">
        <v>23</v>
      </c>
      <c r="C448" s="214" t="s">
        <v>331</v>
      </c>
      <c r="D448" s="214"/>
      <c r="E448" s="215">
        <v>42375</v>
      </c>
      <c r="F448" s="214" t="s">
        <v>198</v>
      </c>
      <c r="G448" s="216"/>
      <c r="H448" s="14"/>
      <c r="I448" s="217">
        <v>30.65</v>
      </c>
      <c r="J448" s="59" t="str">
        <f>IF(ISBLANK(I448)," ",IF(ISTEXT(I448)," ",IF(I448&lt;=Нормативы!$H$5,"КМС",IF(I448&lt;=Нормативы!$H$6,"КМС",IF(I448&lt;=Нормативы!$L$7,"КМС",IF(I448&lt;=Нормативы!$L$8,"I",IF(I448&lt;=Нормативы!$L$9,"II",IF(I448&lt;=Нормативы!$L$10,"III",IF(I448&lt;=Нормативы!$L$11,"I юн",IF(I448&lt;=Нормативы!$L$12,"II юн",IF(I448&lt;=Нормативы!$L$13,"III юн",IF(ISTEXT(I448)," ",IF(ISBLANK(I448)," ","б/р")))))))))))))</f>
        <v>III юн</v>
      </c>
      <c r="K448" s="14"/>
      <c r="L448" s="228"/>
      <c r="P448" s="230"/>
      <c r="Q448" s="230"/>
      <c r="R448" s="230"/>
      <c r="S448" s="230"/>
      <c r="T448" s="230"/>
    </row>
    <row r="449" spans="1:20" s="229" customFormat="1" ht="14.5" customHeight="1" x14ac:dyDescent="0.3">
      <c r="A449" s="14">
        <v>7</v>
      </c>
      <c r="B449" s="14" t="s">
        <v>23</v>
      </c>
      <c r="C449" s="214" t="s">
        <v>319</v>
      </c>
      <c r="D449" s="214"/>
      <c r="E449" s="215">
        <v>42616</v>
      </c>
      <c r="F449" s="214" t="s">
        <v>198</v>
      </c>
      <c r="G449" s="216"/>
      <c r="H449" s="14"/>
      <c r="I449" s="217">
        <v>30.78</v>
      </c>
      <c r="J449" s="59" t="str">
        <f>IF(ISBLANK(I449)," ",IF(ISTEXT(I449)," ",IF(I449&lt;=Нормативы!$H$5,"КМС",IF(I449&lt;=Нормативы!$H$6,"КМС",IF(I449&lt;=Нормативы!$L$7,"КМС",IF(I449&lt;=Нормативы!$L$8,"I",IF(I449&lt;=Нормативы!$L$9,"II",IF(I449&lt;=Нормативы!$L$10,"III",IF(I449&lt;=Нормативы!$L$11,"I юн",IF(I449&lt;=Нормативы!$L$12,"II юн",IF(I449&lt;=Нормативы!$L$13,"III юн",IF(ISTEXT(I449)," ",IF(ISBLANK(I449)," ","б/р")))))))))))))</f>
        <v>III юн</v>
      </c>
      <c r="K449" s="14"/>
      <c r="L449" s="228"/>
      <c r="P449" s="230"/>
      <c r="Q449" s="230"/>
      <c r="R449" s="230"/>
      <c r="S449" s="230"/>
      <c r="T449" s="230"/>
    </row>
    <row r="450" spans="1:20" s="229" customFormat="1" ht="14.5" customHeight="1" x14ac:dyDescent="0.3">
      <c r="A450" s="14">
        <v>8</v>
      </c>
      <c r="B450" s="14" t="s">
        <v>22</v>
      </c>
      <c r="C450" s="214" t="s">
        <v>379</v>
      </c>
      <c r="D450" s="214"/>
      <c r="E450" s="215">
        <v>42486</v>
      </c>
      <c r="F450" s="214" t="s">
        <v>193</v>
      </c>
      <c r="G450" s="216"/>
      <c r="H450" s="14"/>
      <c r="I450" s="217">
        <v>34.53</v>
      </c>
      <c r="J450" s="59" t="str">
        <f>IF(ISBLANK(I450)," ",IF(ISTEXT(I450)," ",IF(I450&lt;=Нормативы!$H$5,"КМС",IF(I450&lt;=Нормативы!$H$6,"КМС",IF(I450&lt;=Нормативы!$L$7,"КМС",IF(I450&lt;=Нормативы!$L$8,"I",IF(I450&lt;=Нормативы!$L$9,"II",IF(I450&lt;=Нормативы!$L$10,"III",IF(I450&lt;=Нормативы!$L$11,"I юн",IF(I450&lt;=Нормативы!$L$12,"II юн",IF(I450&lt;=Нормативы!$L$13,"III юн",IF(ISTEXT(I450)," ",IF(ISBLANK(I450)," ","б/р")))))))))))))</f>
        <v>б/р</v>
      </c>
      <c r="K450" s="14"/>
      <c r="L450" s="228"/>
      <c r="N450" s="230"/>
      <c r="P450" s="230"/>
      <c r="Q450" s="230"/>
      <c r="R450" s="230"/>
      <c r="S450" s="230"/>
      <c r="T450" s="230"/>
    </row>
    <row r="451" spans="1:20" s="229" customFormat="1" ht="14.5" customHeight="1" x14ac:dyDescent="0.3">
      <c r="A451" s="14">
        <v>9</v>
      </c>
      <c r="B451" s="14" t="s">
        <v>23</v>
      </c>
      <c r="C451" s="214" t="s">
        <v>320</v>
      </c>
      <c r="D451" s="214"/>
      <c r="E451" s="215">
        <v>42711</v>
      </c>
      <c r="F451" s="214" t="s">
        <v>198</v>
      </c>
      <c r="G451" s="216"/>
      <c r="H451" s="14"/>
      <c r="I451" s="217">
        <v>35.229999999999997</v>
      </c>
      <c r="J451" s="59" t="str">
        <f>IF(ISBLANK(I451)," ",IF(ISTEXT(I451)," ",IF(I451&lt;=Нормативы!$H$5,"КМС",IF(I451&lt;=Нормативы!$H$6,"КМС",IF(I451&lt;=Нормативы!$L$7,"КМС",IF(I451&lt;=Нормативы!$L$8,"I",IF(I451&lt;=Нормативы!$L$9,"II",IF(I451&lt;=Нормативы!$L$10,"III",IF(I451&lt;=Нормативы!$L$11,"I юн",IF(I451&lt;=Нормативы!$L$12,"II юн",IF(I451&lt;=Нормативы!$L$13,"III юн",IF(ISTEXT(I451)," ",IF(ISBLANK(I451)," ","б/р")))))))))))))</f>
        <v>б/р</v>
      </c>
      <c r="K451" s="14"/>
      <c r="L451" s="228"/>
      <c r="P451" s="230"/>
      <c r="Q451" s="230"/>
      <c r="R451" s="230"/>
      <c r="S451" s="230"/>
      <c r="T451" s="230"/>
    </row>
    <row r="452" spans="1:20" s="229" customFormat="1" ht="14.5" customHeight="1" x14ac:dyDescent="0.3">
      <c r="A452" s="14">
        <v>10</v>
      </c>
      <c r="B452" s="14" t="s">
        <v>22</v>
      </c>
      <c r="C452" s="214" t="s">
        <v>428</v>
      </c>
      <c r="D452" s="214"/>
      <c r="E452" s="215">
        <v>42451</v>
      </c>
      <c r="F452" s="214" t="s">
        <v>172</v>
      </c>
      <c r="G452" s="216"/>
      <c r="H452" s="14"/>
      <c r="I452" s="217">
        <v>35.35</v>
      </c>
      <c r="J452" s="59" t="str">
        <f>IF(ISBLANK(I452)," ",IF(ISTEXT(I452)," ",IF(I452&lt;=Нормативы!$H$5,"КМС",IF(I452&lt;=Нормативы!$H$6,"КМС",IF(I452&lt;=Нормативы!$L$7,"КМС",IF(I452&lt;=Нормативы!$L$8,"I",IF(I452&lt;=Нормативы!$L$9,"II",IF(I452&lt;=Нормативы!$L$10,"III",IF(I452&lt;=Нормативы!$L$11,"I юн",IF(I452&lt;=Нормативы!$L$12,"II юн",IF(I452&lt;=Нормативы!$L$13,"III юн",IF(ISTEXT(I452)," ",IF(ISBLANK(I452)," ","б/р")))))))))))))</f>
        <v>б/р</v>
      </c>
      <c r="K452" s="14"/>
      <c r="L452" s="228"/>
      <c r="P452" s="230"/>
      <c r="Q452" s="230"/>
      <c r="R452" s="230"/>
      <c r="S452" s="230"/>
      <c r="T452" s="230"/>
    </row>
    <row r="453" spans="1:20" s="229" customFormat="1" ht="14.5" customHeight="1" x14ac:dyDescent="0.3">
      <c r="A453" s="14">
        <v>11</v>
      </c>
      <c r="B453" s="14" t="s">
        <v>26</v>
      </c>
      <c r="C453" s="214" t="s">
        <v>318</v>
      </c>
      <c r="D453" s="214"/>
      <c r="E453" s="215">
        <v>42421</v>
      </c>
      <c r="F453" s="214" t="s">
        <v>198</v>
      </c>
      <c r="G453" s="216"/>
      <c r="H453" s="14"/>
      <c r="I453" s="217">
        <v>37.28</v>
      </c>
      <c r="J453" s="59" t="str">
        <f>IF(ISBLANK(I453)," ",IF(ISTEXT(I453)," ",IF(I453&lt;=Нормативы!$H$5,"КМС",IF(I453&lt;=Нормативы!$H$6,"КМС",IF(I453&lt;=Нормативы!$L$7,"КМС",IF(I453&lt;=Нормативы!$L$8,"I",IF(I453&lt;=Нормативы!$L$9,"II",IF(I453&lt;=Нормативы!$L$10,"III",IF(I453&lt;=Нормативы!$L$11,"I юн",IF(I453&lt;=Нормативы!$L$12,"II юн",IF(I453&lt;=Нормативы!$L$13,"III юн",IF(ISTEXT(I453)," ",IF(ISBLANK(I453)," ","б/р")))))))))))))</f>
        <v>б/р</v>
      </c>
      <c r="K453" s="14"/>
      <c r="L453" s="228"/>
      <c r="P453" s="230"/>
      <c r="Q453" s="230"/>
      <c r="R453" s="230"/>
      <c r="S453" s="230"/>
      <c r="T453" s="230"/>
    </row>
    <row r="454" spans="1:20" s="229" customFormat="1" ht="14.5" customHeight="1" x14ac:dyDescent="0.3">
      <c r="A454" s="14">
        <v>12</v>
      </c>
      <c r="B454" s="14" t="s">
        <v>23</v>
      </c>
      <c r="C454" s="214" t="s">
        <v>433</v>
      </c>
      <c r="D454" s="214"/>
      <c r="E454" s="215">
        <v>42619</v>
      </c>
      <c r="F454" s="214" t="s">
        <v>172</v>
      </c>
      <c r="G454" s="216"/>
      <c r="H454" s="14"/>
      <c r="I454" s="217">
        <v>37.85</v>
      </c>
      <c r="J454" s="59" t="str">
        <f>IF(ISBLANK(I454)," ",IF(ISTEXT(I454)," ",IF(I454&lt;=Нормативы!$H$5,"КМС",IF(I454&lt;=Нормативы!$H$6,"КМС",IF(I454&lt;=Нормативы!$L$7,"КМС",IF(I454&lt;=Нормативы!$L$8,"I",IF(I454&lt;=Нормативы!$L$9,"II",IF(I454&lt;=Нормативы!$L$10,"III",IF(I454&lt;=Нормативы!$L$11,"I юн",IF(I454&lt;=Нормативы!$L$12,"II юн",IF(I454&lt;=Нормативы!$L$13,"III юн",IF(ISTEXT(I454)," ",IF(ISBLANK(I454)," ","б/р")))))))))))))</f>
        <v>б/р</v>
      </c>
      <c r="K454" s="14"/>
      <c r="L454" s="228"/>
      <c r="N454" s="230"/>
      <c r="P454" s="230"/>
      <c r="Q454" s="230"/>
      <c r="R454" s="230"/>
      <c r="S454" s="230"/>
      <c r="T454" s="230"/>
    </row>
    <row r="455" spans="1:20" s="229" customFormat="1" ht="14.5" customHeight="1" x14ac:dyDescent="0.3">
      <c r="A455" s="14">
        <v>13</v>
      </c>
      <c r="B455" s="14" t="s">
        <v>22</v>
      </c>
      <c r="C455" s="214" t="s">
        <v>427</v>
      </c>
      <c r="D455" s="214"/>
      <c r="E455" s="215">
        <v>42370</v>
      </c>
      <c r="F455" s="214" t="s">
        <v>172</v>
      </c>
      <c r="G455" s="216"/>
      <c r="H455" s="14"/>
      <c r="I455" s="217">
        <v>38.01</v>
      </c>
      <c r="J455" s="59" t="str">
        <f>IF(ISBLANK(I455)," ",IF(ISTEXT(I455)," ",IF(I455&lt;=Нормативы!$H$5,"КМС",IF(I455&lt;=Нормативы!$H$6,"КМС",IF(I455&lt;=Нормативы!$L$7,"КМС",IF(I455&lt;=Нормативы!$L$8,"I",IF(I455&lt;=Нормативы!$L$9,"II",IF(I455&lt;=Нормативы!$L$10,"III",IF(I455&lt;=Нормативы!$L$11,"I юн",IF(I455&lt;=Нормативы!$L$12,"II юн",IF(I455&lt;=Нормативы!$L$13,"III юн",IF(ISTEXT(I455)," ",IF(ISBLANK(I455)," ","б/р")))))))))))))</f>
        <v>б/р</v>
      </c>
      <c r="K455" s="14"/>
      <c r="L455" s="228"/>
      <c r="N455" s="230"/>
      <c r="O455" s="230"/>
      <c r="P455" s="230"/>
      <c r="Q455" s="230"/>
      <c r="R455" s="230"/>
      <c r="S455" s="230"/>
      <c r="T455" s="230"/>
    </row>
    <row r="456" spans="1:20" s="229" customFormat="1" ht="14.5" customHeight="1" x14ac:dyDescent="0.3">
      <c r="A456" s="14">
        <v>14</v>
      </c>
      <c r="B456" s="14" t="s">
        <v>23</v>
      </c>
      <c r="C456" s="214" t="s">
        <v>429</v>
      </c>
      <c r="D456" s="214"/>
      <c r="E456" s="215">
        <v>42512</v>
      </c>
      <c r="F456" s="214" t="s">
        <v>172</v>
      </c>
      <c r="G456" s="216"/>
      <c r="H456" s="14"/>
      <c r="I456" s="217">
        <v>38.64</v>
      </c>
      <c r="J456" s="59" t="str">
        <f>IF(ISBLANK(I456)," ",IF(ISTEXT(I456)," ",IF(I456&lt;=Нормативы!$H$5,"КМС",IF(I456&lt;=Нормативы!$H$6,"КМС",IF(I456&lt;=Нормативы!$L$7,"КМС",IF(I456&lt;=Нормативы!$L$8,"I",IF(I456&lt;=Нормативы!$L$9,"II",IF(I456&lt;=Нормативы!$L$10,"III",IF(I456&lt;=Нормативы!$L$11,"I юн",IF(I456&lt;=Нормативы!$L$12,"II юн",IF(I456&lt;=Нормативы!$L$13,"III юн",IF(ISTEXT(I456)," ",IF(ISBLANK(I456)," ","б/р")))))))))))))</f>
        <v>б/р</v>
      </c>
      <c r="K456" s="14"/>
      <c r="L456" s="228"/>
      <c r="O456" s="230"/>
      <c r="P456" s="230"/>
      <c r="Q456" s="230"/>
      <c r="R456" s="230"/>
      <c r="S456" s="230"/>
      <c r="T456" s="230"/>
    </row>
    <row r="457" spans="1:20" s="229" customFormat="1" ht="14.5" customHeight="1" x14ac:dyDescent="0.3">
      <c r="A457" s="14">
        <v>15</v>
      </c>
      <c r="B457" s="14" t="s">
        <v>26</v>
      </c>
      <c r="C457" s="214" t="s">
        <v>281</v>
      </c>
      <c r="D457" s="214"/>
      <c r="E457" s="215">
        <v>42724</v>
      </c>
      <c r="F457" s="214" t="s">
        <v>198</v>
      </c>
      <c r="G457" s="216"/>
      <c r="H457" s="14"/>
      <c r="I457" s="217">
        <v>40.65</v>
      </c>
      <c r="J457" s="59" t="str">
        <f>IF(ISBLANK(I457)," ",IF(ISTEXT(I457)," ",IF(I457&lt;=Нормативы!$H$5,"КМС",IF(I457&lt;=Нормативы!$H$6,"КМС",IF(I457&lt;=Нормативы!$L$7,"КМС",IF(I457&lt;=Нормативы!$L$8,"I",IF(I457&lt;=Нормативы!$L$9,"II",IF(I457&lt;=Нормативы!$L$10,"III",IF(I457&lt;=Нормативы!$L$11,"I юн",IF(I457&lt;=Нормативы!$L$12,"II юн",IF(I457&lt;=Нормативы!$L$13,"III юн",IF(ISTEXT(I457)," ",IF(ISBLANK(I457)," ","б/р")))))))))))))</f>
        <v>б/р</v>
      </c>
      <c r="K457" s="14"/>
      <c r="L457" s="228"/>
      <c r="O457" s="230"/>
      <c r="P457" s="230"/>
      <c r="Q457" s="230"/>
      <c r="R457" s="230"/>
      <c r="S457" s="230"/>
      <c r="T457" s="230"/>
    </row>
    <row r="458" spans="1:20" s="229" customFormat="1" ht="14.5" customHeight="1" x14ac:dyDescent="0.3">
      <c r="A458" s="14">
        <v>16</v>
      </c>
      <c r="B458" s="14" t="s">
        <v>23</v>
      </c>
      <c r="C458" s="214" t="s">
        <v>432</v>
      </c>
      <c r="D458" s="214"/>
      <c r="E458" s="215">
        <v>42614</v>
      </c>
      <c r="F458" s="214" t="s">
        <v>172</v>
      </c>
      <c r="G458" s="216"/>
      <c r="H458" s="14"/>
      <c r="I458" s="217">
        <v>43.2</v>
      </c>
      <c r="J458" s="59" t="str">
        <f>IF(ISBLANK(I458)," ",IF(ISTEXT(I458)," ",IF(I458&lt;=Нормативы!$H$5,"КМС",IF(I458&lt;=Нормативы!$H$6,"КМС",IF(I458&lt;=Нормативы!$L$7,"КМС",IF(I458&lt;=Нормативы!$L$8,"I",IF(I458&lt;=Нормативы!$L$9,"II",IF(I458&lt;=Нормативы!$L$10,"III",IF(I458&lt;=Нормативы!$L$11,"I юн",IF(I458&lt;=Нормативы!$L$12,"II юн",IF(I458&lt;=Нормативы!$L$13,"III юн",IF(ISTEXT(I458)," ",IF(ISBLANK(I458)," ","б/р")))))))))))))</f>
        <v>б/р</v>
      </c>
      <c r="K458" s="14"/>
      <c r="L458" s="228"/>
      <c r="O458" s="230"/>
      <c r="P458" s="230"/>
      <c r="Q458" s="230"/>
      <c r="R458" s="230"/>
      <c r="S458" s="230"/>
      <c r="T458" s="230"/>
    </row>
    <row r="459" spans="1:20" s="229" customFormat="1" ht="14.5" customHeight="1" x14ac:dyDescent="0.3">
      <c r="A459" s="14"/>
      <c r="B459" s="14"/>
      <c r="C459" s="222"/>
      <c r="D459" s="222"/>
      <c r="E459" s="215"/>
      <c r="F459" s="214"/>
      <c r="G459" s="216"/>
      <c r="H459" s="14"/>
      <c r="I459" s="217"/>
      <c r="J459" s="59" t="str">
        <f>IF(ISBLANK(I459)," ",IF(ISTEXT(I459)," ",IF(I459&lt;=Нормативы!$H$5,"КМС",IF(I459&lt;=Нормативы!$H$6,"КМС",IF(I459&lt;=Нормативы!$L$7,"КМС",IF(I459&lt;=Нормативы!$L$8,"I",IF(I459&lt;=Нормативы!$L$9,"II",IF(I459&lt;=Нормативы!$L$10,"III",IF(I459&lt;=Нормативы!$L$11,"I юн",IF(I459&lt;=Нормативы!$L$12,"II юн",IF(I459&lt;=Нормативы!$L$13,"III юн",IF(ISTEXT(I459)," ",IF(ISBLANK(I459)," ","б/р")))))))))))))</f>
        <v xml:space="preserve"> </v>
      </c>
      <c r="K459" s="14"/>
      <c r="L459" s="228"/>
      <c r="O459" s="230"/>
      <c r="P459" s="230"/>
      <c r="Q459" s="230"/>
      <c r="R459" s="230"/>
      <c r="S459" s="230"/>
      <c r="T459" s="230"/>
    </row>
    <row r="460" spans="1:20" s="229" customFormat="1" ht="14.5" customHeight="1" x14ac:dyDescent="0.3">
      <c r="A460" s="221" t="s">
        <v>236</v>
      </c>
      <c r="B460" s="14"/>
      <c r="C460" s="214"/>
      <c r="D460" s="214"/>
      <c r="E460" s="215"/>
      <c r="F460" s="214"/>
      <c r="G460" s="216"/>
      <c r="H460" s="14"/>
      <c r="I460" s="217"/>
      <c r="J460" s="59" t="str">
        <f>IF(ISBLANK(I460)," ",IF(ISTEXT(I460)," ",IF(I460&lt;=Нормативы!$H$5,"КМС",IF(I460&lt;=Нормативы!$H$6,"КМС",IF(I460&lt;=Нормативы!$L$7,"КМС",IF(I460&lt;=Нормативы!$L$8,"I",IF(I460&lt;=Нормативы!$L$9,"II",IF(I460&lt;=Нормативы!$L$10,"III",IF(I460&lt;=Нормативы!$L$11,"I юн",IF(I460&lt;=Нормативы!$L$12,"II юн",IF(I460&lt;=Нормативы!$L$13,"III юн",IF(ISTEXT(I460)," ",IF(ISBLANK(I460)," ","б/р")))))))))))))</f>
        <v xml:space="preserve"> </v>
      </c>
      <c r="K460" s="14"/>
      <c r="L460" s="228"/>
      <c r="N460" s="230"/>
      <c r="O460" s="230"/>
      <c r="P460" s="230"/>
      <c r="Q460" s="230"/>
      <c r="R460" s="230"/>
      <c r="S460" s="230"/>
      <c r="T460" s="230"/>
    </row>
    <row r="461" spans="1:20" s="229" customFormat="1" ht="14.5" customHeight="1" x14ac:dyDescent="0.3">
      <c r="A461" s="14">
        <v>1</v>
      </c>
      <c r="B461" s="14" t="s">
        <v>22</v>
      </c>
      <c r="C461" s="214" t="s">
        <v>380</v>
      </c>
      <c r="D461" s="214"/>
      <c r="E461" s="215">
        <v>42794</v>
      </c>
      <c r="F461" s="214" t="s">
        <v>193</v>
      </c>
      <c r="G461" s="216"/>
      <c r="H461" s="14"/>
      <c r="I461" s="217">
        <v>36.17</v>
      </c>
      <c r="J461" s="59" t="str">
        <f>IF(ISBLANK(I461)," ",IF(ISTEXT(I461)," ",IF(I461&lt;=Нормативы!$H$5,"КМС",IF(I461&lt;=Нормативы!$H$6,"КМС",IF(I461&lt;=Нормативы!$L$7,"КМС",IF(I461&lt;=Нормативы!$L$8,"I",IF(I461&lt;=Нормативы!$L$9,"II",IF(I461&lt;=Нормативы!$L$10,"III",IF(I461&lt;=Нормативы!$L$11,"I юн",IF(I461&lt;=Нормативы!$L$12,"II юн",IF(I461&lt;=Нормативы!$L$13,"III юн",IF(ISTEXT(I461)," ",IF(ISBLANK(I461)," ","б/р")))))))))))))</f>
        <v>б/р</v>
      </c>
      <c r="K461" s="14"/>
      <c r="L461" s="228"/>
      <c r="N461" s="230"/>
      <c r="O461" s="230"/>
      <c r="P461" s="230"/>
      <c r="Q461" s="230"/>
      <c r="R461" s="230"/>
      <c r="S461" s="230"/>
      <c r="T461" s="230"/>
    </row>
    <row r="462" spans="1:20" s="229" customFormat="1" ht="14.5" customHeight="1" x14ac:dyDescent="0.3">
      <c r="A462" s="14">
        <v>2</v>
      </c>
      <c r="B462" s="14" t="s">
        <v>26</v>
      </c>
      <c r="C462" s="214" t="s">
        <v>435</v>
      </c>
      <c r="D462" s="214"/>
      <c r="E462" s="215">
        <v>43375</v>
      </c>
      <c r="F462" s="214" t="s">
        <v>172</v>
      </c>
      <c r="G462" s="216"/>
      <c r="H462" s="14"/>
      <c r="I462" s="217">
        <v>38.14</v>
      </c>
      <c r="J462" s="59" t="str">
        <f>IF(ISBLANK(I462)," ",IF(ISTEXT(I462)," ",IF(I462&lt;=Нормативы!$H$5,"КМС",IF(I462&lt;=Нормативы!$H$6,"КМС",IF(I462&lt;=Нормативы!$L$7,"КМС",IF(I462&lt;=Нормативы!$L$8,"I",IF(I462&lt;=Нормативы!$L$9,"II",IF(I462&lt;=Нормативы!$L$10,"III",IF(I462&lt;=Нормативы!$L$11,"I юн",IF(I462&lt;=Нормативы!$L$12,"II юн",IF(I462&lt;=Нормативы!$L$13,"III юн",IF(ISTEXT(I462)," ",IF(ISBLANK(I462)," ","б/р")))))))))))))</f>
        <v>б/р</v>
      </c>
      <c r="K462" s="14"/>
      <c r="L462" s="228"/>
      <c r="N462" s="230"/>
      <c r="O462" s="230"/>
      <c r="P462" s="230"/>
      <c r="Q462" s="230"/>
      <c r="R462" s="230"/>
      <c r="S462" s="230"/>
      <c r="T462" s="230"/>
    </row>
    <row r="463" spans="1:20" s="229" customFormat="1" ht="14.5" customHeight="1" x14ac:dyDescent="0.3">
      <c r="A463" s="14">
        <v>3</v>
      </c>
      <c r="B463" s="14" t="s">
        <v>23</v>
      </c>
      <c r="C463" s="214" t="s">
        <v>381</v>
      </c>
      <c r="D463" s="214"/>
      <c r="E463" s="215">
        <v>42818</v>
      </c>
      <c r="F463" s="214" t="s">
        <v>193</v>
      </c>
      <c r="G463" s="216"/>
      <c r="H463" s="14"/>
      <c r="I463" s="217">
        <v>38.57</v>
      </c>
      <c r="J463" s="59" t="str">
        <f>IF(ISBLANK(I463)," ",IF(ISTEXT(I463)," ",IF(I463&lt;=Нормативы!$H$5,"КМС",IF(I463&lt;=Нормативы!$H$6,"КМС",IF(I463&lt;=Нормативы!$L$7,"КМС",IF(I463&lt;=Нормативы!$L$8,"I",IF(I463&lt;=Нормативы!$L$9,"II",IF(I463&lt;=Нормативы!$L$10,"III",IF(I463&lt;=Нормативы!$L$11,"I юн",IF(I463&lt;=Нормативы!$L$12,"II юн",IF(I463&lt;=Нормативы!$L$13,"III юн",IF(ISTEXT(I463)," ",IF(ISBLANK(I463)," ","б/р")))))))))))))</f>
        <v>б/р</v>
      </c>
      <c r="K463" s="14"/>
      <c r="L463" s="228"/>
      <c r="N463" s="230"/>
      <c r="O463" s="230"/>
      <c r="P463" s="230"/>
      <c r="Q463" s="230"/>
      <c r="R463" s="230"/>
      <c r="S463" s="230"/>
      <c r="T463" s="230"/>
    </row>
    <row r="464" spans="1:20" s="229" customFormat="1" ht="14.5" customHeight="1" x14ac:dyDescent="0.3">
      <c r="A464" s="14">
        <v>4</v>
      </c>
      <c r="B464" s="14" t="s">
        <v>26</v>
      </c>
      <c r="C464" s="214" t="s">
        <v>434</v>
      </c>
      <c r="D464" s="214"/>
      <c r="E464" s="215">
        <v>42967</v>
      </c>
      <c r="F464" s="214" t="s">
        <v>172</v>
      </c>
      <c r="G464" s="216"/>
      <c r="H464" s="14"/>
      <c r="I464" s="217">
        <v>39.51</v>
      </c>
      <c r="J464" s="59" t="str">
        <f>IF(ISBLANK(I464)," ",IF(ISTEXT(I464)," ",IF(I464&lt;=Нормативы!$H$5,"КМС",IF(I464&lt;=Нормативы!$H$6,"КМС",IF(I464&lt;=Нормативы!$L$7,"КМС",IF(I464&lt;=Нормативы!$L$8,"I",IF(I464&lt;=Нормативы!$L$9,"II",IF(I464&lt;=Нормативы!$L$10,"III",IF(I464&lt;=Нормативы!$L$11,"I юн",IF(I464&lt;=Нормативы!$L$12,"II юн",IF(I464&lt;=Нормативы!$L$13,"III юн",IF(ISTEXT(I464)," ",IF(ISBLANK(I464)," ","б/р")))))))))))))</f>
        <v>б/р</v>
      </c>
      <c r="K464" s="14"/>
      <c r="L464" s="228"/>
      <c r="N464" s="230"/>
      <c r="O464" s="230"/>
      <c r="P464" s="230"/>
      <c r="Q464" s="230"/>
      <c r="R464" s="230"/>
      <c r="S464" s="230"/>
      <c r="T464" s="230"/>
    </row>
    <row r="465" spans="1:20" s="229" customFormat="1" ht="14.5" customHeight="1" x14ac:dyDescent="0.3">
      <c r="A465" s="14">
        <v>5</v>
      </c>
      <c r="B465" s="14" t="s">
        <v>26</v>
      </c>
      <c r="C465" s="214" t="s">
        <v>437</v>
      </c>
      <c r="D465" s="214"/>
      <c r="E465" s="215">
        <v>43355</v>
      </c>
      <c r="F465" s="214" t="s">
        <v>172</v>
      </c>
      <c r="G465" s="216"/>
      <c r="H465" s="14"/>
      <c r="I465" s="217">
        <v>40.26</v>
      </c>
      <c r="J465" s="59" t="str">
        <f>IF(ISBLANK(I465)," ",IF(ISTEXT(I465)," ",IF(I465&lt;=Нормативы!$H$5,"КМС",IF(I465&lt;=Нормативы!$H$6,"КМС",IF(I465&lt;=Нормативы!$L$7,"КМС",IF(I465&lt;=Нормативы!$L$8,"I",IF(I465&lt;=Нормативы!$L$9,"II",IF(I465&lt;=Нормативы!$L$10,"III",IF(I465&lt;=Нормативы!$L$11,"I юн",IF(I465&lt;=Нормативы!$L$12,"II юн",IF(I465&lt;=Нормативы!$L$13,"III юн",IF(ISTEXT(I465)," ",IF(ISBLANK(I465)," ","б/р")))))))))))))</f>
        <v>б/р</v>
      </c>
      <c r="K465" s="14"/>
      <c r="L465" s="228"/>
      <c r="N465" s="230"/>
      <c r="O465" s="230"/>
      <c r="P465" s="230"/>
      <c r="Q465" s="230"/>
      <c r="R465" s="230"/>
      <c r="S465" s="230"/>
      <c r="T465" s="230"/>
    </row>
    <row r="466" spans="1:20" s="229" customFormat="1" ht="14.5" customHeight="1" x14ac:dyDescent="0.3">
      <c r="A466" s="14">
        <v>6</v>
      </c>
      <c r="B466" s="14" t="s">
        <v>26</v>
      </c>
      <c r="C466" s="214" t="s">
        <v>438</v>
      </c>
      <c r="D466" s="214"/>
      <c r="E466" s="215">
        <v>43148</v>
      </c>
      <c r="F466" s="214" t="s">
        <v>172</v>
      </c>
      <c r="G466" s="216"/>
      <c r="H466" s="14"/>
      <c r="I466" s="217">
        <v>40.98</v>
      </c>
      <c r="J466" s="59" t="str">
        <f>IF(ISBLANK(I466)," ",IF(ISTEXT(I466)," ",IF(I466&lt;=Нормативы!$H$5,"КМС",IF(I466&lt;=Нормативы!$H$6,"КМС",IF(I466&lt;=Нормативы!$L$7,"КМС",IF(I466&lt;=Нормативы!$L$8,"I",IF(I466&lt;=Нормативы!$L$9,"II",IF(I466&lt;=Нормативы!$L$10,"III",IF(I466&lt;=Нормативы!$L$11,"I юн",IF(I466&lt;=Нормативы!$L$12,"II юн",IF(I466&lt;=Нормативы!$L$13,"III юн",IF(ISTEXT(I466)," ",IF(ISBLANK(I466)," ","б/р")))))))))))))</f>
        <v>б/р</v>
      </c>
      <c r="K466" s="14"/>
      <c r="L466" s="228"/>
      <c r="N466" s="230"/>
      <c r="O466" s="230"/>
      <c r="P466" s="230"/>
      <c r="Q466" s="230"/>
      <c r="R466" s="230"/>
      <c r="S466" s="230"/>
      <c r="T466" s="230"/>
    </row>
    <row r="467" spans="1:20" s="229" customFormat="1" ht="14.5" customHeight="1" x14ac:dyDescent="0.3">
      <c r="A467" s="14">
        <v>7</v>
      </c>
      <c r="B467" s="14" t="s">
        <v>26</v>
      </c>
      <c r="C467" s="214" t="s">
        <v>439</v>
      </c>
      <c r="D467" s="214"/>
      <c r="E467" s="215">
        <v>43273</v>
      </c>
      <c r="F467" s="214" t="s">
        <v>172</v>
      </c>
      <c r="G467" s="216"/>
      <c r="H467" s="14"/>
      <c r="I467" s="217">
        <v>43.37</v>
      </c>
      <c r="J467" s="59" t="str">
        <f>IF(ISBLANK(I467)," ",IF(ISTEXT(I467)," ",IF(I467&lt;=Нормативы!$H$5,"КМС",IF(I467&lt;=Нормативы!$H$6,"КМС",IF(I467&lt;=Нормативы!$L$7,"КМС",IF(I467&lt;=Нормативы!$L$8,"I",IF(I467&lt;=Нормативы!$L$9,"II",IF(I467&lt;=Нормативы!$L$10,"III",IF(I467&lt;=Нормативы!$L$11,"I юн",IF(I467&lt;=Нормативы!$L$12,"II юн",IF(I467&lt;=Нормативы!$L$13,"III юн",IF(ISTEXT(I467)," ",IF(ISBLANK(I467)," ","б/р")))))))))))))</f>
        <v>б/р</v>
      </c>
      <c r="K467" s="14"/>
      <c r="L467" s="228"/>
      <c r="N467" s="230"/>
      <c r="O467" s="230"/>
      <c r="P467" s="230"/>
      <c r="Q467" s="230"/>
      <c r="R467" s="230"/>
      <c r="S467" s="230"/>
      <c r="T467" s="230"/>
    </row>
    <row r="468" spans="1:20" s="229" customFormat="1" ht="14.5" customHeight="1" x14ac:dyDescent="0.3">
      <c r="A468" s="14">
        <v>8</v>
      </c>
      <c r="B468" s="14" t="s">
        <v>23</v>
      </c>
      <c r="C468" s="214" t="s">
        <v>282</v>
      </c>
      <c r="D468" s="214"/>
      <c r="E468" s="215">
        <v>42777</v>
      </c>
      <c r="F468" s="214" t="s">
        <v>198</v>
      </c>
      <c r="G468" s="216"/>
      <c r="H468" s="14"/>
      <c r="I468" s="217">
        <v>43.42</v>
      </c>
      <c r="J468" s="59" t="str">
        <f>IF(ISBLANK(I468)," ",IF(ISTEXT(I468)," ",IF(I468&lt;=Нормативы!$H$5,"КМС",IF(I468&lt;=Нормативы!$H$6,"КМС",IF(I468&lt;=Нормативы!$L$7,"КМС",IF(I468&lt;=Нормативы!$L$8,"I",IF(I468&lt;=Нормативы!$L$9,"II",IF(I468&lt;=Нормативы!$L$10,"III",IF(I468&lt;=Нормативы!$L$11,"I юн",IF(I468&lt;=Нормативы!$L$12,"II юн",IF(I468&lt;=Нормативы!$L$13,"III юн",IF(ISTEXT(I468)," ",IF(ISBLANK(I468)," ","б/р")))))))))))))</f>
        <v>б/р</v>
      </c>
      <c r="K468" s="14"/>
      <c r="L468" s="228"/>
      <c r="N468" s="230"/>
      <c r="O468" s="230"/>
      <c r="P468" s="230"/>
      <c r="Q468" s="230"/>
      <c r="R468" s="230"/>
      <c r="S468" s="230"/>
      <c r="T468" s="230"/>
    </row>
    <row r="469" spans="1:20" s="229" customFormat="1" ht="14.5" customHeight="1" x14ac:dyDescent="0.3">
      <c r="A469" s="14">
        <v>9</v>
      </c>
      <c r="B469" s="14" t="s">
        <v>26</v>
      </c>
      <c r="C469" s="214" t="s">
        <v>436</v>
      </c>
      <c r="D469" s="214"/>
      <c r="E469" s="215">
        <v>43299</v>
      </c>
      <c r="F469" s="214" t="s">
        <v>172</v>
      </c>
      <c r="G469" s="216"/>
      <c r="H469" s="14"/>
      <c r="I469" s="217">
        <v>48.22</v>
      </c>
      <c r="J469" s="59" t="str">
        <f>IF(ISBLANK(I469)," ",IF(ISTEXT(I469)," ",IF(I469&lt;=Нормативы!$H$5,"КМС",IF(I469&lt;=Нормативы!$H$6,"КМС",IF(I469&lt;=Нормативы!$L$7,"КМС",IF(I469&lt;=Нормативы!$L$8,"I",IF(I469&lt;=Нормативы!$L$9,"II",IF(I469&lt;=Нормативы!$L$10,"III",IF(I469&lt;=Нормативы!$L$11,"I юн",IF(I469&lt;=Нормативы!$L$12,"II юн",IF(I469&lt;=Нормативы!$L$13,"III юн",IF(ISTEXT(I469)," ",IF(ISBLANK(I469)," ","б/р")))))))))))))</f>
        <v>б/р</v>
      </c>
      <c r="K469" s="14"/>
      <c r="L469" s="228"/>
      <c r="N469" s="230"/>
      <c r="O469" s="230"/>
      <c r="P469" s="230"/>
      <c r="Q469" s="230"/>
      <c r="R469" s="230"/>
      <c r="S469" s="230"/>
      <c r="T469" s="230"/>
    </row>
    <row r="470" spans="1:20" s="229" customFormat="1" ht="14.5" customHeight="1" x14ac:dyDescent="0.3">
      <c r="A470" s="14"/>
      <c r="B470" s="14"/>
      <c r="C470" s="222"/>
      <c r="D470" s="222"/>
      <c r="E470" s="215"/>
      <c r="F470" s="214"/>
      <c r="G470" s="216"/>
      <c r="H470" s="14"/>
      <c r="I470" s="217"/>
      <c r="J470" s="59" t="str">
        <f>IF(ISBLANK(I470)," ",IF(ISTEXT(I470)," ",IF(I470&lt;=Нормативы!$H$5,"КМС",IF(I470&lt;=Нормативы!$H$6,"КМС",IF(I470&lt;=Нормативы!$L$7,"КМС",IF(I470&lt;=Нормативы!$L$8,"I",IF(I470&lt;=Нормативы!$L$9,"II",IF(I470&lt;=Нормативы!$L$10,"III",IF(I470&lt;=Нормативы!$L$11,"I юн",IF(I470&lt;=Нормативы!$L$12,"II юн",IF(I470&lt;=Нормативы!$L$13,"III юн",IF(ISTEXT(I470)," ",IF(ISBLANK(I470)," ","б/р")))))))))))))</f>
        <v xml:space="preserve"> </v>
      </c>
      <c r="K470" s="14"/>
      <c r="L470" s="228"/>
      <c r="N470" s="230"/>
      <c r="O470" s="230"/>
      <c r="P470" s="230"/>
      <c r="Q470" s="230"/>
      <c r="R470" s="230"/>
      <c r="S470" s="230"/>
      <c r="T470" s="230"/>
    </row>
    <row r="471" spans="1:20" s="229" customFormat="1" ht="14.5" customHeight="1" x14ac:dyDescent="0.3">
      <c r="A471" s="221" t="s">
        <v>230</v>
      </c>
      <c r="B471" s="14"/>
      <c r="C471" s="214"/>
      <c r="D471" s="214"/>
      <c r="E471" s="215"/>
      <c r="F471" s="214"/>
      <c r="G471" s="216"/>
      <c r="H471" s="14"/>
      <c r="I471" s="217"/>
      <c r="J471" s="59" t="str">
        <f>IF(ISBLANK(I471)," ",IF(ISTEXT(I471)," ",IF(I471&lt;=Нормативы!$H$16,"КМС",IF(I471&lt;=Нормативы!$H$17,"КМС",IF(I471&lt;=Нормативы!$L$18,"КМС",IF(I471&lt;=Нормативы!$L$19,"I",IF(I471&lt;=Нормативы!$L$20,"II",IF(I471&lt;=Нормативы!$L$21,"III",IF(I471&lt;=Нормативы!$L$22,"I юн",IF(I471&lt;=Нормативы!$L$23,"II юн",IF(I471&lt;=Нормативы!$L$24,"III юн","б/р")))))))))))</f>
        <v xml:space="preserve"> </v>
      </c>
      <c r="K471" s="14"/>
      <c r="L471" s="228"/>
      <c r="N471" s="230"/>
      <c r="O471" s="230"/>
      <c r="P471" s="230"/>
      <c r="Q471" s="230"/>
      <c r="R471" s="230"/>
      <c r="S471" s="230"/>
      <c r="T471" s="230"/>
    </row>
    <row r="472" spans="1:20" s="229" customFormat="1" ht="14.5" customHeight="1" x14ac:dyDescent="0.3">
      <c r="A472" s="14">
        <v>1</v>
      </c>
      <c r="B472" s="14" t="s">
        <v>22</v>
      </c>
      <c r="C472" s="214" t="s">
        <v>448</v>
      </c>
      <c r="D472" s="214"/>
      <c r="E472" s="215">
        <v>42610</v>
      </c>
      <c r="F472" s="214" t="s">
        <v>172</v>
      </c>
      <c r="G472" s="216"/>
      <c r="H472" s="14"/>
      <c r="I472" s="217">
        <v>25.47</v>
      </c>
      <c r="J472" s="59" t="str">
        <f>IF(ISBLANK(I472)," ",IF(ISTEXT(I472)," ",IF(I472&lt;=Нормативы!$H$16,"КМС",IF(I472&lt;=Нормативы!$H$17,"КМС",IF(I472&lt;=Нормативы!$L$18,"КМС",IF(I472&lt;=Нормативы!$L$19,"I",IF(I472&lt;=Нормативы!$L$20,"II",IF(I472&lt;=Нормативы!$L$21,"III",IF(I472&lt;=Нормативы!$L$22,"I юн",IF(I472&lt;=Нормативы!$L$23,"II юн",IF(I472&lt;=Нормативы!$L$24,"III юн","б/р")))))))))))</f>
        <v>II юн</v>
      </c>
      <c r="K472" s="14"/>
      <c r="L472" s="228"/>
      <c r="O472" s="230"/>
      <c r="P472" s="230"/>
      <c r="Q472" s="230"/>
      <c r="R472" s="230"/>
      <c r="S472" s="230"/>
      <c r="T472" s="230"/>
    </row>
    <row r="473" spans="1:20" s="229" customFormat="1" ht="14.5" customHeight="1" x14ac:dyDescent="0.3">
      <c r="A473" s="14">
        <v>2</v>
      </c>
      <c r="B473" s="14" t="s">
        <v>38</v>
      </c>
      <c r="C473" s="214" t="s">
        <v>344</v>
      </c>
      <c r="D473" s="214"/>
      <c r="E473" s="215">
        <v>42016</v>
      </c>
      <c r="F473" s="214" t="s">
        <v>198</v>
      </c>
      <c r="G473" s="216"/>
      <c r="H473" s="14"/>
      <c r="I473" s="217">
        <v>26.25</v>
      </c>
      <c r="J473" s="59" t="str">
        <f>IF(ISBLANK(I473)," ",IF(ISTEXT(I473)," ",IF(I473&lt;=Нормативы!$H$16,"КМС",IF(I473&lt;=Нормативы!$H$17,"КМС",IF(I473&lt;=Нормативы!$L$18,"КМС",IF(I473&lt;=Нормативы!$L$19,"I",IF(I473&lt;=Нормативы!$L$20,"II",IF(I473&lt;=Нормативы!$L$21,"III",IF(I473&lt;=Нормативы!$L$22,"I юн",IF(I473&lt;=Нормативы!$L$23,"II юн",IF(I473&lt;=Нормативы!$L$24,"III юн","б/р")))))))))))</f>
        <v>III юн</v>
      </c>
      <c r="K473" s="14"/>
      <c r="L473" s="228"/>
      <c r="O473" s="230"/>
      <c r="P473" s="230"/>
      <c r="Q473" s="230"/>
      <c r="R473" s="230"/>
      <c r="S473" s="230"/>
      <c r="T473" s="230"/>
    </row>
    <row r="474" spans="1:20" s="229" customFormat="1" ht="14.5" customHeight="1" x14ac:dyDescent="0.3">
      <c r="A474" s="14">
        <v>3</v>
      </c>
      <c r="B474" s="14" t="s">
        <v>38</v>
      </c>
      <c r="C474" s="214" t="s">
        <v>440</v>
      </c>
      <c r="D474" s="214"/>
      <c r="E474" s="215">
        <v>42103</v>
      </c>
      <c r="F474" s="214" t="s">
        <v>172</v>
      </c>
      <c r="G474" s="216"/>
      <c r="H474" s="14"/>
      <c r="I474" s="217">
        <v>26.47</v>
      </c>
      <c r="J474" s="59" t="str">
        <f>IF(ISBLANK(I474)," ",IF(ISTEXT(I474)," ",IF(I474&lt;=Нормативы!$H$16,"КМС",IF(I474&lt;=Нормативы!$H$17,"КМС",IF(I474&lt;=Нормативы!$L$18,"КМС",IF(I474&lt;=Нормативы!$L$19,"I",IF(I474&lt;=Нормативы!$L$20,"II",IF(I474&lt;=Нормативы!$L$21,"III",IF(I474&lt;=Нормативы!$L$22,"I юн",IF(I474&lt;=Нормативы!$L$23,"II юн",IF(I474&lt;=Нормативы!$L$24,"III юн","б/р")))))))))))</f>
        <v>III юн</v>
      </c>
      <c r="K474" s="14"/>
      <c r="L474" s="228"/>
      <c r="O474" s="230"/>
      <c r="P474" s="230"/>
      <c r="Q474" s="230"/>
      <c r="R474" s="230"/>
      <c r="S474" s="230"/>
      <c r="T474" s="230"/>
    </row>
    <row r="475" spans="1:20" s="229" customFormat="1" ht="14.5" customHeight="1" x14ac:dyDescent="0.3">
      <c r="A475" s="14">
        <v>4</v>
      </c>
      <c r="B475" s="14" t="s">
        <v>22</v>
      </c>
      <c r="C475" s="214" t="s">
        <v>446</v>
      </c>
      <c r="D475" s="214"/>
      <c r="E475" s="215">
        <v>42508</v>
      </c>
      <c r="F475" s="214" t="s">
        <v>172</v>
      </c>
      <c r="G475" s="216"/>
      <c r="H475" s="14"/>
      <c r="I475" s="217">
        <v>29.3</v>
      </c>
      <c r="J475" s="59" t="str">
        <f>IF(ISBLANK(I475)," ",IF(ISTEXT(I475)," ",IF(I475&lt;=Нормативы!$H$16,"КМС",IF(I475&lt;=Нормативы!$H$17,"КМС",IF(I475&lt;=Нормативы!$L$18,"КМС",IF(I475&lt;=Нормативы!$L$19,"I",IF(I475&lt;=Нормативы!$L$20,"II",IF(I475&lt;=Нормативы!$L$21,"III",IF(I475&lt;=Нормативы!$L$22,"I юн",IF(I475&lt;=Нормативы!$L$23,"II юн",IF(I475&lt;=Нормативы!$L$24,"III юн","б/р")))))))))))</f>
        <v>б/р</v>
      </c>
      <c r="K475" s="14"/>
      <c r="L475" s="228"/>
      <c r="O475" s="230"/>
      <c r="P475" s="230"/>
      <c r="Q475" s="230"/>
      <c r="R475" s="230"/>
      <c r="S475" s="230"/>
      <c r="T475" s="230"/>
    </row>
    <row r="476" spans="1:20" s="229" customFormat="1" ht="14.5" customHeight="1" x14ac:dyDescent="0.3">
      <c r="A476" s="14">
        <v>5</v>
      </c>
      <c r="B476" s="14" t="s">
        <v>23</v>
      </c>
      <c r="C476" s="214" t="s">
        <v>398</v>
      </c>
      <c r="D476" s="214"/>
      <c r="E476" s="215">
        <v>42256</v>
      </c>
      <c r="F476" s="214" t="s">
        <v>193</v>
      </c>
      <c r="G476" s="216"/>
      <c r="H476" s="14"/>
      <c r="I476" s="217">
        <v>29.47</v>
      </c>
      <c r="J476" s="59" t="str">
        <f>IF(ISBLANK(I476)," ",IF(ISTEXT(I476)," ",IF(I476&lt;=Нормативы!$H$16,"КМС",IF(I476&lt;=Нормативы!$H$17,"КМС",IF(I476&lt;=Нормативы!$L$18,"КМС",IF(I476&lt;=Нормативы!$L$19,"I",IF(I476&lt;=Нормативы!$L$20,"II",IF(I476&lt;=Нормативы!$L$21,"III",IF(I476&lt;=Нормативы!$L$22,"I юн",IF(I476&lt;=Нормативы!$L$23,"II юн",IF(I476&lt;=Нормативы!$L$24,"III юн","б/р")))))))))))</f>
        <v>б/р</v>
      </c>
      <c r="K476" s="14"/>
      <c r="L476" s="228"/>
      <c r="O476" s="230"/>
      <c r="P476" s="230"/>
      <c r="Q476" s="230"/>
      <c r="R476" s="230"/>
      <c r="S476" s="230"/>
      <c r="T476" s="230"/>
    </row>
    <row r="477" spans="1:20" s="229" customFormat="1" ht="14.5" customHeight="1" x14ac:dyDescent="0.3">
      <c r="A477" s="14">
        <v>6</v>
      </c>
      <c r="B477" s="14" t="s">
        <v>23</v>
      </c>
      <c r="C477" s="214" t="s">
        <v>494</v>
      </c>
      <c r="D477" s="214"/>
      <c r="E477" s="215">
        <v>42290</v>
      </c>
      <c r="F477" s="214" t="s">
        <v>172</v>
      </c>
      <c r="G477" s="216"/>
      <c r="H477" s="14"/>
      <c r="I477" s="217">
        <v>29.74</v>
      </c>
      <c r="J477" s="59" t="str">
        <f>IF(ISBLANK(I477)," ",IF(ISTEXT(I477)," ",IF(I477&lt;=Нормативы!$H$16,"КМС",IF(I477&lt;=Нормативы!$H$17,"КМС",IF(I477&lt;=Нормативы!$L$18,"КМС",IF(I477&lt;=Нормативы!$L$19,"I",IF(I477&lt;=Нормативы!$L$20,"II",IF(I477&lt;=Нормативы!$L$21,"III",IF(I477&lt;=Нормативы!$L$22,"I юн",IF(I477&lt;=Нормативы!$L$23,"II юн",IF(I477&lt;=Нормативы!$L$24,"III юн","б/р")))))))))))</f>
        <v>б/р</v>
      </c>
      <c r="K477" s="14"/>
      <c r="L477" s="228"/>
      <c r="O477" s="230"/>
      <c r="P477" s="230"/>
      <c r="Q477" s="230"/>
      <c r="R477" s="230"/>
      <c r="S477" s="230"/>
      <c r="T477" s="230"/>
    </row>
    <row r="478" spans="1:20" s="229" customFormat="1" ht="14.5" customHeight="1" x14ac:dyDescent="0.3">
      <c r="A478" s="14">
        <v>7</v>
      </c>
      <c r="B478" s="14" t="s">
        <v>26</v>
      </c>
      <c r="C478" s="214" t="s">
        <v>342</v>
      </c>
      <c r="D478" s="214"/>
      <c r="E478" s="215">
        <v>42609</v>
      </c>
      <c r="F478" s="214" t="s">
        <v>198</v>
      </c>
      <c r="G478" s="216"/>
      <c r="H478" s="14"/>
      <c r="I478" s="217">
        <v>30.19</v>
      </c>
      <c r="J478" s="59" t="str">
        <f>IF(ISBLANK(I478)," ",IF(ISTEXT(I478)," ",IF(I478&lt;=Нормативы!$H$16,"КМС",IF(I478&lt;=Нормативы!$H$17,"КМС",IF(I478&lt;=Нормативы!$L$18,"КМС",IF(I478&lt;=Нормативы!$L$19,"I",IF(I478&lt;=Нормативы!$L$20,"II",IF(I478&lt;=Нормативы!$L$21,"III",IF(I478&lt;=Нормативы!$L$22,"I юн",IF(I478&lt;=Нормативы!$L$23,"II юн",IF(I478&lt;=Нормативы!$L$24,"III юн","б/р")))))))))))</f>
        <v>б/р</v>
      </c>
      <c r="K478" s="14"/>
      <c r="L478" s="228"/>
      <c r="O478" s="230"/>
      <c r="P478" s="230"/>
      <c r="Q478" s="230"/>
      <c r="R478" s="230"/>
      <c r="S478" s="230"/>
      <c r="T478" s="230"/>
    </row>
    <row r="479" spans="1:20" s="229" customFormat="1" ht="14.5" customHeight="1" x14ac:dyDescent="0.3">
      <c r="A479" s="14">
        <v>8</v>
      </c>
      <c r="B479" s="14" t="s">
        <v>38</v>
      </c>
      <c r="C479" s="214" t="s">
        <v>442</v>
      </c>
      <c r="D479" s="214"/>
      <c r="E479" s="215">
        <v>42222</v>
      </c>
      <c r="F479" s="214" t="s">
        <v>172</v>
      </c>
      <c r="G479" s="216"/>
      <c r="H479" s="14"/>
      <c r="I479" s="217">
        <v>30.34</v>
      </c>
      <c r="J479" s="59" t="str">
        <f>IF(ISBLANK(I479)," ",IF(ISTEXT(I479)," ",IF(I479&lt;=Нормативы!$H$16,"КМС",IF(I479&lt;=Нормативы!$H$17,"КМС",IF(I479&lt;=Нормативы!$L$18,"КМС",IF(I479&lt;=Нормативы!$L$19,"I",IF(I479&lt;=Нормативы!$L$20,"II",IF(I479&lt;=Нормативы!$L$21,"III",IF(I479&lt;=Нормативы!$L$22,"I юн",IF(I479&lt;=Нормативы!$L$23,"II юн",IF(I479&lt;=Нормативы!$L$24,"III юн","б/р")))))))))))</f>
        <v>б/р</v>
      </c>
      <c r="K479" s="14"/>
      <c r="L479" s="228"/>
      <c r="O479" s="230"/>
      <c r="P479" s="230"/>
      <c r="Q479" s="230"/>
      <c r="R479" s="230"/>
      <c r="S479" s="230"/>
      <c r="T479" s="230"/>
    </row>
    <row r="480" spans="1:20" s="229" customFormat="1" ht="14.5" customHeight="1" x14ac:dyDescent="0.3">
      <c r="A480" s="14">
        <v>9</v>
      </c>
      <c r="B480" s="14" t="s">
        <v>23</v>
      </c>
      <c r="C480" s="214" t="s">
        <v>444</v>
      </c>
      <c r="D480" s="214"/>
      <c r="E480" s="215">
        <v>42353</v>
      </c>
      <c r="F480" s="214" t="s">
        <v>172</v>
      </c>
      <c r="G480" s="216"/>
      <c r="H480" s="14"/>
      <c r="I480" s="217">
        <v>30.75</v>
      </c>
      <c r="J480" s="59" t="str">
        <f>IF(ISBLANK(I480)," ",IF(ISTEXT(I480)," ",IF(I480&lt;=Нормативы!$H$16,"КМС",IF(I480&lt;=Нормативы!$H$17,"КМС",IF(I480&lt;=Нормативы!$L$18,"КМС",IF(I480&lt;=Нормативы!$L$19,"I",IF(I480&lt;=Нормативы!$L$20,"II",IF(I480&lt;=Нормативы!$L$21,"III",IF(I480&lt;=Нормативы!$L$22,"I юн",IF(I480&lt;=Нормативы!$L$23,"II юн",IF(I480&lt;=Нормативы!$L$24,"III юн","б/р")))))))))))</f>
        <v>б/р</v>
      </c>
      <c r="K480" s="14"/>
      <c r="L480" s="228"/>
      <c r="O480" s="230"/>
      <c r="P480" s="230"/>
      <c r="Q480" s="230"/>
      <c r="R480" s="230"/>
      <c r="S480" s="230"/>
      <c r="T480" s="230"/>
    </row>
    <row r="481" spans="1:20" s="229" customFormat="1" ht="14.5" customHeight="1" x14ac:dyDescent="0.3">
      <c r="A481" s="14">
        <v>10</v>
      </c>
      <c r="B481" s="14" t="s">
        <v>26</v>
      </c>
      <c r="C481" s="214" t="s">
        <v>343</v>
      </c>
      <c r="D481" s="214"/>
      <c r="E481" s="215">
        <v>42072</v>
      </c>
      <c r="F481" s="214" t="s">
        <v>198</v>
      </c>
      <c r="G481" s="216"/>
      <c r="H481" s="14"/>
      <c r="I481" s="217">
        <v>32.19</v>
      </c>
      <c r="J481" s="59" t="str">
        <f>IF(ISBLANK(I481)," ",IF(ISTEXT(I481)," ",IF(I481&lt;=Нормативы!$H$16,"КМС",IF(I481&lt;=Нормативы!$H$17,"КМС",IF(I481&lt;=Нормативы!$L$18,"КМС",IF(I481&lt;=Нормативы!$L$19,"I",IF(I481&lt;=Нормативы!$L$20,"II",IF(I481&lt;=Нормативы!$L$21,"III",IF(I481&lt;=Нормативы!$L$22,"I юн",IF(I481&lt;=Нормативы!$L$23,"II юн",IF(I481&lt;=Нормативы!$L$24,"III юн","б/р")))))))))))</f>
        <v>б/р</v>
      </c>
      <c r="K481" s="14"/>
      <c r="L481" s="228"/>
      <c r="O481" s="230"/>
      <c r="P481" s="230"/>
      <c r="Q481" s="230"/>
      <c r="R481" s="230"/>
      <c r="S481" s="230"/>
      <c r="T481" s="230"/>
    </row>
    <row r="482" spans="1:20" s="229" customFormat="1" ht="14.5" customHeight="1" x14ac:dyDescent="0.3">
      <c r="A482" s="14">
        <v>11</v>
      </c>
      <c r="B482" s="14" t="s">
        <v>23</v>
      </c>
      <c r="C482" s="214" t="s">
        <v>451</v>
      </c>
      <c r="D482" s="214"/>
      <c r="E482" s="215">
        <v>42720</v>
      </c>
      <c r="F482" s="214" t="s">
        <v>172</v>
      </c>
      <c r="G482" s="216"/>
      <c r="H482" s="14"/>
      <c r="I482" s="217">
        <v>33.57</v>
      </c>
      <c r="J482" s="59" t="str">
        <f>IF(ISBLANK(I482)," ",IF(ISTEXT(I482)," ",IF(I482&lt;=Нормативы!$H$16,"КМС",IF(I482&lt;=Нормативы!$H$17,"КМС",IF(I482&lt;=Нормативы!$L$18,"КМС",IF(I482&lt;=Нормативы!$L$19,"I",IF(I482&lt;=Нормативы!$L$20,"II",IF(I482&lt;=Нормативы!$L$21,"III",IF(I482&lt;=Нормативы!$L$22,"I юн",IF(I482&lt;=Нормативы!$L$23,"II юн",IF(I482&lt;=Нормативы!$L$24,"III юн","б/р")))))))))))</f>
        <v>б/р</v>
      </c>
      <c r="K482" s="14"/>
      <c r="L482" s="228"/>
      <c r="O482" s="230"/>
      <c r="P482" s="230"/>
      <c r="Q482" s="230"/>
      <c r="R482" s="230"/>
      <c r="S482" s="230"/>
      <c r="T482" s="230"/>
    </row>
    <row r="483" spans="1:20" s="229" customFormat="1" ht="14.5" customHeight="1" x14ac:dyDescent="0.3">
      <c r="A483" s="14">
        <v>12</v>
      </c>
      <c r="B483" s="14" t="s">
        <v>26</v>
      </c>
      <c r="C483" s="214" t="s">
        <v>449</v>
      </c>
      <c r="D483" s="214"/>
      <c r="E483" s="215">
        <v>42636</v>
      </c>
      <c r="F483" s="214" t="s">
        <v>172</v>
      </c>
      <c r="G483" s="216"/>
      <c r="H483" s="14"/>
      <c r="I483" s="217">
        <v>36.6</v>
      </c>
      <c r="J483" s="59" t="str">
        <f>IF(ISBLANK(I483)," ",IF(ISTEXT(I483)," ",IF(I483&lt;=Нормативы!$H$16,"КМС",IF(I483&lt;=Нормативы!$H$17,"КМС",IF(I483&lt;=Нормативы!$L$18,"КМС",IF(I483&lt;=Нормативы!$L$19,"I",IF(I483&lt;=Нормативы!$L$20,"II",IF(I483&lt;=Нормативы!$L$21,"III",IF(I483&lt;=Нормативы!$L$22,"I юн",IF(I483&lt;=Нормативы!$L$23,"II юн",IF(I483&lt;=Нормативы!$L$24,"III юн","б/р")))))))))))</f>
        <v>б/р</v>
      </c>
      <c r="K483" s="14"/>
      <c r="L483" s="228"/>
      <c r="O483" s="230"/>
      <c r="P483" s="230"/>
      <c r="Q483" s="230"/>
      <c r="R483" s="230"/>
      <c r="S483" s="230"/>
      <c r="T483" s="230"/>
    </row>
    <row r="484" spans="1:20" s="229" customFormat="1" ht="14.5" customHeight="1" x14ac:dyDescent="0.3">
      <c r="A484" s="14">
        <v>13</v>
      </c>
      <c r="B484" s="14" t="s">
        <v>26</v>
      </c>
      <c r="C484" s="214" t="s">
        <v>355</v>
      </c>
      <c r="D484" s="214"/>
      <c r="E484" s="215">
        <v>42472</v>
      </c>
      <c r="F484" s="214" t="s">
        <v>198</v>
      </c>
      <c r="G484" s="216"/>
      <c r="H484" s="14"/>
      <c r="I484" s="217">
        <v>36.74</v>
      </c>
      <c r="J484" s="59" t="str">
        <f>IF(ISBLANK(I484)," ",IF(ISTEXT(I484)," ",IF(I484&lt;=Нормативы!$H$16,"КМС",IF(I484&lt;=Нормативы!$H$17,"КМС",IF(I484&lt;=Нормативы!$L$18,"КМС",IF(I484&lt;=Нормативы!$L$19,"I",IF(I484&lt;=Нормативы!$L$20,"II",IF(I484&lt;=Нормативы!$L$21,"III",IF(I484&lt;=Нормативы!$L$22,"I юн",IF(I484&lt;=Нормативы!$L$23,"II юн",IF(I484&lt;=Нормативы!$L$24,"III юн","б/р")))))))))))</f>
        <v>б/р</v>
      </c>
      <c r="K484" s="14"/>
      <c r="L484" s="228"/>
      <c r="O484" s="230"/>
      <c r="P484" s="230"/>
      <c r="Q484" s="230"/>
      <c r="R484" s="230"/>
      <c r="S484" s="230"/>
      <c r="T484" s="230"/>
    </row>
    <row r="485" spans="1:20" s="229" customFormat="1" ht="14.5" customHeight="1" x14ac:dyDescent="0.3">
      <c r="A485" s="14">
        <v>14</v>
      </c>
      <c r="B485" s="14" t="s">
        <v>23</v>
      </c>
      <c r="C485" s="214" t="s">
        <v>443</v>
      </c>
      <c r="D485" s="214"/>
      <c r="E485" s="215">
        <v>42295</v>
      </c>
      <c r="F485" s="214" t="s">
        <v>172</v>
      </c>
      <c r="G485" s="216"/>
      <c r="H485" s="14"/>
      <c r="I485" s="217">
        <v>37.299999999999997</v>
      </c>
      <c r="J485" s="59" t="str">
        <f>IF(ISBLANK(I485)," ",IF(ISTEXT(I485)," ",IF(I485&lt;=Нормативы!$H$16,"КМС",IF(I485&lt;=Нормативы!$H$17,"КМС",IF(I485&lt;=Нормативы!$L$18,"КМС",IF(I485&lt;=Нормативы!$L$19,"I",IF(I485&lt;=Нормативы!$L$20,"II",IF(I485&lt;=Нормативы!$L$21,"III",IF(I485&lt;=Нормативы!$L$22,"I юн",IF(I485&lt;=Нормативы!$L$23,"II юн",IF(I485&lt;=Нормативы!$L$24,"III юн","б/р")))))))))))</f>
        <v>б/р</v>
      </c>
      <c r="K485" s="14"/>
      <c r="L485" s="228"/>
      <c r="O485" s="230"/>
      <c r="P485" s="230"/>
      <c r="Q485" s="230"/>
      <c r="R485" s="230"/>
      <c r="S485" s="230"/>
      <c r="T485" s="230"/>
    </row>
    <row r="486" spans="1:20" s="229" customFormat="1" ht="14.5" customHeight="1" x14ac:dyDescent="0.3">
      <c r="A486" s="14">
        <v>15</v>
      </c>
      <c r="B486" s="14" t="s">
        <v>26</v>
      </c>
      <c r="C486" s="214" t="s">
        <v>450</v>
      </c>
      <c r="D486" s="214"/>
      <c r="E486" s="215">
        <v>42646</v>
      </c>
      <c r="F486" s="214" t="s">
        <v>172</v>
      </c>
      <c r="G486" s="216"/>
      <c r="H486" s="14"/>
      <c r="I486" s="217">
        <v>38.03</v>
      </c>
      <c r="J486" s="59" t="str">
        <f>IF(ISBLANK(I486)," ",IF(ISTEXT(I486)," ",IF(I486&lt;=Нормативы!$H$16,"КМС",IF(I486&lt;=Нормативы!$H$17,"КМС",IF(I486&lt;=Нормативы!$L$18,"КМС",IF(I486&lt;=Нормативы!$L$19,"I",IF(I486&lt;=Нормативы!$L$20,"II",IF(I486&lt;=Нормативы!$L$21,"III",IF(I486&lt;=Нормативы!$L$22,"I юн",IF(I486&lt;=Нормативы!$L$23,"II юн",IF(I486&lt;=Нормативы!$L$24,"III юн","б/р")))))))))))</f>
        <v>б/р</v>
      </c>
      <c r="K486" s="14"/>
      <c r="L486" s="228"/>
      <c r="O486" s="230"/>
      <c r="P486" s="230"/>
      <c r="Q486" s="230"/>
      <c r="R486" s="230"/>
      <c r="S486" s="230"/>
      <c r="T486" s="230"/>
    </row>
    <row r="487" spans="1:20" s="229" customFormat="1" ht="14.5" customHeight="1" x14ac:dyDescent="0.3">
      <c r="A487" s="14"/>
      <c r="B487" s="14" t="s">
        <v>23</v>
      </c>
      <c r="C487" s="214" t="s">
        <v>447</v>
      </c>
      <c r="D487" s="214"/>
      <c r="E487" s="215">
        <v>42508</v>
      </c>
      <c r="F487" s="214" t="s">
        <v>172</v>
      </c>
      <c r="G487" s="216"/>
      <c r="H487" s="14"/>
      <c r="I487" s="217" t="s">
        <v>191</v>
      </c>
      <c r="J487" s="59" t="str">
        <f>IF(ISBLANK(I487)," ",IF(ISTEXT(I487)," ",IF(I487&lt;=Нормативы!$H$16,"КМС",IF(I487&lt;=Нормативы!$H$17,"КМС",IF(I487&lt;=Нормативы!$L$18,"КМС",IF(I487&lt;=Нормативы!$L$19,"I",IF(I487&lt;=Нормативы!$L$20,"II",IF(I487&lt;=Нормативы!$L$21,"III",IF(I487&lt;=Нормативы!$L$22,"I юн",IF(I487&lt;=Нормативы!$L$23,"II юн",IF(I487&lt;=Нормативы!$L$24,"III юн","б/р")))))))))))</f>
        <v xml:space="preserve"> </v>
      </c>
      <c r="K487" s="14"/>
      <c r="L487" s="228"/>
      <c r="O487" s="230"/>
      <c r="P487" s="230"/>
      <c r="Q487" s="230"/>
      <c r="R487" s="230"/>
      <c r="S487" s="230"/>
      <c r="T487" s="230"/>
    </row>
    <row r="488" spans="1:20" s="229" customFormat="1" ht="14.5" customHeight="1" x14ac:dyDescent="0.3">
      <c r="A488" s="14"/>
      <c r="B488" s="14" t="s">
        <v>26</v>
      </c>
      <c r="C488" s="214" t="s">
        <v>349</v>
      </c>
      <c r="D488" s="214"/>
      <c r="E488" s="215">
        <v>42636</v>
      </c>
      <c r="F488" s="214" t="s">
        <v>198</v>
      </c>
      <c r="G488" s="216"/>
      <c r="H488" s="14"/>
      <c r="I488" s="217" t="s">
        <v>191</v>
      </c>
      <c r="J488" s="59" t="str">
        <f>IF(ISBLANK(I488)," ",IF(ISTEXT(I488)," ",IF(I488&lt;=Нормативы!$H$16,"КМС",IF(I488&lt;=Нормативы!$H$17,"КМС",IF(I488&lt;=Нормативы!$L$18,"КМС",IF(I488&lt;=Нормативы!$L$19,"I",IF(I488&lt;=Нормативы!$L$20,"II",IF(I488&lt;=Нормативы!$L$21,"III",IF(I488&lt;=Нормативы!$L$22,"I юн",IF(I488&lt;=Нормативы!$L$23,"II юн",IF(I488&lt;=Нормативы!$L$24,"III юн","б/р")))))))))))</f>
        <v xml:space="preserve"> </v>
      </c>
      <c r="K488" s="14"/>
      <c r="L488" s="228"/>
      <c r="O488" s="230"/>
      <c r="P488" s="230"/>
      <c r="Q488" s="230"/>
      <c r="R488" s="230"/>
      <c r="S488" s="230"/>
      <c r="T488" s="230"/>
    </row>
    <row r="489" spans="1:20" s="229" customFormat="1" ht="14.5" customHeight="1" x14ac:dyDescent="0.3">
      <c r="A489" s="14"/>
      <c r="B489" s="14"/>
      <c r="C489" s="222"/>
      <c r="D489" s="222"/>
      <c r="E489" s="215"/>
      <c r="F489" s="214"/>
      <c r="G489" s="216"/>
      <c r="H489" s="14"/>
      <c r="I489" s="217"/>
      <c r="J489" s="59" t="str">
        <f>IF(ISBLANK(I489)," ",IF(ISTEXT(I489)," ",IF(I489&lt;=Нормативы!$H$16,"КМС",IF(I489&lt;=Нормативы!$H$17,"КМС",IF(I489&lt;=Нормативы!$L$18,"КМС",IF(I489&lt;=Нормативы!$L$19,"I",IF(I489&lt;=Нормативы!$L$20,"II",IF(I489&lt;=Нормативы!$L$21,"III",IF(I489&lt;=Нормативы!$L$22,"I юн",IF(I489&lt;=Нормативы!$L$23,"II юн",IF(I489&lt;=Нормативы!$L$24,"III юн","б/р")))))))))))</f>
        <v xml:space="preserve"> </v>
      </c>
      <c r="K489" s="14"/>
      <c r="L489" s="228"/>
      <c r="O489" s="230"/>
      <c r="P489" s="230"/>
      <c r="Q489" s="230"/>
      <c r="R489" s="230"/>
      <c r="S489" s="230"/>
      <c r="T489" s="230"/>
    </row>
    <row r="490" spans="1:20" s="229" customFormat="1" ht="14.5" customHeight="1" x14ac:dyDescent="0.3">
      <c r="A490" s="221" t="s">
        <v>237</v>
      </c>
      <c r="B490" s="14"/>
      <c r="C490" s="214"/>
      <c r="D490" s="214"/>
      <c r="E490" s="215"/>
      <c r="F490" s="214"/>
      <c r="G490" s="216"/>
      <c r="H490" s="14"/>
      <c r="I490" s="217"/>
      <c r="J490" s="59" t="str">
        <f>IF(ISBLANK(I490)," ",IF(ISTEXT(I490)," ",IF(I490&lt;=Нормативы!$H$16,"КМС",IF(I490&lt;=Нормативы!$H$17,"КМС",IF(I490&lt;=Нормативы!$L$18,"КМС",IF(I490&lt;=Нормативы!$L$19,"I",IF(I490&lt;=Нормативы!$L$20,"II",IF(I490&lt;=Нормативы!$L$21,"III",IF(I490&lt;=Нормативы!$L$22,"I юн",IF(I490&lt;=Нормативы!$L$23,"II юн",IF(I490&lt;=Нормативы!$L$24,"III юн","б/р")))))))))))</f>
        <v xml:space="preserve"> </v>
      </c>
      <c r="K490" s="14"/>
      <c r="L490" s="228"/>
      <c r="N490" s="230"/>
      <c r="O490" s="230"/>
      <c r="P490" s="230"/>
      <c r="Q490" s="230"/>
      <c r="R490" s="230"/>
      <c r="S490" s="230"/>
      <c r="T490" s="230"/>
    </row>
    <row r="491" spans="1:20" s="229" customFormat="1" ht="14.5" customHeight="1" x14ac:dyDescent="0.3">
      <c r="A491" s="14">
        <v>1</v>
      </c>
      <c r="B491" s="14" t="s">
        <v>22</v>
      </c>
      <c r="C491" s="214" t="s">
        <v>453</v>
      </c>
      <c r="D491" s="214"/>
      <c r="E491" s="215">
        <v>42918</v>
      </c>
      <c r="F491" s="214" t="s">
        <v>172</v>
      </c>
      <c r="G491" s="216"/>
      <c r="H491" s="14"/>
      <c r="I491" s="217">
        <v>30.86</v>
      </c>
      <c r="J491" s="59" t="str">
        <f>IF(ISBLANK(I491)," ",IF(ISTEXT(I491)," ",IF(I491&lt;=Нормативы!$H$16,"КМС",IF(I491&lt;=Нормативы!$H$17,"КМС",IF(I491&lt;=Нормативы!$L$18,"КМС",IF(I491&lt;=Нормативы!$L$19,"I",IF(I491&lt;=Нормативы!$L$20,"II",IF(I491&lt;=Нормативы!$L$21,"III",IF(I491&lt;=Нормативы!$L$22,"I юн",IF(I491&lt;=Нормативы!$L$23,"II юн",IF(I491&lt;=Нормативы!$L$24,"III юн","б/р")))))))))))</f>
        <v>б/р</v>
      </c>
      <c r="K491" s="14"/>
      <c r="L491" s="228"/>
      <c r="N491" s="230"/>
      <c r="O491" s="230"/>
      <c r="P491" s="230"/>
      <c r="Q491" s="230"/>
      <c r="R491" s="230"/>
      <c r="S491" s="230"/>
      <c r="T491" s="230"/>
    </row>
    <row r="492" spans="1:20" s="229" customFormat="1" ht="14.5" customHeight="1" x14ac:dyDescent="0.3">
      <c r="A492" s="14">
        <v>2</v>
      </c>
      <c r="B492" s="14" t="s">
        <v>23</v>
      </c>
      <c r="C492" s="214" t="s">
        <v>452</v>
      </c>
      <c r="D492" s="214"/>
      <c r="E492" s="215">
        <v>42886</v>
      </c>
      <c r="F492" s="214" t="s">
        <v>172</v>
      </c>
      <c r="G492" s="216"/>
      <c r="H492" s="14"/>
      <c r="I492" s="217">
        <v>33.619999999999997</v>
      </c>
      <c r="J492" s="59" t="str">
        <f>IF(ISBLANK(I492)," ",IF(ISTEXT(I492)," ",IF(I492&lt;=Нормативы!$H$16,"КМС",IF(I492&lt;=Нормативы!$H$17,"КМС",IF(I492&lt;=Нормативы!$L$18,"КМС",IF(I492&lt;=Нормативы!$L$19,"I",IF(I492&lt;=Нормативы!$L$20,"II",IF(I492&lt;=Нормативы!$L$21,"III",IF(I492&lt;=Нормативы!$L$22,"I юн",IF(I492&lt;=Нормативы!$L$23,"II юн",IF(I492&lt;=Нормативы!$L$24,"III юн","б/р")))))))))))</f>
        <v>б/р</v>
      </c>
      <c r="K492" s="14"/>
      <c r="L492" s="228"/>
      <c r="N492" s="230"/>
      <c r="O492" s="230"/>
      <c r="P492" s="230"/>
      <c r="Q492" s="230"/>
      <c r="R492" s="230"/>
      <c r="S492" s="230"/>
      <c r="T492" s="230"/>
    </row>
    <row r="493" spans="1:20" s="229" customFormat="1" ht="14.5" customHeight="1" x14ac:dyDescent="0.3">
      <c r="A493" s="14">
        <v>3</v>
      </c>
      <c r="B493" s="14" t="s">
        <v>26</v>
      </c>
      <c r="C493" s="214" t="s">
        <v>458</v>
      </c>
      <c r="D493" s="214"/>
      <c r="E493" s="215">
        <v>42844</v>
      </c>
      <c r="F493" s="214" t="s">
        <v>172</v>
      </c>
      <c r="G493" s="216"/>
      <c r="H493" s="14"/>
      <c r="I493" s="217">
        <v>36.9</v>
      </c>
      <c r="J493" s="59" t="str">
        <f>IF(ISBLANK(I493)," ",IF(ISTEXT(I493)," ",IF(I493&lt;=Нормативы!$H$16,"КМС",IF(I493&lt;=Нормативы!$H$17,"КМС",IF(I493&lt;=Нормативы!$L$18,"КМС",IF(I493&lt;=Нормативы!$L$19,"I",IF(I493&lt;=Нормативы!$L$20,"II",IF(I493&lt;=Нормативы!$L$21,"III",IF(I493&lt;=Нормативы!$L$22,"I юн",IF(I493&lt;=Нормативы!$L$23,"II юн",IF(I493&lt;=Нормативы!$L$24,"III юн","б/р")))))))))))</f>
        <v>б/р</v>
      </c>
      <c r="K493" s="14"/>
      <c r="L493" s="228"/>
      <c r="N493" s="230"/>
      <c r="O493" s="230"/>
      <c r="P493" s="230"/>
      <c r="Q493" s="230"/>
      <c r="R493" s="230"/>
      <c r="S493" s="230"/>
      <c r="T493" s="230"/>
    </row>
    <row r="494" spans="1:20" s="229" customFormat="1" ht="14.5" customHeight="1" x14ac:dyDescent="0.3">
      <c r="A494" s="14">
        <v>4</v>
      </c>
      <c r="B494" s="14" t="s">
        <v>23</v>
      </c>
      <c r="C494" s="214" t="s">
        <v>454</v>
      </c>
      <c r="D494" s="214"/>
      <c r="E494" s="215">
        <v>43038</v>
      </c>
      <c r="F494" s="214" t="s">
        <v>172</v>
      </c>
      <c r="G494" s="216"/>
      <c r="H494" s="14"/>
      <c r="I494" s="217">
        <v>38.590000000000003</v>
      </c>
      <c r="J494" s="59" t="str">
        <f>IF(ISBLANK(I494)," ",IF(ISTEXT(I494)," ",IF(I494&lt;=Нормативы!$H$16,"КМС",IF(I494&lt;=Нормативы!$H$17,"КМС",IF(I494&lt;=Нормативы!$L$18,"КМС",IF(I494&lt;=Нормативы!$L$19,"I",IF(I494&lt;=Нормативы!$L$20,"II",IF(I494&lt;=Нормативы!$L$21,"III",IF(I494&lt;=Нормативы!$L$22,"I юн",IF(I494&lt;=Нормативы!$L$23,"II юн",IF(I494&lt;=Нормативы!$L$24,"III юн","б/р")))))))))))</f>
        <v>б/р</v>
      </c>
      <c r="K494" s="14"/>
      <c r="L494" s="228"/>
      <c r="N494" s="230"/>
      <c r="O494" s="230"/>
      <c r="P494" s="230"/>
      <c r="Q494" s="230"/>
      <c r="R494" s="230"/>
      <c r="S494" s="230"/>
      <c r="T494" s="230"/>
    </row>
    <row r="495" spans="1:20" s="229" customFormat="1" ht="14.5" customHeight="1" x14ac:dyDescent="0.3">
      <c r="A495" s="14">
        <v>5</v>
      </c>
      <c r="B495" s="14" t="s">
        <v>26</v>
      </c>
      <c r="C495" s="214" t="s">
        <v>303</v>
      </c>
      <c r="D495" s="214"/>
      <c r="E495" s="215">
        <v>42740</v>
      </c>
      <c r="F495" s="214" t="s">
        <v>198</v>
      </c>
      <c r="G495" s="216"/>
      <c r="H495" s="14"/>
      <c r="I495" s="217">
        <v>39.49</v>
      </c>
      <c r="J495" s="59" t="str">
        <f>IF(ISBLANK(I495)," ",IF(ISTEXT(I495)," ",IF(I495&lt;=Нормативы!$H$16,"КМС",IF(I495&lt;=Нормативы!$H$17,"КМС",IF(I495&lt;=Нормативы!$L$18,"КМС",IF(I495&lt;=Нормативы!$L$19,"I",IF(I495&lt;=Нормативы!$L$20,"II",IF(I495&lt;=Нормативы!$L$21,"III",IF(I495&lt;=Нормативы!$L$22,"I юн",IF(I495&lt;=Нормативы!$L$23,"II юн",IF(I495&lt;=Нормативы!$L$24,"III юн","б/р")))))))))))</f>
        <v>б/р</v>
      </c>
      <c r="K495" s="14"/>
      <c r="L495" s="228"/>
      <c r="N495" s="230"/>
      <c r="O495" s="230"/>
      <c r="P495" s="230"/>
      <c r="Q495" s="230"/>
      <c r="R495" s="230"/>
      <c r="S495" s="230"/>
      <c r="T495" s="230"/>
    </row>
    <row r="496" spans="1:20" s="229" customFormat="1" ht="14.5" customHeight="1" x14ac:dyDescent="0.3">
      <c r="A496" s="14">
        <v>6</v>
      </c>
      <c r="B496" s="14" t="s">
        <v>26</v>
      </c>
      <c r="C496" s="214" t="s">
        <v>456</v>
      </c>
      <c r="D496" s="214"/>
      <c r="E496" s="215">
        <v>43166</v>
      </c>
      <c r="F496" s="214" t="s">
        <v>172</v>
      </c>
      <c r="G496" s="216"/>
      <c r="H496" s="14"/>
      <c r="I496" s="217">
        <v>39.840000000000003</v>
      </c>
      <c r="J496" s="59" t="str">
        <f>IF(ISBLANK(I496)," ",IF(ISTEXT(I496)," ",IF(I496&lt;=Нормативы!$H$16,"КМС",IF(I496&lt;=Нормативы!$H$17,"КМС",IF(I496&lt;=Нормативы!$L$18,"КМС",IF(I496&lt;=Нормативы!$L$19,"I",IF(I496&lt;=Нормативы!$L$20,"II",IF(I496&lt;=Нормативы!$L$21,"III",IF(I496&lt;=Нормативы!$L$22,"I юн",IF(I496&lt;=Нормативы!$L$23,"II юн",IF(I496&lt;=Нормативы!$L$24,"III юн","б/р")))))))))))</f>
        <v>б/р</v>
      </c>
      <c r="K496" s="14"/>
      <c r="L496" s="228"/>
      <c r="N496" s="230"/>
      <c r="O496" s="230"/>
      <c r="P496" s="230"/>
      <c r="Q496" s="230"/>
      <c r="R496" s="230"/>
      <c r="S496" s="230"/>
      <c r="T496" s="230"/>
    </row>
    <row r="497" spans="1:20" s="229" customFormat="1" ht="14.5" customHeight="1" x14ac:dyDescent="0.3">
      <c r="A497" s="14">
        <v>7</v>
      </c>
      <c r="B497" s="14" t="s">
        <v>23</v>
      </c>
      <c r="C497" s="214" t="s">
        <v>455</v>
      </c>
      <c r="D497" s="214"/>
      <c r="E497" s="215">
        <v>43088</v>
      </c>
      <c r="F497" s="214" t="s">
        <v>172</v>
      </c>
      <c r="G497" s="216"/>
      <c r="H497" s="14"/>
      <c r="I497" s="217">
        <v>41.06</v>
      </c>
      <c r="J497" s="59" t="str">
        <f>IF(ISBLANK(I497)," ",IF(ISTEXT(I497)," ",IF(I497&lt;=Нормативы!$H$16,"КМС",IF(I497&lt;=Нормативы!$H$17,"КМС",IF(I497&lt;=Нормативы!$L$18,"КМС",IF(I497&lt;=Нормативы!$L$19,"I",IF(I497&lt;=Нормативы!$L$20,"II",IF(I497&lt;=Нормативы!$L$21,"III",IF(I497&lt;=Нормативы!$L$22,"I юн",IF(I497&lt;=Нормативы!$L$23,"II юн",IF(I497&lt;=Нормативы!$L$24,"III юн","б/р")))))))))))</f>
        <v>б/р</v>
      </c>
      <c r="K497" s="14"/>
      <c r="L497" s="228"/>
      <c r="N497" s="230"/>
      <c r="O497" s="230"/>
      <c r="P497" s="230"/>
      <c r="Q497" s="230"/>
      <c r="R497" s="230"/>
      <c r="S497" s="230"/>
      <c r="T497" s="230"/>
    </row>
    <row r="498" spans="1:20" s="229" customFormat="1" ht="14.5" customHeight="1" x14ac:dyDescent="0.3">
      <c r="A498" s="14">
        <v>8</v>
      </c>
      <c r="B498" s="14" t="s">
        <v>26</v>
      </c>
      <c r="C498" s="214" t="s">
        <v>356</v>
      </c>
      <c r="D498" s="214"/>
      <c r="E498" s="215">
        <v>42989</v>
      </c>
      <c r="F498" s="214" t="s">
        <v>198</v>
      </c>
      <c r="G498" s="216"/>
      <c r="H498" s="14"/>
      <c r="I498" s="217">
        <v>43.74</v>
      </c>
      <c r="J498" s="59" t="str">
        <f>IF(ISBLANK(I498)," ",IF(ISTEXT(I498)," ",IF(I498&lt;=Нормативы!$H$16,"КМС",IF(I498&lt;=Нормативы!$H$17,"КМС",IF(I498&lt;=Нормативы!$L$18,"КМС",IF(I498&lt;=Нормативы!$L$19,"I",IF(I498&lt;=Нормативы!$L$20,"II",IF(I498&lt;=Нормативы!$L$21,"III",IF(I498&lt;=Нормативы!$L$22,"I юн",IF(I498&lt;=Нормативы!$L$23,"II юн",IF(I498&lt;=Нормативы!$L$24,"III юн","б/р")))))))))))</f>
        <v>б/р</v>
      </c>
      <c r="K498" s="14"/>
      <c r="L498" s="228"/>
      <c r="N498" s="230"/>
      <c r="O498" s="230"/>
      <c r="P498" s="230"/>
      <c r="Q498" s="230"/>
      <c r="R498" s="230"/>
      <c r="S498" s="230"/>
      <c r="T498" s="230"/>
    </row>
    <row r="499" spans="1:20" s="229" customFormat="1" ht="14.5" customHeight="1" x14ac:dyDescent="0.3">
      <c r="A499" s="14">
        <v>9</v>
      </c>
      <c r="B499" s="14" t="s">
        <v>26</v>
      </c>
      <c r="C499" s="214" t="s">
        <v>309</v>
      </c>
      <c r="D499" s="214"/>
      <c r="E499" s="215">
        <v>43574</v>
      </c>
      <c r="F499" s="214" t="s">
        <v>198</v>
      </c>
      <c r="G499" s="216"/>
      <c r="H499" s="14"/>
      <c r="I499" s="217">
        <v>45.3</v>
      </c>
      <c r="J499" s="59" t="str">
        <f>IF(ISBLANK(I499)," ",IF(ISTEXT(I499)," ",IF(I499&lt;=Нормативы!$H$16,"КМС",IF(I499&lt;=Нормативы!$H$17,"КМС",IF(I499&lt;=Нормативы!$L$18,"КМС",IF(I499&lt;=Нормативы!$L$19,"I",IF(I499&lt;=Нормативы!$L$20,"II",IF(I499&lt;=Нормативы!$L$21,"III",IF(I499&lt;=Нормативы!$L$22,"I юн",IF(I499&lt;=Нормативы!$L$23,"II юн",IF(I499&lt;=Нормативы!$L$24,"III юн","б/р")))))))))))</f>
        <v>б/р</v>
      </c>
      <c r="K499" s="14"/>
      <c r="L499" s="228"/>
      <c r="N499" s="230"/>
      <c r="O499" s="230"/>
      <c r="P499" s="230"/>
      <c r="Q499" s="230"/>
      <c r="R499" s="230"/>
      <c r="S499" s="230"/>
      <c r="T499" s="230"/>
    </row>
    <row r="500" spans="1:20" s="229" customFormat="1" ht="14.5" customHeight="1" x14ac:dyDescent="0.3">
      <c r="A500" s="14">
        <v>10</v>
      </c>
      <c r="B500" s="14" t="s">
        <v>26</v>
      </c>
      <c r="C500" s="214" t="s">
        <v>359</v>
      </c>
      <c r="D500" s="214"/>
      <c r="E500" s="215">
        <v>42753</v>
      </c>
      <c r="F500" s="214" t="s">
        <v>198</v>
      </c>
      <c r="G500" s="216"/>
      <c r="H500" s="14"/>
      <c r="I500" s="217">
        <v>47.4</v>
      </c>
      <c r="J500" s="59" t="str">
        <f>IF(ISBLANK(I500)," ",IF(ISTEXT(I500)," ",IF(I500&lt;=Нормативы!$H$16,"КМС",IF(I500&lt;=Нормативы!$H$17,"КМС",IF(I500&lt;=Нормативы!$L$18,"КМС",IF(I500&lt;=Нормативы!$L$19,"I",IF(I500&lt;=Нормативы!$L$20,"II",IF(I500&lt;=Нормативы!$L$21,"III",IF(I500&lt;=Нормативы!$L$22,"I юн",IF(I500&lt;=Нормативы!$L$23,"II юн",IF(I500&lt;=Нормативы!$L$24,"III юн","б/р")))))))))))</f>
        <v>б/р</v>
      </c>
      <c r="K500" s="14"/>
      <c r="L500" s="228"/>
      <c r="N500" s="230"/>
      <c r="O500" s="230"/>
      <c r="P500" s="230"/>
      <c r="Q500" s="230"/>
      <c r="R500" s="230"/>
      <c r="S500" s="230"/>
      <c r="T500" s="230"/>
    </row>
    <row r="501" spans="1:20" s="229" customFormat="1" ht="14.5" customHeight="1" x14ac:dyDescent="0.3">
      <c r="A501" s="14"/>
      <c r="B501" s="14"/>
      <c r="C501" s="222"/>
      <c r="D501" s="222"/>
      <c r="E501" s="215"/>
      <c r="F501" s="214"/>
      <c r="G501" s="216"/>
      <c r="H501" s="14"/>
      <c r="I501" s="217"/>
      <c r="J501" s="231"/>
      <c r="K501" s="14"/>
      <c r="L501" s="228"/>
      <c r="N501" s="230"/>
      <c r="O501" s="230"/>
      <c r="P501" s="230"/>
      <c r="Q501" s="230"/>
      <c r="R501" s="230"/>
      <c r="S501" s="230"/>
      <c r="T501" s="230"/>
    </row>
    <row r="502" spans="1:20" s="229" customFormat="1" ht="14.5" customHeight="1" x14ac:dyDescent="0.3">
      <c r="A502" s="14"/>
      <c r="B502" s="14"/>
      <c r="C502" s="222"/>
      <c r="D502" s="222"/>
      <c r="E502" s="215"/>
      <c r="F502" s="214"/>
      <c r="G502" s="216"/>
      <c r="H502" s="14"/>
      <c r="I502" s="217"/>
      <c r="J502" s="231"/>
      <c r="K502" s="14"/>
      <c r="L502" s="228"/>
      <c r="N502" s="230"/>
      <c r="O502" s="230"/>
      <c r="P502" s="230"/>
      <c r="Q502" s="230"/>
      <c r="R502" s="230"/>
      <c r="S502" s="230"/>
      <c r="T502" s="230"/>
    </row>
    <row r="503" spans="1:20" s="229" customFormat="1" ht="14.5" customHeight="1" x14ac:dyDescent="0.3">
      <c r="A503" s="221" t="s">
        <v>225</v>
      </c>
      <c r="B503" s="14"/>
      <c r="C503" s="214"/>
      <c r="D503" s="214"/>
      <c r="E503" s="215"/>
      <c r="F503" s="214"/>
      <c r="G503" s="216"/>
      <c r="H503" s="14"/>
      <c r="I503" s="217"/>
      <c r="J503" s="59" t="str">
        <f>IF(ISBLANK(I503)," ",IF(ISTEXT(I503)," ",IF(I503&lt;=Нормативы!$H$71,"КМС",IF(I503&lt;=Нормативы!$H$72,"КМС",IF(I503&lt;=Нормативы!$L$73,"КМС",IF(I503&lt;=Нормативы!$L$74,"I",IF(I503&lt;=Нормативы!$L$75,"II",IF(I503&lt;=Нормативы!$L$76,"III",IF(I503&lt;=Нормативы!$L$77,"I юн",IF(I503&lt;=Нормативы!$L$78,"II юн",IF(I503&lt;=Нормативы!$L$79,"III юн","б/р")))))))))))</f>
        <v xml:space="preserve"> </v>
      </c>
      <c r="K503" s="14"/>
      <c r="L503" s="228"/>
      <c r="M503" s="230"/>
      <c r="N503" s="230"/>
      <c r="O503" s="230"/>
      <c r="P503" s="230"/>
      <c r="Q503" s="230"/>
      <c r="R503" s="230"/>
      <c r="S503" s="230"/>
      <c r="T503" s="230"/>
    </row>
    <row r="504" spans="1:20" s="229" customFormat="1" ht="14.5" customHeight="1" x14ac:dyDescent="0.3">
      <c r="A504" s="14">
        <v>1</v>
      </c>
      <c r="B504" s="14" t="s">
        <v>22</v>
      </c>
      <c r="C504" s="214" t="s">
        <v>382</v>
      </c>
      <c r="D504" s="214"/>
      <c r="E504" s="215">
        <v>42114</v>
      </c>
      <c r="F504" s="214" t="s">
        <v>193</v>
      </c>
      <c r="G504" s="216"/>
      <c r="H504" s="14"/>
      <c r="I504" s="217">
        <v>107.78</v>
      </c>
      <c r="J504" s="59" t="str">
        <f>IF(ISBLANK(I504)," ",IF(ISTEXT(I504)," ",IF(I504&lt;=Нормативы!$H$71,"КМС",IF(I504&lt;=Нормативы!$H$72,"КМС",IF(I504&lt;=Нормативы!$L$73,"КМС",IF(I504&lt;=Нормативы!$L$74,"I",IF(I504&lt;=Нормативы!$L$75,"II",IF(I504&lt;=Нормативы!$L$76,"III",IF(I504&lt;=Нормативы!$L$77,"I юн",IF(I504&lt;=Нормативы!$L$78,"II юн",IF(I504&lt;=Нормативы!$L$79,"III юн","б/р")))))))))))</f>
        <v>I юн</v>
      </c>
      <c r="K504" s="14"/>
      <c r="L504" s="228"/>
      <c r="M504" s="230"/>
      <c r="N504" s="230"/>
      <c r="O504" s="230"/>
      <c r="P504" s="230"/>
      <c r="Q504" s="230"/>
      <c r="R504" s="230"/>
      <c r="S504" s="230"/>
      <c r="T504" s="230"/>
    </row>
    <row r="505" spans="1:20" s="229" customFormat="1" ht="14.5" customHeight="1" x14ac:dyDescent="0.3">
      <c r="A505" s="14">
        <v>2</v>
      </c>
      <c r="B505" s="14" t="s">
        <v>38</v>
      </c>
      <c r="C505" s="214" t="s">
        <v>383</v>
      </c>
      <c r="D505" s="214"/>
      <c r="E505" s="215">
        <v>42198</v>
      </c>
      <c r="F505" s="214" t="s">
        <v>193</v>
      </c>
      <c r="G505" s="216"/>
      <c r="H505" s="14"/>
      <c r="I505" s="217">
        <v>108.31</v>
      </c>
      <c r="J505" s="59" t="str">
        <f>IF(ISBLANK(I505)," ",IF(ISTEXT(I505)," ",IF(I505&lt;=Нормативы!$H$71,"КМС",IF(I505&lt;=Нормативы!$H$72,"КМС",IF(I505&lt;=Нормативы!$L$73,"КМС",IF(I505&lt;=Нормативы!$L$74,"I",IF(I505&lt;=Нормативы!$L$75,"II",IF(I505&lt;=Нормативы!$L$76,"III",IF(I505&lt;=Нормативы!$L$77,"I юн",IF(I505&lt;=Нормативы!$L$78,"II юн",IF(I505&lt;=Нормативы!$L$79,"III юн","б/р")))))))))))</f>
        <v>I юн</v>
      </c>
      <c r="K505" s="14"/>
      <c r="L505" s="228"/>
      <c r="M505" s="230"/>
      <c r="N505" s="230"/>
      <c r="O505" s="230"/>
      <c r="P505" s="230"/>
      <c r="Q505" s="230"/>
      <c r="R505" s="230"/>
      <c r="S505" s="230"/>
      <c r="T505" s="230"/>
    </row>
    <row r="506" spans="1:20" s="229" customFormat="1" ht="14.5" customHeight="1" x14ac:dyDescent="0.3">
      <c r="A506" s="14">
        <v>3</v>
      </c>
      <c r="B506" s="14" t="s">
        <v>22</v>
      </c>
      <c r="C506" s="214" t="s">
        <v>384</v>
      </c>
      <c r="D506" s="214"/>
      <c r="E506" s="215">
        <v>42450</v>
      </c>
      <c r="F506" s="214" t="s">
        <v>193</v>
      </c>
      <c r="G506" s="216"/>
      <c r="H506" s="14"/>
      <c r="I506" s="217">
        <v>109.02</v>
      </c>
      <c r="J506" s="59" t="str">
        <f>IF(ISBLANK(I506)," ",IF(ISTEXT(I506)," ",IF(I506&lt;=Нормативы!$H$71,"КМС",IF(I506&lt;=Нормативы!$H$72,"КМС",IF(I506&lt;=Нормативы!$L$73,"КМС",IF(I506&lt;=Нормативы!$L$74,"I",IF(I506&lt;=Нормативы!$L$75,"II",IF(I506&lt;=Нормативы!$L$76,"III",IF(I506&lt;=Нормативы!$L$77,"I юн",IF(I506&lt;=Нормативы!$L$78,"II юн",IF(I506&lt;=Нормативы!$L$79,"III юн","б/р")))))))))))</f>
        <v>I юн</v>
      </c>
      <c r="K506" s="14"/>
      <c r="L506" s="228"/>
      <c r="M506" s="230"/>
      <c r="N506" s="230"/>
      <c r="O506" s="230"/>
      <c r="P506" s="230"/>
      <c r="Q506" s="230"/>
      <c r="R506" s="230"/>
      <c r="S506" s="230"/>
      <c r="T506" s="230"/>
    </row>
    <row r="507" spans="1:20" s="229" customFormat="1" ht="14.5" customHeight="1" x14ac:dyDescent="0.3">
      <c r="A507" s="14">
        <v>4</v>
      </c>
      <c r="B507" s="14" t="s">
        <v>23</v>
      </c>
      <c r="C507" s="214" t="s">
        <v>331</v>
      </c>
      <c r="D507" s="214"/>
      <c r="E507" s="215">
        <v>42375</v>
      </c>
      <c r="F507" s="214" t="s">
        <v>198</v>
      </c>
      <c r="G507" s="216"/>
      <c r="H507" s="14"/>
      <c r="I507" s="217">
        <v>112.92</v>
      </c>
      <c r="J507" s="59" t="str">
        <f>IF(ISBLANK(I507)," ",IF(ISTEXT(I507)," ",IF(I507&lt;=Нормативы!$H$71,"КМС",IF(I507&lt;=Нормативы!$H$72,"КМС",IF(I507&lt;=Нормативы!$L$73,"КМС",IF(I507&lt;=Нормативы!$L$74,"I",IF(I507&lt;=Нормативы!$L$75,"II",IF(I507&lt;=Нормативы!$L$76,"III",IF(I507&lt;=Нормативы!$L$77,"I юн",IF(I507&lt;=Нормативы!$L$78,"II юн",IF(I507&lt;=Нормативы!$L$79,"III юн","б/р")))))))))))</f>
        <v>II юн</v>
      </c>
      <c r="K507" s="14"/>
      <c r="L507" s="228"/>
      <c r="M507" s="230"/>
      <c r="N507" s="230"/>
      <c r="O507" s="230"/>
      <c r="P507" s="230"/>
      <c r="Q507" s="230"/>
      <c r="R507" s="230"/>
      <c r="S507" s="230"/>
      <c r="T507" s="230"/>
    </row>
    <row r="508" spans="1:20" s="229" customFormat="1" ht="14.5" customHeight="1" x14ac:dyDescent="0.3">
      <c r="A508" s="14">
        <v>5</v>
      </c>
      <c r="B508" s="14" t="s">
        <v>22</v>
      </c>
      <c r="C508" s="214" t="s">
        <v>321</v>
      </c>
      <c r="D508" s="214"/>
      <c r="E508" s="215">
        <v>42038</v>
      </c>
      <c r="F508" s="214" t="s">
        <v>198</v>
      </c>
      <c r="G508" s="216"/>
      <c r="H508" s="14"/>
      <c r="I508" s="217">
        <v>114.12</v>
      </c>
      <c r="J508" s="59" t="str">
        <f>IF(ISBLANK(I508)," ",IF(ISTEXT(I508)," ",IF(I508&lt;=Нормативы!$H$71,"КМС",IF(I508&lt;=Нормативы!$H$72,"КМС",IF(I508&lt;=Нормативы!$L$73,"КМС",IF(I508&lt;=Нормативы!$L$74,"I",IF(I508&lt;=Нормативы!$L$75,"II",IF(I508&lt;=Нормативы!$L$76,"III",IF(I508&lt;=Нормативы!$L$77,"I юн",IF(I508&lt;=Нормативы!$L$78,"II юн",IF(I508&lt;=Нормативы!$L$79,"III юн","б/р")))))))))))</f>
        <v>II юн</v>
      </c>
      <c r="L508" s="228"/>
      <c r="M508" s="230"/>
      <c r="N508" s="230"/>
      <c r="O508" s="230"/>
      <c r="P508" s="230"/>
      <c r="Q508" s="230"/>
      <c r="R508" s="230"/>
      <c r="S508" s="230"/>
      <c r="T508" s="230"/>
    </row>
    <row r="509" spans="1:20" s="229" customFormat="1" ht="14.5" customHeight="1" x14ac:dyDescent="0.3">
      <c r="A509" s="14">
        <v>6</v>
      </c>
      <c r="B509" s="218" t="s">
        <v>23</v>
      </c>
      <c r="C509" s="214" t="s">
        <v>332</v>
      </c>
      <c r="D509" s="214"/>
      <c r="E509" s="215">
        <v>42323</v>
      </c>
      <c r="F509" s="214" t="s">
        <v>198</v>
      </c>
      <c r="G509" s="216"/>
      <c r="H509" s="14"/>
      <c r="I509" s="217">
        <v>117.96</v>
      </c>
      <c r="J509" s="59" t="str">
        <f>IF(ISBLANK(I509)," ",IF(ISTEXT(I509)," ",IF(I509&lt;=Нормативы!$H$71,"КМС",IF(I509&lt;=Нормативы!$H$72,"КМС",IF(I509&lt;=Нормативы!$L$73,"КМС",IF(I509&lt;=Нормативы!$L$74,"I",IF(I509&lt;=Нормативы!$L$75,"II",IF(I509&lt;=Нормативы!$L$76,"III",IF(I509&lt;=Нормативы!$L$77,"I юн",IF(I509&lt;=Нормативы!$L$78,"II юн",IF(I509&lt;=Нормативы!$L$79,"III юн","б/р")))))))))))</f>
        <v>II юн</v>
      </c>
      <c r="L509" s="228"/>
      <c r="M509" s="230"/>
      <c r="N509" s="230"/>
      <c r="O509" s="230"/>
      <c r="P509" s="230"/>
      <c r="Q509" s="230"/>
      <c r="R509" s="230"/>
      <c r="S509" s="230"/>
      <c r="T509" s="230"/>
    </row>
    <row r="510" spans="1:20" s="229" customFormat="1" ht="14.5" customHeight="1" x14ac:dyDescent="0.3">
      <c r="A510" s="14">
        <v>7</v>
      </c>
      <c r="B510" s="14" t="s">
        <v>23</v>
      </c>
      <c r="C510" s="214" t="s">
        <v>377</v>
      </c>
      <c r="D510" s="214"/>
      <c r="E510" s="215">
        <v>42091</v>
      </c>
      <c r="F510" s="214" t="s">
        <v>176</v>
      </c>
      <c r="G510" s="216"/>
      <c r="H510" s="14"/>
      <c r="I510" s="217">
        <v>118.4</v>
      </c>
      <c r="J510" s="59" t="str">
        <f>IF(ISBLANK(I510)," ",IF(ISTEXT(I510)," ",IF(I510&lt;=Нормативы!$H$71,"КМС",IF(I510&lt;=Нормативы!$H$72,"КМС",IF(I510&lt;=Нормативы!$L$73,"КМС",IF(I510&lt;=Нормативы!$L$74,"I",IF(I510&lt;=Нормативы!$L$75,"II",IF(I510&lt;=Нормативы!$L$76,"III",IF(I510&lt;=Нормативы!$L$77,"I юн",IF(I510&lt;=Нормативы!$L$78,"II юн",IF(I510&lt;=Нормативы!$L$79,"III юн","б/р")))))))))))</f>
        <v>II юн</v>
      </c>
      <c r="L510" s="228"/>
      <c r="M510" s="230"/>
      <c r="N510" s="230"/>
      <c r="O510" s="230"/>
      <c r="P510" s="230"/>
      <c r="Q510" s="230"/>
      <c r="R510" s="230"/>
      <c r="S510" s="230"/>
      <c r="T510" s="230"/>
    </row>
    <row r="511" spans="1:20" s="229" customFormat="1" ht="14.5" customHeight="1" x14ac:dyDescent="0.3">
      <c r="A511" s="14">
        <v>8</v>
      </c>
      <c r="B511" s="14" t="s">
        <v>23</v>
      </c>
      <c r="C511" s="214" t="s">
        <v>395</v>
      </c>
      <c r="D511" s="214"/>
      <c r="E511" s="215">
        <v>42254</v>
      </c>
      <c r="F511" s="214" t="s">
        <v>193</v>
      </c>
      <c r="G511" s="216"/>
      <c r="H511" s="14"/>
      <c r="I511" s="217">
        <v>118.55</v>
      </c>
      <c r="J511" s="59" t="str">
        <f>IF(ISBLANK(I511)," ",IF(ISTEXT(I511)," ",IF(I511&lt;=Нормативы!$H$71,"КМС",IF(I511&lt;=Нормативы!$H$72,"КМС",IF(I511&lt;=Нормативы!$L$73,"КМС",IF(I511&lt;=Нормативы!$L$74,"I",IF(I511&lt;=Нормативы!$L$75,"II",IF(I511&lt;=Нормативы!$L$76,"III",IF(I511&lt;=Нормативы!$L$77,"I юн",IF(I511&lt;=Нормативы!$L$78,"II юн",IF(I511&lt;=Нормативы!$L$79,"III юн","б/р")))))))))))</f>
        <v>II юн</v>
      </c>
      <c r="K511" s="14"/>
      <c r="L511" s="228"/>
      <c r="N511" s="230"/>
      <c r="O511" s="230"/>
      <c r="P511" s="230"/>
      <c r="Q511" s="230"/>
      <c r="R511" s="230"/>
      <c r="S511" s="230"/>
      <c r="T511" s="230"/>
    </row>
    <row r="512" spans="1:20" s="229" customFormat="1" ht="14.5" customHeight="1" x14ac:dyDescent="0.3">
      <c r="A512" s="14">
        <v>9</v>
      </c>
      <c r="B512" s="14" t="s">
        <v>23</v>
      </c>
      <c r="C512" s="214" t="s">
        <v>385</v>
      </c>
      <c r="D512" s="214"/>
      <c r="E512" s="215">
        <v>42078</v>
      </c>
      <c r="F512" s="214" t="s">
        <v>245</v>
      </c>
      <c r="G512" s="216"/>
      <c r="H512" s="14"/>
      <c r="I512" s="217">
        <v>119.21</v>
      </c>
      <c r="J512" s="59" t="str">
        <f>IF(ISBLANK(I512)," ",IF(ISTEXT(I512)," ",IF(I512&lt;=Нормативы!$H$71,"КМС",IF(I512&lt;=Нормативы!$H$72,"КМС",IF(I512&lt;=Нормативы!$L$73,"КМС",IF(I512&lt;=Нормативы!$L$74,"I",IF(I512&lt;=Нормативы!$L$75,"II",IF(I512&lt;=Нормативы!$L$76,"III",IF(I512&lt;=Нормативы!$L$77,"I юн",IF(I512&lt;=Нормативы!$L$78,"II юн",IF(I512&lt;=Нормативы!$L$79,"III юн","б/р")))))))))))</f>
        <v>III юн</v>
      </c>
      <c r="K512" s="14"/>
      <c r="L512" s="228"/>
      <c r="N512" s="230"/>
      <c r="O512" s="230"/>
      <c r="P512" s="230"/>
      <c r="Q512" s="230"/>
      <c r="R512" s="230"/>
      <c r="S512" s="230"/>
      <c r="T512" s="230"/>
    </row>
    <row r="513" spans="1:20" s="229" customFormat="1" ht="14.5" customHeight="1" x14ac:dyDescent="0.3">
      <c r="A513" s="14">
        <v>10</v>
      </c>
      <c r="B513" s="14" t="s">
        <v>23</v>
      </c>
      <c r="C513" s="214" t="s">
        <v>433</v>
      </c>
      <c r="D513" s="214"/>
      <c r="E513" s="215">
        <v>42619</v>
      </c>
      <c r="F513" s="214" t="s">
        <v>172</v>
      </c>
      <c r="G513" s="216"/>
      <c r="H513" s="14"/>
      <c r="I513" s="217">
        <v>119.51</v>
      </c>
      <c r="J513" s="59" t="str">
        <f>IF(ISBLANK(I513)," ",IF(ISTEXT(I513)," ",IF(I513&lt;=Нормативы!$H$71,"КМС",IF(I513&lt;=Нормативы!$H$72,"КМС",IF(I513&lt;=Нормативы!$L$73,"КМС",IF(I513&lt;=Нормативы!$L$74,"I",IF(I513&lt;=Нормативы!$L$75,"II",IF(I513&lt;=Нормативы!$L$76,"III",IF(I513&lt;=Нормативы!$L$77,"I юн",IF(I513&lt;=Нормативы!$L$78,"II юн",IF(I513&lt;=Нормативы!$L$79,"III юн","б/р")))))))))))</f>
        <v>III юн</v>
      </c>
      <c r="K513" s="14"/>
      <c r="L513" s="228"/>
      <c r="N513" s="230"/>
      <c r="O513" s="230"/>
      <c r="P513" s="230"/>
      <c r="Q513" s="230"/>
      <c r="R513" s="230"/>
      <c r="S513" s="230"/>
      <c r="T513" s="230"/>
    </row>
    <row r="514" spans="1:20" s="229" customFormat="1" ht="14.5" customHeight="1" x14ac:dyDescent="0.3">
      <c r="A514" s="14">
        <v>11</v>
      </c>
      <c r="B514" s="14" t="s">
        <v>22</v>
      </c>
      <c r="C514" s="214" t="s">
        <v>394</v>
      </c>
      <c r="D514" s="214"/>
      <c r="E514" s="215">
        <v>42556</v>
      </c>
      <c r="F514" s="214" t="s">
        <v>193</v>
      </c>
      <c r="G514" s="216"/>
      <c r="H514" s="14"/>
      <c r="I514" s="217">
        <v>119.79</v>
      </c>
      <c r="J514" s="59" t="str">
        <f>IF(ISBLANK(I514)," ",IF(ISTEXT(I514)," ",IF(I514&lt;=Нормативы!$H$71,"КМС",IF(I514&lt;=Нормативы!$H$72,"КМС",IF(I514&lt;=Нормативы!$L$73,"КМС",IF(I514&lt;=Нормативы!$L$74,"I",IF(I514&lt;=Нормативы!$L$75,"II",IF(I514&lt;=Нормативы!$L$76,"III",IF(I514&lt;=Нормативы!$L$77,"I юн",IF(I514&lt;=Нормативы!$L$78,"II юн",IF(I514&lt;=Нормативы!$L$79,"III юн","б/р")))))))))))</f>
        <v>III юн</v>
      </c>
      <c r="K514" s="14"/>
      <c r="L514" s="228"/>
      <c r="N514" s="230"/>
      <c r="O514" s="230"/>
      <c r="P514" s="230"/>
      <c r="Q514" s="230"/>
      <c r="R514" s="230"/>
      <c r="S514" s="230"/>
      <c r="T514" s="230"/>
    </row>
    <row r="515" spans="1:20" s="229" customFormat="1" ht="14.5" customHeight="1" x14ac:dyDescent="0.3">
      <c r="A515" s="14">
        <v>12</v>
      </c>
      <c r="B515" s="14" t="s">
        <v>22</v>
      </c>
      <c r="C515" s="214" t="s">
        <v>428</v>
      </c>
      <c r="D515" s="214"/>
      <c r="E515" s="215">
        <v>42451</v>
      </c>
      <c r="F515" s="214" t="s">
        <v>172</v>
      </c>
      <c r="G515" s="216"/>
      <c r="H515" s="14"/>
      <c r="I515" s="217">
        <v>120.36</v>
      </c>
      <c r="J515" s="59" t="str">
        <f>IF(ISBLANK(I515)," ",IF(ISTEXT(I515)," ",IF(I515&lt;=Нормативы!$H$71,"КМС",IF(I515&lt;=Нормативы!$H$72,"КМС",IF(I515&lt;=Нормативы!$L$73,"КМС",IF(I515&lt;=Нормативы!$L$74,"I",IF(I515&lt;=Нормативы!$L$75,"II",IF(I515&lt;=Нормативы!$L$76,"III",IF(I515&lt;=Нормативы!$L$77,"I юн",IF(I515&lt;=Нормативы!$L$78,"II юн",IF(I515&lt;=Нормативы!$L$79,"III юн","б/р")))))))))))</f>
        <v>III юн</v>
      </c>
      <c r="K515" s="14"/>
      <c r="L515" s="228"/>
      <c r="M515" s="230"/>
      <c r="N515" s="230"/>
      <c r="O515" s="230"/>
      <c r="P515" s="230"/>
      <c r="Q515" s="230"/>
      <c r="R515" s="230"/>
      <c r="S515" s="230"/>
      <c r="T515" s="230"/>
    </row>
    <row r="516" spans="1:20" s="229" customFormat="1" ht="14.5" customHeight="1" x14ac:dyDescent="0.3">
      <c r="A516" s="14">
        <v>13</v>
      </c>
      <c r="B516" s="14" t="s">
        <v>26</v>
      </c>
      <c r="C516" s="214" t="s">
        <v>337</v>
      </c>
      <c r="D516" s="214"/>
      <c r="E516" s="215">
        <v>42525</v>
      </c>
      <c r="F516" s="214" t="s">
        <v>198</v>
      </c>
      <c r="G516" s="216"/>
      <c r="H516" s="14"/>
      <c r="I516" s="217">
        <v>122.19</v>
      </c>
      <c r="J516" s="59" t="str">
        <f>IF(ISBLANK(I516)," ",IF(ISTEXT(I516)," ",IF(I516&lt;=Нормативы!$H$71,"КМС",IF(I516&lt;=Нормативы!$H$72,"КМС",IF(I516&lt;=Нормативы!$L$73,"КМС",IF(I516&lt;=Нормативы!$L$74,"I",IF(I516&lt;=Нормативы!$L$75,"II",IF(I516&lt;=Нормативы!$L$76,"III",IF(I516&lt;=Нормативы!$L$77,"I юн",IF(I516&lt;=Нормативы!$L$78,"II юн",IF(I516&lt;=Нормативы!$L$79,"III юн","б/р")))))))))))</f>
        <v>III юн</v>
      </c>
      <c r="K516" s="14"/>
      <c r="L516" s="228"/>
      <c r="M516" s="230"/>
      <c r="N516" s="230"/>
      <c r="O516" s="230"/>
      <c r="P516" s="230"/>
      <c r="Q516" s="230"/>
      <c r="R516" s="230"/>
      <c r="S516" s="230"/>
      <c r="T516" s="230"/>
    </row>
    <row r="517" spans="1:20" s="229" customFormat="1" ht="14.5" customHeight="1" x14ac:dyDescent="0.3">
      <c r="A517" s="14">
        <v>14</v>
      </c>
      <c r="B517" s="14" t="s">
        <v>23</v>
      </c>
      <c r="C517" s="214" t="s">
        <v>375</v>
      </c>
      <c r="D517" s="214"/>
      <c r="E517" s="215">
        <v>42314</v>
      </c>
      <c r="F517" s="214" t="s">
        <v>176</v>
      </c>
      <c r="G517" s="216"/>
      <c r="H517" s="14"/>
      <c r="I517" s="217">
        <v>122.3</v>
      </c>
      <c r="J517" s="59" t="str">
        <f>IF(ISBLANK(I517)," ",IF(ISTEXT(I517)," ",IF(I517&lt;=Нормативы!$H$71,"КМС",IF(I517&lt;=Нормативы!$H$72,"КМС",IF(I517&lt;=Нормативы!$L$73,"КМС",IF(I517&lt;=Нормативы!$L$74,"I",IF(I517&lt;=Нормативы!$L$75,"II",IF(I517&lt;=Нормативы!$L$76,"III",IF(I517&lt;=Нормативы!$L$77,"I юн",IF(I517&lt;=Нормативы!$L$78,"II юн",IF(I517&lt;=Нормативы!$L$79,"III юн","б/р")))))))))))</f>
        <v>III юн</v>
      </c>
      <c r="K517" s="14"/>
      <c r="L517" s="228"/>
      <c r="M517" s="230"/>
      <c r="N517" s="230"/>
      <c r="O517" s="230"/>
      <c r="P517" s="230"/>
      <c r="Q517" s="230"/>
      <c r="R517" s="230"/>
      <c r="S517" s="230"/>
      <c r="T517" s="230"/>
    </row>
    <row r="518" spans="1:20" s="229" customFormat="1" ht="14.5" customHeight="1" x14ac:dyDescent="0.3">
      <c r="A518" s="14">
        <v>15</v>
      </c>
      <c r="B518" s="14" t="s">
        <v>23</v>
      </c>
      <c r="C518" s="214" t="s">
        <v>317</v>
      </c>
      <c r="D518" s="214"/>
      <c r="E518" s="215">
        <v>42046</v>
      </c>
      <c r="F518" s="214" t="s">
        <v>198</v>
      </c>
      <c r="G518" s="216"/>
      <c r="H518" s="14"/>
      <c r="I518" s="217">
        <v>122.59</v>
      </c>
      <c r="J518" s="59" t="str">
        <f>IF(ISBLANK(I518)," ",IF(ISTEXT(I518)," ",IF(I518&lt;=Нормативы!$H$71,"КМС",IF(I518&lt;=Нормативы!$H$72,"КМС",IF(I518&lt;=Нормативы!$L$73,"КМС",IF(I518&lt;=Нормативы!$L$74,"I",IF(I518&lt;=Нормативы!$L$75,"II",IF(I518&lt;=Нормативы!$L$76,"III",IF(I518&lt;=Нормативы!$L$77,"I юн",IF(I518&lt;=Нормативы!$L$78,"II юн",IF(I518&lt;=Нормативы!$L$79,"III юн","б/р")))))))))))</f>
        <v>III юн</v>
      </c>
      <c r="K518" s="14"/>
      <c r="L518" s="228"/>
      <c r="M518" s="230"/>
      <c r="N518" s="230"/>
      <c r="O518" s="230"/>
      <c r="P518" s="230"/>
      <c r="Q518" s="230"/>
      <c r="R518" s="230"/>
      <c r="S518" s="230"/>
      <c r="T518" s="230"/>
    </row>
    <row r="519" spans="1:20" s="229" customFormat="1" ht="14.5" customHeight="1" x14ac:dyDescent="0.3">
      <c r="A519" s="14">
        <v>16</v>
      </c>
      <c r="B519" s="14" t="s">
        <v>22</v>
      </c>
      <c r="C519" s="214" t="s">
        <v>427</v>
      </c>
      <c r="D519" s="214"/>
      <c r="E519" s="215">
        <v>42370</v>
      </c>
      <c r="F519" s="214" t="s">
        <v>172</v>
      </c>
      <c r="G519" s="216"/>
      <c r="H519" s="14"/>
      <c r="I519" s="217">
        <v>124.04</v>
      </c>
      <c r="J519" s="59" t="str">
        <f>IF(ISBLANK(I519)," ",IF(ISTEXT(I519)," ",IF(I519&lt;=Нормативы!$H$71,"КМС",IF(I519&lt;=Нормативы!$H$72,"КМС",IF(I519&lt;=Нормативы!$L$73,"КМС",IF(I519&lt;=Нормативы!$L$74,"I",IF(I519&lt;=Нормативы!$L$75,"II",IF(I519&lt;=Нормативы!$L$76,"III",IF(I519&lt;=Нормативы!$L$77,"I юн",IF(I519&lt;=Нормативы!$L$78,"II юн",IF(I519&lt;=Нормативы!$L$79,"III юн","б/р")))))))))))</f>
        <v>III юн</v>
      </c>
      <c r="K519" s="14"/>
      <c r="L519" s="228"/>
      <c r="M519" s="230"/>
      <c r="N519" s="230"/>
      <c r="O519" s="230"/>
      <c r="P519" s="230"/>
      <c r="Q519" s="230"/>
      <c r="R519" s="230"/>
      <c r="S519" s="230"/>
      <c r="T519" s="230"/>
    </row>
    <row r="520" spans="1:20" s="229" customFormat="1" ht="14.5" customHeight="1" x14ac:dyDescent="0.3">
      <c r="A520" s="14">
        <v>17</v>
      </c>
      <c r="B520" s="14" t="s">
        <v>23</v>
      </c>
      <c r="C520" s="214" t="s">
        <v>376</v>
      </c>
      <c r="D520" s="214"/>
      <c r="E520" s="215">
        <v>42457</v>
      </c>
      <c r="F520" s="214" t="s">
        <v>176</v>
      </c>
      <c r="G520" s="216"/>
      <c r="H520" s="14"/>
      <c r="I520" s="217">
        <v>126.49</v>
      </c>
      <c r="J520" s="59" t="str">
        <f>IF(ISBLANK(I520)," ",IF(ISTEXT(I520)," ",IF(I520&lt;=Нормативы!$H$71,"КМС",IF(I520&lt;=Нормативы!$H$72,"КМС",IF(I520&lt;=Нормативы!$L$73,"КМС",IF(I520&lt;=Нормативы!$L$74,"I",IF(I520&lt;=Нормативы!$L$75,"II",IF(I520&lt;=Нормативы!$L$76,"III",IF(I520&lt;=Нормативы!$L$77,"I юн",IF(I520&lt;=Нормативы!$L$78,"II юн",IF(I520&lt;=Нормативы!$L$79,"III юн","б/р")))))))))))</f>
        <v>б/р</v>
      </c>
      <c r="K520" s="14"/>
      <c r="L520" s="228"/>
      <c r="M520" s="230"/>
      <c r="N520" s="230"/>
      <c r="O520" s="230"/>
      <c r="P520" s="230"/>
      <c r="Q520" s="230"/>
      <c r="R520" s="230"/>
      <c r="S520" s="230"/>
      <c r="T520" s="230"/>
    </row>
    <row r="521" spans="1:20" s="229" customFormat="1" ht="14.5" customHeight="1" x14ac:dyDescent="0.3">
      <c r="A521" s="14">
        <v>18</v>
      </c>
      <c r="B521" s="14" t="s">
        <v>23</v>
      </c>
      <c r="C521" s="214" t="s">
        <v>432</v>
      </c>
      <c r="D521" s="214"/>
      <c r="E521" s="215">
        <v>42614</v>
      </c>
      <c r="F521" s="214" t="s">
        <v>172</v>
      </c>
      <c r="G521" s="216"/>
      <c r="H521" s="14"/>
      <c r="I521" s="217">
        <v>127.02</v>
      </c>
      <c r="J521" s="59" t="str">
        <f>IF(ISBLANK(I521)," ",IF(ISTEXT(I521)," ",IF(I521&lt;=Нормативы!$H$71,"КМС",IF(I521&lt;=Нормативы!$H$72,"КМС",IF(I521&lt;=Нормативы!$L$73,"КМС",IF(I521&lt;=Нормативы!$L$74,"I",IF(I521&lt;=Нормативы!$L$75,"II",IF(I521&lt;=Нормативы!$L$76,"III",IF(I521&lt;=Нормативы!$L$77,"I юн",IF(I521&lt;=Нормативы!$L$78,"II юн",IF(I521&lt;=Нормативы!$L$79,"III юн","б/р")))))))))))</f>
        <v>б/р</v>
      </c>
      <c r="K521" s="14"/>
      <c r="L521" s="228"/>
      <c r="M521" s="230"/>
      <c r="N521" s="230"/>
      <c r="O521" s="230"/>
      <c r="P521" s="230"/>
      <c r="Q521" s="230"/>
      <c r="R521" s="230"/>
      <c r="S521" s="230"/>
      <c r="T521" s="230"/>
    </row>
    <row r="522" spans="1:20" s="229" customFormat="1" ht="14.5" customHeight="1" x14ac:dyDescent="0.3">
      <c r="A522" s="14">
        <v>19</v>
      </c>
      <c r="B522" s="14" t="s">
        <v>26</v>
      </c>
      <c r="C522" s="214" t="s">
        <v>336</v>
      </c>
      <c r="D522" s="214"/>
      <c r="E522" s="215">
        <v>42470</v>
      </c>
      <c r="F522" s="214" t="s">
        <v>198</v>
      </c>
      <c r="G522" s="216"/>
      <c r="H522" s="14"/>
      <c r="I522" s="217">
        <v>127.66</v>
      </c>
      <c r="J522" s="59" t="str">
        <f>IF(ISBLANK(I522)," ",IF(ISTEXT(I522)," ",IF(I522&lt;=Нормативы!$H$71,"КМС",IF(I522&lt;=Нормативы!$H$72,"КМС",IF(I522&lt;=Нормативы!$L$73,"КМС",IF(I522&lt;=Нормативы!$L$74,"I",IF(I522&lt;=Нормативы!$L$75,"II",IF(I522&lt;=Нормативы!$L$76,"III",IF(I522&lt;=Нормативы!$L$77,"I юн",IF(I522&lt;=Нормативы!$L$78,"II юн",IF(I522&lt;=Нормативы!$L$79,"III юн","б/р")))))))))))</f>
        <v>б/р</v>
      </c>
      <c r="K522" s="14"/>
      <c r="L522" s="228"/>
      <c r="N522" s="230"/>
      <c r="O522" s="230"/>
      <c r="P522" s="230"/>
      <c r="Q522" s="230"/>
      <c r="R522" s="230"/>
      <c r="S522" s="230"/>
      <c r="T522" s="230"/>
    </row>
    <row r="523" spans="1:20" s="229" customFormat="1" ht="14.5" customHeight="1" x14ac:dyDescent="0.3">
      <c r="A523" s="14">
        <v>20</v>
      </c>
      <c r="B523" s="14" t="s">
        <v>23</v>
      </c>
      <c r="C523" s="214" t="s">
        <v>429</v>
      </c>
      <c r="D523" s="214"/>
      <c r="E523" s="215">
        <v>42512</v>
      </c>
      <c r="F523" s="214" t="s">
        <v>172</v>
      </c>
      <c r="G523" s="216"/>
      <c r="H523" s="14"/>
      <c r="I523" s="217">
        <v>130.34</v>
      </c>
      <c r="J523" s="59" t="str">
        <f>IF(ISBLANK(I523)," ",IF(ISTEXT(I523)," ",IF(I523&lt;=Нормативы!$H$71,"КМС",IF(I523&lt;=Нормативы!$H$72,"КМС",IF(I523&lt;=Нормативы!$L$73,"КМС",IF(I523&lt;=Нормативы!$L$74,"I",IF(I523&lt;=Нормативы!$L$75,"II",IF(I523&lt;=Нормативы!$L$76,"III",IF(I523&lt;=Нормативы!$L$77,"I юн",IF(I523&lt;=Нормативы!$L$78,"II юн",IF(I523&lt;=Нормативы!$L$79,"III юн","б/р")))))))))))</f>
        <v>б/р</v>
      </c>
      <c r="K523" s="14"/>
      <c r="L523" s="228"/>
      <c r="N523" s="230"/>
      <c r="O523" s="230"/>
      <c r="P523" s="230"/>
      <c r="Q523" s="230"/>
      <c r="R523" s="230"/>
      <c r="S523" s="230"/>
      <c r="T523" s="230"/>
    </row>
    <row r="524" spans="1:20" s="229" customFormat="1" ht="14.5" customHeight="1" x14ac:dyDescent="0.3">
      <c r="A524" s="14">
        <v>21</v>
      </c>
      <c r="B524" s="14" t="s">
        <v>23</v>
      </c>
      <c r="C524" s="214" t="s">
        <v>396</v>
      </c>
      <c r="D524" s="214"/>
      <c r="E524" s="215">
        <v>42549</v>
      </c>
      <c r="F524" s="214" t="s">
        <v>193</v>
      </c>
      <c r="G524" s="216"/>
      <c r="H524" s="14"/>
      <c r="I524" s="217">
        <v>133.87</v>
      </c>
      <c r="J524" s="59" t="str">
        <f>IF(ISBLANK(I524)," ",IF(ISTEXT(I524)," ",IF(I524&lt;=Нормативы!$H$71,"КМС",IF(I524&lt;=Нормативы!$H$72,"КМС",IF(I524&lt;=Нормативы!$L$73,"КМС",IF(I524&lt;=Нормативы!$L$74,"I",IF(I524&lt;=Нормативы!$L$75,"II",IF(I524&lt;=Нормативы!$L$76,"III",IF(I524&lt;=Нормативы!$L$77,"I юн",IF(I524&lt;=Нормативы!$L$78,"II юн",IF(I524&lt;=Нормативы!$L$79,"III юн","б/р")))))))))))</f>
        <v>б/р</v>
      </c>
      <c r="K524" s="14"/>
      <c r="L524" s="228"/>
      <c r="N524" s="230"/>
      <c r="O524" s="230"/>
      <c r="P524" s="230"/>
      <c r="Q524" s="230"/>
      <c r="R524" s="230"/>
      <c r="S524" s="230"/>
      <c r="T524" s="230"/>
    </row>
    <row r="525" spans="1:20" s="229" customFormat="1" ht="14.5" customHeight="1" x14ac:dyDescent="0.3">
      <c r="A525" s="14">
        <v>22</v>
      </c>
      <c r="B525" s="14" t="s">
        <v>23</v>
      </c>
      <c r="C525" s="214" t="s">
        <v>397</v>
      </c>
      <c r="D525" s="214"/>
      <c r="E525" s="215">
        <v>42079</v>
      </c>
      <c r="F525" s="214" t="s">
        <v>193</v>
      </c>
      <c r="G525" s="216"/>
      <c r="H525" s="14"/>
      <c r="I525" s="217">
        <v>137.69</v>
      </c>
      <c r="J525" s="59" t="str">
        <f>IF(ISBLANK(I525)," ",IF(ISTEXT(I525)," ",IF(I525&lt;=Нормативы!$H$71,"КМС",IF(I525&lt;=Нормативы!$H$72,"КМС",IF(I525&lt;=Нормативы!$L$73,"КМС",IF(I525&lt;=Нормативы!$L$74,"I",IF(I525&lt;=Нормативы!$L$75,"II",IF(I525&lt;=Нормативы!$L$76,"III",IF(I525&lt;=Нормативы!$L$77,"I юн",IF(I525&lt;=Нормативы!$L$78,"II юн",IF(I525&lt;=Нормативы!$L$79,"III юн","б/р")))))))))))</f>
        <v>б/р</v>
      </c>
      <c r="K525" s="14"/>
      <c r="L525" s="228"/>
      <c r="N525" s="230"/>
      <c r="O525" s="230"/>
      <c r="P525" s="230"/>
      <c r="Q525" s="230"/>
      <c r="R525" s="230"/>
      <c r="S525" s="230"/>
      <c r="T525" s="230"/>
    </row>
    <row r="526" spans="1:20" s="229" customFormat="1" ht="14.5" customHeight="1" x14ac:dyDescent="0.3">
      <c r="A526" s="14">
        <v>23</v>
      </c>
      <c r="B526" s="14" t="s">
        <v>26</v>
      </c>
      <c r="C526" s="214" t="s">
        <v>496</v>
      </c>
      <c r="D526" s="214"/>
      <c r="E526" s="215">
        <v>42668</v>
      </c>
      <c r="F526" s="214" t="s">
        <v>198</v>
      </c>
      <c r="G526" s="216"/>
      <c r="H526" s="14"/>
      <c r="I526" s="217">
        <v>145.78</v>
      </c>
      <c r="J526" s="59" t="str">
        <f>IF(ISBLANK(I526)," ",IF(ISTEXT(I526)," ",IF(I526&lt;=Нормативы!$H$71,"КМС",IF(I526&lt;=Нормативы!$H$72,"КМС",IF(I526&lt;=Нормативы!$L$73,"КМС",IF(I526&lt;=Нормативы!$L$74,"I",IF(I526&lt;=Нормативы!$L$75,"II",IF(I526&lt;=Нормативы!$L$76,"III",IF(I526&lt;=Нормативы!$L$77,"I юн",IF(I526&lt;=Нормативы!$L$78,"II юн",IF(I526&lt;=Нормативы!$L$79,"III юн","б/р")))))))))))</f>
        <v>б/р</v>
      </c>
      <c r="K526" s="14"/>
      <c r="L526" s="228"/>
      <c r="N526" s="230"/>
      <c r="O526" s="230"/>
      <c r="P526" s="230"/>
      <c r="Q526" s="230"/>
      <c r="R526" s="230"/>
      <c r="S526" s="230"/>
      <c r="T526" s="230"/>
    </row>
    <row r="527" spans="1:20" s="229" customFormat="1" ht="14.5" customHeight="1" x14ac:dyDescent="0.3">
      <c r="A527" s="14">
        <v>24</v>
      </c>
      <c r="B527" s="14" t="s">
        <v>26</v>
      </c>
      <c r="C527" s="214" t="s">
        <v>335</v>
      </c>
      <c r="D527" s="214"/>
      <c r="E527" s="215">
        <v>42606</v>
      </c>
      <c r="F527" s="214" t="s">
        <v>198</v>
      </c>
      <c r="G527" s="216"/>
      <c r="H527" s="14"/>
      <c r="I527" s="217">
        <v>154.16</v>
      </c>
      <c r="J527" s="59" t="str">
        <f>IF(ISBLANK(I527)," ",IF(ISTEXT(I527)," ",IF(I527&lt;=Нормативы!$H$71,"КМС",IF(I527&lt;=Нормативы!$H$72,"КМС",IF(I527&lt;=Нормативы!$L$73,"КМС",IF(I527&lt;=Нормативы!$L$74,"I",IF(I527&lt;=Нормативы!$L$75,"II",IF(I527&lt;=Нормативы!$L$76,"III",IF(I527&lt;=Нормативы!$L$77,"I юн",IF(I527&lt;=Нормативы!$L$78,"II юн",IF(I527&lt;=Нормативы!$L$79,"III юн","б/р")))))))))))</f>
        <v>б/р</v>
      </c>
      <c r="K527" s="14"/>
      <c r="L527" s="228"/>
      <c r="N527" s="230"/>
      <c r="O527" s="230"/>
      <c r="P527" s="230"/>
      <c r="Q527" s="230"/>
      <c r="R527" s="230"/>
      <c r="S527" s="230"/>
      <c r="T527" s="230"/>
    </row>
    <row r="528" spans="1:20" s="229" customFormat="1" ht="14.5" customHeight="1" x14ac:dyDescent="0.3">
      <c r="A528" s="14">
        <v>25</v>
      </c>
      <c r="B528" s="14" t="s">
        <v>26</v>
      </c>
      <c r="C528" s="214" t="s">
        <v>334</v>
      </c>
      <c r="D528" s="214"/>
      <c r="E528" s="215">
        <v>42463</v>
      </c>
      <c r="F528" s="214" t="s">
        <v>198</v>
      </c>
      <c r="G528" s="216"/>
      <c r="H528" s="14"/>
      <c r="I528" s="217">
        <v>155.75</v>
      </c>
      <c r="J528" s="59" t="str">
        <f>IF(ISBLANK(I528)," ",IF(ISTEXT(I528)," ",IF(I528&lt;=Нормативы!$H$71,"КМС",IF(I528&lt;=Нормативы!$H$72,"КМС",IF(I528&lt;=Нормативы!$L$73,"КМС",IF(I528&lt;=Нормативы!$L$74,"I",IF(I528&lt;=Нормативы!$L$75,"II",IF(I528&lt;=Нормативы!$L$76,"III",IF(I528&lt;=Нормативы!$L$77,"I юн",IF(I528&lt;=Нормативы!$L$78,"II юн",IF(I528&lt;=Нормативы!$L$79,"III юн","б/р")))))))))))</f>
        <v>б/р</v>
      </c>
      <c r="K528" s="14"/>
      <c r="L528" s="228"/>
      <c r="N528" s="230"/>
      <c r="O528" s="230"/>
      <c r="P528" s="230"/>
      <c r="Q528" s="230"/>
      <c r="R528" s="230"/>
      <c r="S528" s="230"/>
      <c r="T528" s="230"/>
    </row>
    <row r="529" spans="1:20" s="229" customFormat="1" ht="14.5" customHeight="1" x14ac:dyDescent="0.3">
      <c r="A529" s="14"/>
      <c r="B529" s="14" t="s">
        <v>23</v>
      </c>
      <c r="C529" s="214" t="s">
        <v>320</v>
      </c>
      <c r="D529" s="214"/>
      <c r="E529" s="215">
        <v>42711</v>
      </c>
      <c r="F529" s="214" t="s">
        <v>198</v>
      </c>
      <c r="G529" s="216"/>
      <c r="H529" s="14"/>
      <c r="I529" s="217" t="s">
        <v>191</v>
      </c>
      <c r="J529" s="59" t="str">
        <f>IF(ISBLANK(I529)," ",IF(ISTEXT(I529)," ",IF(I529&lt;=Нормативы!$H$71,"КМС",IF(I529&lt;=Нормативы!$H$72,"КМС",IF(I529&lt;=Нормативы!$L$73,"КМС",IF(I529&lt;=Нормативы!$L$74,"I",IF(I529&lt;=Нормативы!$L$75,"II",IF(I529&lt;=Нормативы!$L$76,"III",IF(I529&lt;=Нормативы!$L$77,"I юн",IF(I529&lt;=Нормативы!$L$78,"II юн",IF(I529&lt;=Нормативы!$L$79,"III юн","б/р")))))))))))</f>
        <v xml:space="preserve"> </v>
      </c>
      <c r="K529" s="14"/>
      <c r="L529" s="228"/>
      <c r="N529" s="230"/>
      <c r="O529" s="230"/>
      <c r="P529" s="230"/>
      <c r="Q529" s="230"/>
      <c r="R529" s="230"/>
      <c r="S529" s="230"/>
      <c r="T529" s="230"/>
    </row>
    <row r="530" spans="1:20" s="229" customFormat="1" ht="14.5" customHeight="1" x14ac:dyDescent="0.3">
      <c r="A530" s="14"/>
      <c r="B530" s="14" t="s">
        <v>38</v>
      </c>
      <c r="C530" s="214" t="s">
        <v>274</v>
      </c>
      <c r="D530" s="214"/>
      <c r="E530" s="215">
        <v>42142</v>
      </c>
      <c r="F530" s="214" t="s">
        <v>198</v>
      </c>
      <c r="G530" s="216"/>
      <c r="H530" s="14"/>
      <c r="I530" s="217" t="s">
        <v>191</v>
      </c>
      <c r="J530" s="59" t="str">
        <f>IF(ISBLANK(I530)," ",IF(ISTEXT(I530)," ",IF(I530&lt;=Нормативы!$H$71,"КМС",IF(I530&lt;=Нормативы!$H$72,"КМС",IF(I530&lt;=Нормативы!$L$73,"КМС",IF(I530&lt;=Нормативы!$L$74,"I",IF(I530&lt;=Нормативы!$L$75,"II",IF(I530&lt;=Нормативы!$L$76,"III",IF(I530&lt;=Нормативы!$L$77,"I юн",IF(I530&lt;=Нормативы!$L$78,"II юн",IF(I530&lt;=Нормативы!$L$79,"III юн","б/р")))))))))))</f>
        <v xml:space="preserve"> </v>
      </c>
      <c r="K530" s="14"/>
      <c r="L530" s="228"/>
      <c r="N530" s="230"/>
      <c r="O530" s="230"/>
      <c r="P530" s="230"/>
      <c r="Q530" s="230"/>
      <c r="R530" s="230"/>
      <c r="S530" s="230"/>
      <c r="T530" s="230"/>
    </row>
    <row r="531" spans="1:20" s="229" customFormat="1" ht="14.5" customHeight="1" x14ac:dyDescent="0.3">
      <c r="A531" s="14"/>
      <c r="B531" s="14"/>
      <c r="C531" s="222"/>
      <c r="D531" s="222"/>
      <c r="E531" s="215"/>
      <c r="F531" s="214"/>
      <c r="G531" s="216"/>
      <c r="H531" s="14"/>
      <c r="I531" s="217"/>
      <c r="J531" s="59" t="str">
        <f>IF(ISBLANK(I531)," ",IF(ISTEXT(I531)," ",IF(I531&lt;=Нормативы!$H$71,"КМС",IF(I531&lt;=Нормативы!$H$72,"КМС",IF(I531&lt;=Нормативы!$L$73,"КМС",IF(I531&lt;=Нормативы!$L$74,"I",IF(I531&lt;=Нормативы!$L$75,"II",IF(I531&lt;=Нормативы!$L$76,"III",IF(I531&lt;=Нормативы!$L$77,"I юн",IF(I531&lt;=Нормативы!$L$78,"II юн",IF(I531&lt;=Нормативы!$L$79,"III юн","б/р")))))))))))</f>
        <v xml:space="preserve"> </v>
      </c>
      <c r="K531" s="14"/>
      <c r="L531" s="228"/>
      <c r="N531" s="230"/>
      <c r="O531" s="230"/>
      <c r="P531" s="230"/>
      <c r="Q531" s="230"/>
      <c r="R531" s="230"/>
      <c r="S531" s="230"/>
      <c r="T531" s="230"/>
    </row>
    <row r="532" spans="1:20" s="229" customFormat="1" ht="14.5" customHeight="1" x14ac:dyDescent="0.3">
      <c r="A532" s="221" t="s">
        <v>234</v>
      </c>
      <c r="B532" s="14"/>
      <c r="C532" s="214"/>
      <c r="D532" s="214"/>
      <c r="E532" s="215"/>
      <c r="F532" s="214"/>
      <c r="G532" s="216"/>
      <c r="H532" s="14"/>
      <c r="I532" s="217"/>
      <c r="J532" s="59" t="str">
        <f>IF(ISBLANK(I532)," ",IF(ISTEXT(I532)," ",IF(I532&lt;=Нормативы!$H$71,"КМС",IF(I532&lt;=Нормативы!$H$72,"КМС",IF(I532&lt;=Нормативы!$L$73,"КМС",IF(I532&lt;=Нормативы!$L$74,"I",IF(I532&lt;=Нормативы!$L$75,"II",IF(I532&lt;=Нормативы!$L$76,"III",IF(I532&lt;=Нормативы!$L$77,"I юн",IF(I532&lt;=Нормативы!$L$78,"II юн",IF(I532&lt;=Нормативы!$L$79,"III юн","б/р")))))))))))</f>
        <v xml:space="preserve"> </v>
      </c>
      <c r="K532" s="14"/>
      <c r="L532" s="228"/>
      <c r="N532" s="230"/>
      <c r="O532" s="230"/>
      <c r="P532" s="230"/>
      <c r="Q532" s="230"/>
      <c r="R532" s="230"/>
      <c r="S532" s="230"/>
      <c r="T532" s="230"/>
    </row>
    <row r="533" spans="1:20" s="229" customFormat="1" ht="14.5" customHeight="1" x14ac:dyDescent="0.3">
      <c r="A533" s="14">
        <v>1</v>
      </c>
      <c r="B533" s="14" t="s">
        <v>23</v>
      </c>
      <c r="C533" s="214" t="s">
        <v>381</v>
      </c>
      <c r="D533" s="214"/>
      <c r="E533" s="215">
        <v>42818</v>
      </c>
      <c r="F533" s="214" t="s">
        <v>193</v>
      </c>
      <c r="G533" s="216"/>
      <c r="H533" s="14"/>
      <c r="I533" s="217">
        <v>122.19</v>
      </c>
      <c r="J533" s="59" t="str">
        <f>IF(ISBLANK(I533)," ",IF(ISTEXT(I533)," ",IF(I533&lt;=Нормативы!$H$71,"КМС",IF(I533&lt;=Нормативы!$H$72,"КМС",IF(I533&lt;=Нормативы!$L$73,"КМС",IF(I533&lt;=Нормативы!$L$74,"I",IF(I533&lt;=Нормативы!$L$75,"II",IF(I533&lt;=Нормативы!$L$76,"III",IF(I533&lt;=Нормативы!$L$77,"I юн",IF(I533&lt;=Нормативы!$L$78,"II юн",IF(I533&lt;=Нормативы!$L$79,"III юн","б/р")))))))))))</f>
        <v>III юн</v>
      </c>
      <c r="K533" s="14"/>
      <c r="L533" s="228"/>
      <c r="N533" s="230"/>
      <c r="O533" s="230"/>
      <c r="P533" s="230"/>
      <c r="Q533" s="230"/>
      <c r="R533" s="230"/>
      <c r="S533" s="230"/>
      <c r="T533" s="230"/>
    </row>
    <row r="534" spans="1:20" s="229" customFormat="1" ht="14.5" customHeight="1" x14ac:dyDescent="0.3">
      <c r="A534" s="14">
        <v>2</v>
      </c>
      <c r="B534" s="14" t="s">
        <v>23</v>
      </c>
      <c r="C534" s="214" t="s">
        <v>282</v>
      </c>
      <c r="D534" s="214"/>
      <c r="E534" s="215">
        <v>42777</v>
      </c>
      <c r="F534" s="214" t="s">
        <v>198</v>
      </c>
      <c r="G534" s="216"/>
      <c r="H534" s="14"/>
      <c r="I534" s="217">
        <v>125.63</v>
      </c>
      <c r="J534" s="59" t="str">
        <f>IF(ISBLANK(I534)," ",IF(ISTEXT(I534)," ",IF(I534&lt;=Нормативы!$H$71,"КМС",IF(I534&lt;=Нормативы!$H$72,"КМС",IF(I534&lt;=Нормативы!$L$73,"КМС",IF(I534&lt;=Нормативы!$L$74,"I",IF(I534&lt;=Нормативы!$L$75,"II",IF(I534&lt;=Нормативы!$L$76,"III",IF(I534&lt;=Нормативы!$L$77,"I юн",IF(I534&lt;=Нормативы!$L$78,"II юн",IF(I534&lt;=Нормативы!$L$79,"III юн","б/р")))))))))))</f>
        <v>б/р</v>
      </c>
      <c r="K534" s="14"/>
      <c r="L534" s="228"/>
      <c r="N534" s="230"/>
      <c r="O534" s="230"/>
      <c r="P534" s="230"/>
      <c r="Q534" s="230"/>
      <c r="R534" s="230"/>
      <c r="S534" s="230"/>
      <c r="T534" s="230"/>
    </row>
    <row r="535" spans="1:20" s="229" customFormat="1" ht="14.5" customHeight="1" x14ac:dyDescent="0.3">
      <c r="A535" s="14">
        <v>3</v>
      </c>
      <c r="B535" s="14" t="s">
        <v>26</v>
      </c>
      <c r="C535" s="214" t="s">
        <v>438</v>
      </c>
      <c r="D535" s="214"/>
      <c r="E535" s="215">
        <v>43148</v>
      </c>
      <c r="F535" s="214" t="s">
        <v>172</v>
      </c>
      <c r="G535" s="216"/>
      <c r="H535" s="14"/>
      <c r="I535" s="217">
        <v>128.13</v>
      </c>
      <c r="J535" s="59" t="str">
        <f>IF(ISBLANK(I535)," ",IF(ISTEXT(I535)," ",IF(I535&lt;=Нормативы!$H$71,"КМС",IF(I535&lt;=Нормативы!$H$72,"КМС",IF(I535&lt;=Нормативы!$L$73,"КМС",IF(I535&lt;=Нормативы!$L$74,"I",IF(I535&lt;=Нормативы!$L$75,"II",IF(I535&lt;=Нормативы!$L$76,"III",IF(I535&lt;=Нормативы!$L$77,"I юн",IF(I535&lt;=Нормативы!$L$78,"II юн",IF(I535&lt;=Нормативы!$L$79,"III юн","б/р")))))))))))</f>
        <v>б/р</v>
      </c>
      <c r="K535" s="14"/>
      <c r="L535" s="228"/>
      <c r="N535" s="230"/>
      <c r="O535" s="230"/>
      <c r="P535" s="230"/>
      <c r="Q535" s="230"/>
      <c r="R535" s="230"/>
      <c r="S535" s="230"/>
      <c r="T535" s="230"/>
    </row>
    <row r="536" spans="1:20" s="229" customFormat="1" ht="14.5" customHeight="1" x14ac:dyDescent="0.3">
      <c r="A536" s="14">
        <v>4</v>
      </c>
      <c r="B536" s="14" t="s">
        <v>26</v>
      </c>
      <c r="C536" s="214" t="s">
        <v>435</v>
      </c>
      <c r="D536" s="214"/>
      <c r="E536" s="215">
        <v>43375</v>
      </c>
      <c r="F536" s="214" t="s">
        <v>172</v>
      </c>
      <c r="G536" s="216"/>
      <c r="H536" s="14"/>
      <c r="I536" s="217">
        <v>128.38</v>
      </c>
      <c r="J536" s="59" t="str">
        <f>IF(ISBLANK(I536)," ",IF(ISTEXT(I536)," ",IF(I536&lt;=Нормативы!$H$71,"КМС",IF(I536&lt;=Нормативы!$H$72,"КМС",IF(I536&lt;=Нормативы!$L$73,"КМС",IF(I536&lt;=Нормативы!$L$74,"I",IF(I536&lt;=Нормативы!$L$75,"II",IF(I536&lt;=Нормативы!$L$76,"III",IF(I536&lt;=Нормативы!$L$77,"I юн",IF(I536&lt;=Нормативы!$L$78,"II юн",IF(I536&lt;=Нормативы!$L$79,"III юн","б/р")))))))))))</f>
        <v>б/р</v>
      </c>
      <c r="K536" s="14"/>
      <c r="L536" s="228"/>
      <c r="N536" s="230"/>
      <c r="O536" s="230"/>
      <c r="P536" s="230"/>
      <c r="Q536" s="230"/>
      <c r="R536" s="230"/>
      <c r="S536" s="230"/>
      <c r="T536" s="230"/>
    </row>
    <row r="537" spans="1:20" s="229" customFormat="1" ht="14.5" customHeight="1" x14ac:dyDescent="0.3">
      <c r="A537" s="14">
        <v>5</v>
      </c>
      <c r="B537" s="14" t="s">
        <v>26</v>
      </c>
      <c r="C537" s="214" t="s">
        <v>338</v>
      </c>
      <c r="D537" s="214"/>
      <c r="E537" s="215">
        <v>43040</v>
      </c>
      <c r="F537" s="214" t="s">
        <v>198</v>
      </c>
      <c r="G537" s="216"/>
      <c r="H537" s="14"/>
      <c r="I537" s="217">
        <v>129.86000000000001</v>
      </c>
      <c r="J537" s="59" t="str">
        <f>IF(ISBLANK(I537)," ",IF(ISTEXT(I537)," ",IF(I537&lt;=Нормативы!$H$71,"КМС",IF(I537&lt;=Нормативы!$H$72,"КМС",IF(I537&lt;=Нормативы!$L$73,"КМС",IF(I537&lt;=Нормативы!$L$74,"I",IF(I537&lt;=Нормативы!$L$75,"II",IF(I537&lt;=Нормативы!$L$76,"III",IF(I537&lt;=Нормативы!$L$77,"I юн",IF(I537&lt;=Нормативы!$L$78,"II юн",IF(I537&lt;=Нормативы!$L$79,"III юн","б/р")))))))))))</f>
        <v>б/р</v>
      </c>
      <c r="K537" s="14"/>
      <c r="L537" s="228"/>
      <c r="N537" s="230"/>
      <c r="O537" s="230"/>
      <c r="P537" s="230"/>
      <c r="Q537" s="230"/>
      <c r="R537" s="230"/>
      <c r="S537" s="230"/>
      <c r="T537" s="230"/>
    </row>
    <row r="538" spans="1:20" s="229" customFormat="1" ht="14.5" customHeight="1" x14ac:dyDescent="0.3">
      <c r="A538" s="14">
        <v>6</v>
      </c>
      <c r="B538" s="14" t="s">
        <v>26</v>
      </c>
      <c r="C538" s="214" t="s">
        <v>439</v>
      </c>
      <c r="D538" s="214"/>
      <c r="E538" s="215">
        <v>43273</v>
      </c>
      <c r="F538" s="214" t="s">
        <v>172</v>
      </c>
      <c r="G538" s="216"/>
      <c r="H538" s="14"/>
      <c r="I538" s="217">
        <v>131.12</v>
      </c>
      <c r="J538" s="59" t="str">
        <f>IF(ISBLANK(I538)," ",IF(ISTEXT(I538)," ",IF(I538&lt;=Нормативы!$H$71,"КМС",IF(I538&lt;=Нормативы!$H$72,"КМС",IF(I538&lt;=Нормативы!$L$73,"КМС",IF(I538&lt;=Нормативы!$L$74,"I",IF(I538&lt;=Нормативы!$L$75,"II",IF(I538&lt;=Нормативы!$L$76,"III",IF(I538&lt;=Нормативы!$L$77,"I юн",IF(I538&lt;=Нормативы!$L$78,"II юн",IF(I538&lt;=Нормативы!$L$79,"III юн","б/р")))))))))))</f>
        <v>б/р</v>
      </c>
      <c r="K538" s="14"/>
      <c r="L538" s="228"/>
      <c r="N538" s="230"/>
      <c r="O538" s="230"/>
      <c r="P538" s="230"/>
      <c r="Q538" s="230"/>
      <c r="R538" s="230"/>
      <c r="S538" s="230"/>
      <c r="T538" s="230"/>
    </row>
    <row r="539" spans="1:20" s="229" customFormat="1" ht="14.5" customHeight="1" x14ac:dyDescent="0.3">
      <c r="A539" s="14">
        <v>7</v>
      </c>
      <c r="B539" s="14" t="s">
        <v>26</v>
      </c>
      <c r="C539" s="214" t="s">
        <v>507</v>
      </c>
      <c r="D539" s="214"/>
      <c r="E539" s="215">
        <v>43040</v>
      </c>
      <c r="F539" s="214" t="s">
        <v>198</v>
      </c>
      <c r="G539" s="216"/>
      <c r="H539" s="14"/>
      <c r="I539" s="217">
        <v>142.44999999999999</v>
      </c>
      <c r="J539" s="59" t="str">
        <f>IF(ISBLANK(I539)," ",IF(ISTEXT(I539)," ",IF(I539&lt;=Нормативы!$H$71,"КМС",IF(I539&lt;=Нормативы!$H$72,"КМС",IF(I539&lt;=Нормативы!$L$73,"КМС",IF(I539&lt;=Нормативы!$L$74,"I",IF(I539&lt;=Нормативы!$L$75,"II",IF(I539&lt;=Нормативы!$L$76,"III",IF(I539&lt;=Нормативы!$L$77,"I юн",IF(I539&lt;=Нормативы!$L$78,"II юн",IF(I539&lt;=Нормативы!$L$79,"III юн","б/р")))))))))))</f>
        <v>б/р</v>
      </c>
      <c r="K539" s="14"/>
      <c r="L539" s="228"/>
      <c r="N539" s="230"/>
      <c r="O539" s="230"/>
      <c r="P539" s="230"/>
      <c r="Q539" s="230"/>
      <c r="R539" s="230"/>
      <c r="S539" s="230"/>
      <c r="T539" s="230"/>
    </row>
    <row r="540" spans="1:20" s="229" customFormat="1" ht="14.5" customHeight="1" x14ac:dyDescent="0.3">
      <c r="A540" s="14">
        <v>8</v>
      </c>
      <c r="B540" s="14" t="s">
        <v>26</v>
      </c>
      <c r="C540" s="214" t="s">
        <v>436</v>
      </c>
      <c r="D540" s="214"/>
      <c r="E540" s="215">
        <v>43299</v>
      </c>
      <c r="F540" s="214" t="s">
        <v>172</v>
      </c>
      <c r="G540" s="216"/>
      <c r="H540" s="14"/>
      <c r="I540" s="217">
        <v>142.57</v>
      </c>
      <c r="J540" s="59" t="str">
        <f>IF(ISBLANK(I540)," ",IF(ISTEXT(I540)," ",IF(I540&lt;=Нормативы!$H$71,"КМС",IF(I540&lt;=Нормативы!$H$72,"КМС",IF(I540&lt;=Нормативы!$L$73,"КМС",IF(I540&lt;=Нормативы!$L$74,"I",IF(I540&lt;=Нормативы!$L$75,"II",IF(I540&lt;=Нормативы!$L$76,"III",IF(I540&lt;=Нормативы!$L$77,"I юн",IF(I540&lt;=Нормативы!$L$78,"II юн",IF(I540&lt;=Нормативы!$L$79,"III юн","б/р")))))))))))</f>
        <v>б/р</v>
      </c>
      <c r="K540" s="14"/>
      <c r="L540" s="228"/>
      <c r="N540" s="230"/>
      <c r="O540" s="230"/>
      <c r="P540" s="230"/>
      <c r="Q540" s="230"/>
      <c r="R540" s="230"/>
      <c r="S540" s="230"/>
      <c r="T540" s="230"/>
    </row>
    <row r="541" spans="1:20" s="229" customFormat="1" ht="14.5" customHeight="1" x14ac:dyDescent="0.3">
      <c r="A541" s="14"/>
      <c r="B541" s="14" t="s">
        <v>26</v>
      </c>
      <c r="C541" s="214" t="s">
        <v>437</v>
      </c>
      <c r="D541" s="214"/>
      <c r="E541" s="215">
        <v>43355</v>
      </c>
      <c r="F541" s="214" t="s">
        <v>172</v>
      </c>
      <c r="G541" s="216"/>
      <c r="H541" s="14"/>
      <c r="I541" s="217" t="s">
        <v>191</v>
      </c>
      <c r="J541" s="59" t="str">
        <f>IF(ISBLANK(I541)," ",IF(ISTEXT(I541)," ",IF(I541&lt;=Нормативы!$H$71,"КМС",IF(I541&lt;=Нормативы!$H$72,"КМС",IF(I541&lt;=Нормативы!$L$73,"КМС",IF(I541&lt;=Нормативы!$L$74,"I",IF(I541&lt;=Нормативы!$L$75,"II",IF(I541&lt;=Нормативы!$L$76,"III",IF(I541&lt;=Нормативы!$L$77,"I юн",IF(I541&lt;=Нормативы!$L$78,"II юн",IF(I541&lt;=Нормативы!$L$79,"III юн","б/р")))))))))))</f>
        <v xml:space="preserve"> </v>
      </c>
      <c r="K541" s="14"/>
      <c r="L541" s="228"/>
      <c r="N541" s="230"/>
      <c r="O541" s="230"/>
      <c r="P541" s="230"/>
      <c r="Q541" s="230"/>
      <c r="R541" s="230"/>
      <c r="S541" s="230"/>
      <c r="T541" s="230"/>
    </row>
    <row r="542" spans="1:20" s="54" customFormat="1" x14ac:dyDescent="0.35">
      <c r="A542" s="124"/>
      <c r="I542" s="117"/>
    </row>
    <row r="543" spans="1:20" s="54" customFormat="1" x14ac:dyDescent="0.35">
      <c r="A543" s="221" t="s">
        <v>226</v>
      </c>
      <c r="B543" s="229"/>
      <c r="C543" s="229"/>
      <c r="D543" s="229"/>
      <c r="E543" s="229"/>
      <c r="F543" s="229"/>
      <c r="G543" s="229"/>
      <c r="H543" s="229"/>
      <c r="I543" s="229"/>
      <c r="J543" s="59" t="str">
        <f>IF(ISBLANK(I543)," ",IF(ISTEXT(I543)," ",IF(I543&lt;=Нормативы!$H$82,"КМС",IF(I543&lt;=Нормативы!$H$83,"КМС",IF(I543&lt;=Нормативы!$L$84,"КМС",IF(I543&lt;=Нормативы!$L$85,"I",IF(I543&lt;=Нормативы!$L$86,"II",IF(I543&lt;=Нормативы!$L$87,"III",IF(I543&lt;=Нормативы!$L$88,"I юн",IF(I543&lt;=Нормативы!$L$89,"II юн",IF(I543&lt;=Нормативы!$L$90,"III юн","б/р")))))))))))</f>
        <v xml:space="preserve"> </v>
      </c>
    </row>
    <row r="544" spans="1:20" s="54" customFormat="1" x14ac:dyDescent="0.35">
      <c r="A544" s="14">
        <v>1</v>
      </c>
      <c r="B544" s="14" t="s">
        <v>38</v>
      </c>
      <c r="C544" s="214" t="s">
        <v>441</v>
      </c>
      <c r="D544" s="214"/>
      <c r="E544" s="215">
        <v>42109</v>
      </c>
      <c r="F544" s="214" t="s">
        <v>172</v>
      </c>
      <c r="G544" s="216"/>
      <c r="H544" s="14"/>
      <c r="I544" s="217">
        <v>59.75</v>
      </c>
      <c r="J544" s="59" t="str">
        <f>IF(ISBLANK(I544)," ",IF(ISTEXT(I544)," ",IF(I544&lt;=Нормативы!$H$82,"КМС",IF(I544&lt;=Нормативы!$H$83,"КМС",IF(I544&lt;=Нормативы!$L$84,"КМС",IF(I544&lt;=Нормативы!$L$85,"I",IF(I544&lt;=Нормативы!$L$86,"II",IF(I544&lt;=Нормативы!$L$87,"III",IF(I544&lt;=Нормативы!$L$88,"I юн",IF(I544&lt;=Нормативы!$L$89,"II юн",IF(I544&lt;=Нормативы!$L$90,"III юн","б/р")))))))))))</f>
        <v>III</v>
      </c>
    </row>
    <row r="545" spans="1:10" s="54" customFormat="1" x14ac:dyDescent="0.35">
      <c r="A545" s="14">
        <v>2</v>
      </c>
      <c r="B545" s="14" t="s">
        <v>38</v>
      </c>
      <c r="C545" s="214" t="s">
        <v>457</v>
      </c>
      <c r="D545" s="214"/>
      <c r="E545" s="215">
        <v>42356</v>
      </c>
      <c r="F545" s="214" t="s">
        <v>172</v>
      </c>
      <c r="G545" s="216"/>
      <c r="H545" s="14"/>
      <c r="I545" s="217">
        <v>100.88</v>
      </c>
      <c r="J545" s="59" t="str">
        <f>IF(ISBLANK(I545)," ",IF(ISTEXT(I545)," ",IF(I545&lt;=Нормативы!$H$82,"КМС",IF(I545&lt;=Нормативы!$H$83,"КМС",IF(I545&lt;=Нормативы!$L$84,"КМС",IF(I545&lt;=Нормативы!$L$85,"I",IF(I545&lt;=Нормативы!$L$86,"II",IF(I545&lt;=Нормативы!$L$87,"III",IF(I545&lt;=Нормативы!$L$88,"I юн",IF(I545&lt;=Нормативы!$L$89,"II юн",IF(I545&lt;=Нормативы!$L$90,"III юн","б/р")))))))))))</f>
        <v>I юн</v>
      </c>
    </row>
    <row r="546" spans="1:10" s="54" customFormat="1" x14ac:dyDescent="0.35">
      <c r="A546" s="14">
        <v>3</v>
      </c>
      <c r="B546" s="14" t="s">
        <v>38</v>
      </c>
      <c r="C546" s="214" t="s">
        <v>388</v>
      </c>
      <c r="D546" s="214"/>
      <c r="E546" s="215">
        <v>42206</v>
      </c>
      <c r="F546" s="214" t="s">
        <v>245</v>
      </c>
      <c r="G546" s="216"/>
      <c r="H546" s="14"/>
      <c r="I546" s="217">
        <v>102.62</v>
      </c>
      <c r="J546" s="59" t="str">
        <f>IF(ISBLANK(I546)," ",IF(ISTEXT(I546)," ",IF(I546&lt;=Нормативы!$H$82,"КМС",IF(I546&lt;=Нормативы!$H$83,"КМС",IF(I546&lt;=Нормативы!$L$84,"КМС",IF(I546&lt;=Нормативы!$L$85,"I",IF(I546&lt;=Нормативы!$L$86,"II",IF(I546&lt;=Нормативы!$L$87,"III",IF(I546&lt;=Нормативы!$L$88,"I юн",IF(I546&lt;=Нормативы!$L$89,"II юн",IF(I546&lt;=Нормативы!$L$90,"III юн","б/р")))))))))))</f>
        <v>I юн</v>
      </c>
    </row>
    <row r="547" spans="1:10" s="54" customFormat="1" x14ac:dyDescent="0.35">
      <c r="A547" s="14">
        <v>4</v>
      </c>
      <c r="B547" s="14" t="s">
        <v>38</v>
      </c>
      <c r="C547" s="214" t="s">
        <v>386</v>
      </c>
      <c r="D547" s="214"/>
      <c r="E547" s="215">
        <v>42060</v>
      </c>
      <c r="F547" s="214" t="s">
        <v>245</v>
      </c>
      <c r="G547" s="216"/>
      <c r="H547" s="14"/>
      <c r="I547" s="217">
        <v>102.86</v>
      </c>
      <c r="J547" s="59" t="str">
        <f>IF(ISBLANK(I547)," ",IF(ISTEXT(I547)," ",IF(I547&lt;=Нормативы!$H$82,"КМС",IF(I547&lt;=Нормативы!$H$83,"КМС",IF(I547&lt;=Нормативы!$L$84,"КМС",IF(I547&lt;=Нормативы!$L$85,"I",IF(I547&lt;=Нормативы!$L$86,"II",IF(I547&lt;=Нормативы!$L$87,"III",IF(I547&lt;=Нормативы!$L$88,"I юн",IF(I547&lt;=Нормативы!$L$89,"II юн",IF(I547&lt;=Нормативы!$L$90,"III юн","б/р")))))))))))</f>
        <v>I юн</v>
      </c>
    </row>
    <row r="548" spans="1:10" s="54" customFormat="1" x14ac:dyDescent="0.35">
      <c r="A548" s="14">
        <v>5</v>
      </c>
      <c r="B548" s="14" t="s">
        <v>38</v>
      </c>
      <c r="C548" s="214" t="s">
        <v>442</v>
      </c>
      <c r="D548" s="214"/>
      <c r="E548" s="215">
        <v>42222</v>
      </c>
      <c r="F548" s="214" t="s">
        <v>172</v>
      </c>
      <c r="G548" s="216"/>
      <c r="H548" s="14"/>
      <c r="I548" s="217">
        <v>104.74</v>
      </c>
      <c r="J548" s="59" t="str">
        <f>IF(ISBLANK(I548)," ",IF(ISTEXT(I548)," ",IF(I548&lt;=Нормативы!$H$82,"КМС",IF(I548&lt;=Нормативы!$H$83,"КМС",IF(I548&lt;=Нормативы!$L$84,"КМС",IF(I548&lt;=Нормативы!$L$85,"I",IF(I548&lt;=Нормативы!$L$86,"II",IF(I548&lt;=Нормативы!$L$87,"III",IF(I548&lt;=Нормативы!$L$88,"I юн",IF(I548&lt;=Нормативы!$L$89,"II юн",IF(I548&lt;=Нормативы!$L$90,"III юн","б/р")))))))))))</f>
        <v>I юн</v>
      </c>
    </row>
    <row r="549" spans="1:10" s="54" customFormat="1" x14ac:dyDescent="0.35">
      <c r="A549" s="14">
        <v>6</v>
      </c>
      <c r="B549" s="14" t="s">
        <v>38</v>
      </c>
      <c r="C549" s="214" t="s">
        <v>344</v>
      </c>
      <c r="D549" s="214"/>
      <c r="E549" s="215">
        <v>42016</v>
      </c>
      <c r="F549" s="214" t="s">
        <v>198</v>
      </c>
      <c r="G549" s="216"/>
      <c r="H549" s="14"/>
      <c r="I549" s="217">
        <v>105.14</v>
      </c>
      <c r="J549" s="59" t="str">
        <f>IF(ISBLANK(I549)," ",IF(ISTEXT(I549)," ",IF(I549&lt;=Нормативы!$H$82,"КМС",IF(I549&lt;=Нормативы!$H$83,"КМС",IF(I549&lt;=Нормативы!$L$84,"КМС",IF(I549&lt;=Нормативы!$L$85,"I",IF(I549&lt;=Нормативы!$L$86,"II",IF(I549&lt;=Нормативы!$L$87,"III",IF(I549&lt;=Нормативы!$L$88,"I юн",IF(I549&lt;=Нормативы!$L$89,"II юн",IF(I549&lt;=Нормативы!$L$90,"III юн","б/р")))))))))))</f>
        <v>I юн</v>
      </c>
    </row>
    <row r="550" spans="1:10" s="54" customFormat="1" x14ac:dyDescent="0.35">
      <c r="A550" s="14">
        <v>7</v>
      </c>
      <c r="B550" s="14" t="s">
        <v>22</v>
      </c>
      <c r="C550" s="214" t="s">
        <v>448</v>
      </c>
      <c r="D550" s="214"/>
      <c r="E550" s="215">
        <v>42610</v>
      </c>
      <c r="F550" s="214" t="s">
        <v>172</v>
      </c>
      <c r="G550" s="216"/>
      <c r="H550" s="14"/>
      <c r="I550" s="217">
        <v>105.31</v>
      </c>
      <c r="J550" s="59" t="str">
        <f>IF(ISBLANK(I550)," ",IF(ISTEXT(I550)," ",IF(I550&lt;=Нормативы!$H$82,"КМС",IF(I550&lt;=Нормативы!$H$83,"КМС",IF(I550&lt;=Нормативы!$L$84,"КМС",IF(I550&lt;=Нормативы!$L$85,"I",IF(I550&lt;=Нормативы!$L$86,"II",IF(I550&lt;=Нормативы!$L$87,"III",IF(I550&lt;=Нормативы!$L$88,"I юн",IF(I550&lt;=Нормативы!$L$89,"II юн",IF(I550&lt;=Нормативы!$L$90,"III юн","б/р")))))))))))</f>
        <v>II юн</v>
      </c>
    </row>
    <row r="551" spans="1:10" s="54" customFormat="1" x14ac:dyDescent="0.35">
      <c r="A551" s="14">
        <v>8</v>
      </c>
      <c r="B551" s="14" t="s">
        <v>22</v>
      </c>
      <c r="C551" s="214" t="s">
        <v>445</v>
      </c>
      <c r="D551" s="214"/>
      <c r="E551" s="215">
        <v>42502</v>
      </c>
      <c r="F551" s="214" t="s">
        <v>172</v>
      </c>
      <c r="G551" s="216"/>
      <c r="H551" s="14"/>
      <c r="I551" s="217">
        <v>105.52</v>
      </c>
      <c r="J551" s="59" t="str">
        <f>IF(ISBLANK(I551)," ",IF(ISTEXT(I551)," ",IF(I551&lt;=Нормативы!$H$82,"КМС",IF(I551&lt;=Нормативы!$H$83,"КМС",IF(I551&lt;=Нормативы!$L$84,"КМС",IF(I551&lt;=Нормативы!$L$85,"I",IF(I551&lt;=Нормативы!$L$86,"II",IF(I551&lt;=Нормативы!$L$87,"III",IF(I551&lt;=Нормативы!$L$88,"I юн",IF(I551&lt;=Нормативы!$L$89,"II юн",IF(I551&lt;=Нормативы!$L$90,"III юн","б/р")))))))))))</f>
        <v>II юн</v>
      </c>
    </row>
    <row r="552" spans="1:10" s="54" customFormat="1" x14ac:dyDescent="0.35">
      <c r="A552" s="14">
        <v>9</v>
      </c>
      <c r="B552" s="14" t="s">
        <v>22</v>
      </c>
      <c r="C552" s="214" t="s">
        <v>446</v>
      </c>
      <c r="D552" s="214"/>
      <c r="E552" s="215">
        <v>42508</v>
      </c>
      <c r="F552" s="214" t="s">
        <v>172</v>
      </c>
      <c r="G552" s="216"/>
      <c r="H552" s="14"/>
      <c r="I552" s="217">
        <v>111.34</v>
      </c>
      <c r="J552" s="59" t="str">
        <f>IF(ISBLANK(I552)," ",IF(ISTEXT(I552)," ",IF(I552&lt;=Нормативы!$H$82,"КМС",IF(I552&lt;=Нормативы!$H$83,"КМС",IF(I552&lt;=Нормативы!$L$84,"КМС",IF(I552&lt;=Нормативы!$L$85,"I",IF(I552&lt;=Нормативы!$L$86,"II",IF(I552&lt;=Нормативы!$L$87,"III",IF(I552&lt;=Нормативы!$L$88,"I юн",IF(I552&lt;=Нормативы!$L$89,"II юн",IF(I552&lt;=Нормативы!$L$90,"III юн","б/р")))))))))))</f>
        <v>III юн</v>
      </c>
    </row>
    <row r="553" spans="1:10" s="54" customFormat="1" x14ac:dyDescent="0.35">
      <c r="A553" s="14">
        <v>10</v>
      </c>
      <c r="B553" s="14" t="s">
        <v>22</v>
      </c>
      <c r="C553" s="214" t="s">
        <v>391</v>
      </c>
      <c r="D553" s="214"/>
      <c r="E553" s="215">
        <v>42075</v>
      </c>
      <c r="F553" s="214" t="s">
        <v>245</v>
      </c>
      <c r="G553" s="216"/>
      <c r="H553" s="14"/>
      <c r="I553" s="217">
        <v>111.56</v>
      </c>
      <c r="J553" s="59" t="str">
        <f>IF(ISBLANK(I553)," ",IF(ISTEXT(I553)," ",IF(I553&lt;=Нормативы!$H$82,"КМС",IF(I553&lt;=Нормативы!$H$83,"КМС",IF(I553&lt;=Нормативы!$L$84,"КМС",IF(I553&lt;=Нормативы!$L$85,"I",IF(I553&lt;=Нормативы!$L$86,"II",IF(I553&lt;=Нормативы!$L$87,"III",IF(I553&lt;=Нормативы!$L$88,"I юн",IF(I553&lt;=Нормативы!$L$89,"II юн",IF(I553&lt;=Нормативы!$L$90,"III юн","б/р")))))))))))</f>
        <v>III юн</v>
      </c>
    </row>
    <row r="554" spans="1:10" s="54" customFormat="1" x14ac:dyDescent="0.35">
      <c r="A554" s="14">
        <v>11</v>
      </c>
      <c r="B554" s="14" t="s">
        <v>26</v>
      </c>
      <c r="C554" s="214" t="s">
        <v>360</v>
      </c>
      <c r="D554" s="214"/>
      <c r="E554" s="215">
        <v>42457</v>
      </c>
      <c r="F554" s="214" t="s">
        <v>198</v>
      </c>
      <c r="G554" s="216"/>
      <c r="H554" s="14"/>
      <c r="I554" s="217">
        <v>112.19</v>
      </c>
      <c r="J554" s="59" t="str">
        <f>IF(ISBLANK(I554)," ",IF(ISTEXT(I554)," ",IF(I554&lt;=Нормативы!$H$82,"КМС",IF(I554&lt;=Нормативы!$H$83,"КМС",IF(I554&lt;=Нормативы!$L$84,"КМС",IF(I554&lt;=Нормативы!$L$85,"I",IF(I554&lt;=Нормативы!$L$86,"II",IF(I554&lt;=Нормативы!$L$87,"III",IF(I554&lt;=Нормативы!$L$88,"I юн",IF(I554&lt;=Нормативы!$L$89,"II юн",IF(I554&lt;=Нормативы!$L$90,"III юн","б/р")))))))))))</f>
        <v>III юн</v>
      </c>
    </row>
    <row r="555" spans="1:10" s="54" customFormat="1" x14ac:dyDescent="0.35">
      <c r="A555" s="14">
        <v>12</v>
      </c>
      <c r="B555" s="14" t="s">
        <v>23</v>
      </c>
      <c r="C555" s="214" t="s">
        <v>310</v>
      </c>
      <c r="D555" s="214"/>
      <c r="E555" s="215">
        <v>42169</v>
      </c>
      <c r="F555" s="214" t="s">
        <v>172</v>
      </c>
      <c r="G555" s="216"/>
      <c r="H555" s="14"/>
      <c r="I555" s="217">
        <v>113.35</v>
      </c>
      <c r="J555" s="59" t="str">
        <f>IF(ISBLANK(I555)," ",IF(ISTEXT(I555)," ",IF(I555&lt;=Нормативы!$H$82,"КМС",IF(I555&lt;=Нормативы!$H$83,"КМС",IF(I555&lt;=Нормативы!$L$84,"КМС",IF(I555&lt;=Нормативы!$L$85,"I",IF(I555&lt;=Нормативы!$L$86,"II",IF(I555&lt;=Нормативы!$L$87,"III",IF(I555&lt;=Нормативы!$L$88,"I юн",IF(I555&lt;=Нормативы!$L$89,"II юн",IF(I555&lt;=Нормативы!$L$90,"III юн","б/р")))))))))))</f>
        <v>III юн</v>
      </c>
    </row>
    <row r="556" spans="1:10" s="54" customFormat="1" x14ac:dyDescent="0.35">
      <c r="A556" s="14">
        <v>13</v>
      </c>
      <c r="B556" s="14" t="s">
        <v>22</v>
      </c>
      <c r="C556" s="214" t="s">
        <v>393</v>
      </c>
      <c r="D556" s="214"/>
      <c r="E556" s="215">
        <v>42068</v>
      </c>
      <c r="F556" s="214" t="s">
        <v>245</v>
      </c>
      <c r="G556" s="216"/>
      <c r="H556" s="14"/>
      <c r="I556" s="217">
        <v>114.68</v>
      </c>
      <c r="J556" s="59" t="str">
        <f>IF(ISBLANK(I556)," ",IF(ISTEXT(I556)," ",IF(I556&lt;=Нормативы!$H$82,"КМС",IF(I556&lt;=Нормативы!$H$83,"КМС",IF(I556&lt;=Нормативы!$L$84,"КМС",IF(I556&lt;=Нормативы!$L$85,"I",IF(I556&lt;=Нормативы!$L$86,"II",IF(I556&lt;=Нормативы!$L$87,"III",IF(I556&lt;=Нормативы!$L$88,"I юн",IF(I556&lt;=Нормативы!$L$89,"II юн",IF(I556&lt;=Нормативы!$L$90,"III юн","б/р")))))))))))</f>
        <v>III юн</v>
      </c>
    </row>
    <row r="557" spans="1:10" s="54" customFormat="1" x14ac:dyDescent="0.35">
      <c r="A557" s="14">
        <v>14</v>
      </c>
      <c r="B557" s="14" t="s">
        <v>23</v>
      </c>
      <c r="C557" s="214" t="s">
        <v>378</v>
      </c>
      <c r="D557" s="214"/>
      <c r="E557" s="215">
        <v>42044</v>
      </c>
      <c r="F557" s="214" t="s">
        <v>176</v>
      </c>
      <c r="G557" s="216"/>
      <c r="H557" s="14"/>
      <c r="I557" s="217">
        <v>115.89</v>
      </c>
      <c r="J557" s="59" t="str">
        <f>IF(ISBLANK(I557)," ",IF(ISTEXT(I557)," ",IF(I557&lt;=Нормативы!$H$82,"КМС",IF(I557&lt;=Нормативы!$H$83,"КМС",IF(I557&lt;=Нормативы!$L$84,"КМС",IF(I557&lt;=Нормативы!$L$85,"I",IF(I557&lt;=Нормативы!$L$86,"II",IF(I557&lt;=Нормативы!$L$87,"III",IF(I557&lt;=Нормативы!$L$88,"I юн",IF(I557&lt;=Нормативы!$L$89,"II юн",IF(I557&lt;=Нормативы!$L$90,"III юн","б/р")))))))))))</f>
        <v>III юн</v>
      </c>
    </row>
    <row r="558" spans="1:10" s="54" customFormat="1" x14ac:dyDescent="0.35">
      <c r="A558" s="14">
        <v>15</v>
      </c>
      <c r="B558" s="14" t="s">
        <v>23</v>
      </c>
      <c r="C558" s="214" t="s">
        <v>443</v>
      </c>
      <c r="D558" s="214"/>
      <c r="E558" s="215">
        <v>42295</v>
      </c>
      <c r="F558" s="214" t="s">
        <v>172</v>
      </c>
      <c r="G558" s="216"/>
      <c r="H558" s="14"/>
      <c r="I558" s="217">
        <v>116.37</v>
      </c>
      <c r="J558" s="59" t="str">
        <f>IF(ISBLANK(I558)," ",IF(ISTEXT(I558)," ",IF(I558&lt;=Нормативы!$H$82,"КМС",IF(I558&lt;=Нормативы!$H$83,"КМС",IF(I558&lt;=Нормативы!$L$84,"КМС",IF(I558&lt;=Нормативы!$L$85,"I",IF(I558&lt;=Нормативы!$L$86,"II",IF(I558&lt;=Нормативы!$L$87,"III",IF(I558&lt;=Нормативы!$L$88,"I юн",IF(I558&lt;=Нормативы!$L$89,"II юн",IF(I558&lt;=Нормативы!$L$90,"III юн","б/р")))))))))))</f>
        <v>III юн</v>
      </c>
    </row>
    <row r="559" spans="1:10" s="54" customFormat="1" x14ac:dyDescent="0.35">
      <c r="A559" s="14">
        <v>16</v>
      </c>
      <c r="B559" s="14" t="s">
        <v>26</v>
      </c>
      <c r="C559" s="214" t="s">
        <v>292</v>
      </c>
      <c r="D559" s="214"/>
      <c r="E559" s="215">
        <v>42183</v>
      </c>
      <c r="F559" s="214" t="s">
        <v>198</v>
      </c>
      <c r="G559" s="216"/>
      <c r="H559" s="14"/>
      <c r="I559" s="217">
        <v>118.4</v>
      </c>
      <c r="J559" s="59" t="str">
        <f>IF(ISBLANK(I559)," ",IF(ISTEXT(I559)," ",IF(I559&lt;=Нормативы!$H$82,"КМС",IF(I559&lt;=Нормативы!$H$83,"КМС",IF(I559&lt;=Нормативы!$L$84,"КМС",IF(I559&lt;=Нормативы!$L$85,"I",IF(I559&lt;=Нормативы!$L$86,"II",IF(I559&lt;=Нормативы!$L$87,"III",IF(I559&lt;=Нормативы!$L$88,"I юн",IF(I559&lt;=Нормативы!$L$89,"II юн",IF(I559&lt;=Нормативы!$L$90,"III юн","б/р")))))))))))</f>
        <v>б/р</v>
      </c>
    </row>
    <row r="560" spans="1:10" s="54" customFormat="1" x14ac:dyDescent="0.35">
      <c r="A560" s="14">
        <v>17</v>
      </c>
      <c r="B560" s="14" t="s">
        <v>26</v>
      </c>
      <c r="C560" s="214" t="s">
        <v>297</v>
      </c>
      <c r="D560" s="214"/>
      <c r="E560" s="215">
        <v>42487</v>
      </c>
      <c r="F560" s="214" t="s">
        <v>198</v>
      </c>
      <c r="G560" s="216"/>
      <c r="H560" s="14"/>
      <c r="I560" s="217">
        <v>119.18</v>
      </c>
      <c r="J560" s="59" t="str">
        <f>IF(ISBLANK(I560)," ",IF(ISTEXT(I560)," ",IF(I560&lt;=Нормативы!$H$82,"КМС",IF(I560&lt;=Нормативы!$H$83,"КМС",IF(I560&lt;=Нормативы!$L$84,"КМС",IF(I560&lt;=Нормативы!$L$85,"I",IF(I560&lt;=Нормативы!$L$86,"II",IF(I560&lt;=Нормативы!$L$87,"III",IF(I560&lt;=Нормативы!$L$88,"I юн",IF(I560&lt;=Нормативы!$L$89,"II юн",IF(I560&lt;=Нормативы!$L$90,"III юн","б/р")))))))))))</f>
        <v>б/р</v>
      </c>
    </row>
    <row r="561" spans="1:10" s="54" customFormat="1" x14ac:dyDescent="0.35">
      <c r="A561" s="14">
        <v>18</v>
      </c>
      <c r="B561" s="14" t="s">
        <v>23</v>
      </c>
      <c r="C561" s="214" t="s">
        <v>444</v>
      </c>
      <c r="D561" s="214"/>
      <c r="E561" s="215">
        <v>42353</v>
      </c>
      <c r="F561" s="214" t="s">
        <v>172</v>
      </c>
      <c r="G561" s="216"/>
      <c r="H561" s="14"/>
      <c r="I561" s="217">
        <v>119.33</v>
      </c>
      <c r="J561" s="59" t="str">
        <f>IF(ISBLANK(I561)," ",IF(ISTEXT(I561)," ",IF(I561&lt;=Нормативы!$H$82,"КМС",IF(I561&lt;=Нормативы!$H$83,"КМС",IF(I561&lt;=Нормативы!$L$84,"КМС",IF(I561&lt;=Нормативы!$L$85,"I",IF(I561&lt;=Нормативы!$L$86,"II",IF(I561&lt;=Нормативы!$L$87,"III",IF(I561&lt;=Нормативы!$L$88,"I юн",IF(I561&lt;=Нормативы!$L$89,"II юн",IF(I561&lt;=Нормативы!$L$90,"III юн","б/р")))))))))))</f>
        <v>б/р</v>
      </c>
    </row>
    <row r="562" spans="1:10" s="54" customFormat="1" x14ac:dyDescent="0.35">
      <c r="A562" s="14">
        <v>19</v>
      </c>
      <c r="B562" s="14" t="s">
        <v>26</v>
      </c>
      <c r="C562" s="214" t="s">
        <v>355</v>
      </c>
      <c r="D562" s="214"/>
      <c r="E562" s="215">
        <v>42472</v>
      </c>
      <c r="F562" s="214" t="s">
        <v>198</v>
      </c>
      <c r="G562" s="216"/>
      <c r="H562" s="14"/>
      <c r="I562" s="217">
        <v>119.49</v>
      </c>
      <c r="J562" s="59" t="str">
        <f>IF(ISBLANK(I562)," ",IF(ISTEXT(I562)," ",IF(I562&lt;=Нормативы!$H$82,"КМС",IF(I562&lt;=Нормативы!$H$83,"КМС",IF(I562&lt;=Нормативы!$L$84,"КМС",IF(I562&lt;=Нормативы!$L$85,"I",IF(I562&lt;=Нормативы!$L$86,"II",IF(I562&lt;=Нормативы!$L$87,"III",IF(I562&lt;=Нормативы!$L$88,"I юн",IF(I562&lt;=Нормативы!$L$89,"II юн",IF(I562&lt;=Нормативы!$L$90,"III юн","б/р")))))))))))</f>
        <v>б/р</v>
      </c>
    </row>
    <row r="563" spans="1:10" s="54" customFormat="1" x14ac:dyDescent="0.35">
      <c r="A563" s="14">
        <v>20</v>
      </c>
      <c r="B563" s="14" t="s">
        <v>23</v>
      </c>
      <c r="C563" s="214" t="s">
        <v>451</v>
      </c>
      <c r="D563" s="214"/>
      <c r="E563" s="215">
        <v>42720</v>
      </c>
      <c r="F563" s="214" t="s">
        <v>172</v>
      </c>
      <c r="G563" s="216"/>
      <c r="H563" s="14"/>
      <c r="I563" s="217">
        <v>120.21</v>
      </c>
      <c r="J563" s="59" t="str">
        <f>IF(ISBLANK(I563)," ",IF(ISTEXT(I563)," ",IF(I563&lt;=Нормативы!$H$82,"КМС",IF(I563&lt;=Нормативы!$H$83,"КМС",IF(I563&lt;=Нормативы!$L$84,"КМС",IF(I563&lt;=Нормативы!$L$85,"I",IF(I563&lt;=Нормативы!$L$86,"II",IF(I563&lt;=Нормативы!$L$87,"III",IF(I563&lt;=Нормативы!$L$88,"I юн",IF(I563&lt;=Нормативы!$L$89,"II юн",IF(I563&lt;=Нормативы!$L$90,"III юн","б/р")))))))))))</f>
        <v>б/р</v>
      </c>
    </row>
    <row r="564" spans="1:10" s="54" customFormat="1" x14ac:dyDescent="0.35">
      <c r="A564" s="14">
        <v>21</v>
      </c>
      <c r="B564" s="14" t="s">
        <v>26</v>
      </c>
      <c r="C564" s="214" t="s">
        <v>345</v>
      </c>
      <c r="D564" s="214"/>
      <c r="E564" s="215">
        <v>42413</v>
      </c>
      <c r="F564" s="214" t="s">
        <v>198</v>
      </c>
      <c r="G564" s="216"/>
      <c r="H564" s="14"/>
      <c r="I564" s="217">
        <v>120.7</v>
      </c>
      <c r="J564" s="59" t="str">
        <f>IF(ISBLANK(I564)," ",IF(ISTEXT(I564)," ",IF(I564&lt;=Нормативы!$H$82,"КМС",IF(I564&lt;=Нормативы!$H$83,"КМС",IF(I564&lt;=Нормативы!$L$84,"КМС",IF(I564&lt;=Нормативы!$L$85,"I",IF(I564&lt;=Нормативы!$L$86,"II",IF(I564&lt;=Нормативы!$L$87,"III",IF(I564&lt;=Нормативы!$L$88,"I юн",IF(I564&lt;=Нормативы!$L$89,"II юн",IF(I564&lt;=Нормативы!$L$90,"III юн","б/р")))))))))))</f>
        <v>б/р</v>
      </c>
    </row>
    <row r="565" spans="1:10" s="54" customFormat="1" x14ac:dyDescent="0.35">
      <c r="A565" s="14">
        <v>22</v>
      </c>
      <c r="B565" s="14" t="s">
        <v>23</v>
      </c>
      <c r="C565" s="214" t="s">
        <v>387</v>
      </c>
      <c r="D565" s="214"/>
      <c r="E565" s="215">
        <v>42299</v>
      </c>
      <c r="F565" s="214" t="s">
        <v>245</v>
      </c>
      <c r="G565" s="216"/>
      <c r="H565" s="14"/>
      <c r="I565" s="217">
        <v>122.07</v>
      </c>
      <c r="J565" s="59" t="str">
        <f>IF(ISBLANK(I565)," ",IF(ISTEXT(I565)," ",IF(I565&lt;=Нормативы!$H$82,"КМС",IF(I565&lt;=Нормативы!$H$83,"КМС",IF(I565&lt;=Нормативы!$L$84,"КМС",IF(I565&lt;=Нормативы!$L$85,"I",IF(I565&lt;=Нормативы!$L$86,"II",IF(I565&lt;=Нормативы!$L$87,"III",IF(I565&lt;=Нормативы!$L$88,"I юн",IF(I565&lt;=Нормативы!$L$89,"II юн",IF(I565&lt;=Нормативы!$L$90,"III юн","б/р")))))))))))</f>
        <v>б/р</v>
      </c>
    </row>
    <row r="566" spans="1:10" s="54" customFormat="1" x14ac:dyDescent="0.35">
      <c r="A566" s="14">
        <v>23</v>
      </c>
      <c r="B566" s="14" t="s">
        <v>26</v>
      </c>
      <c r="C566" s="214" t="s">
        <v>450</v>
      </c>
      <c r="D566" s="214"/>
      <c r="E566" s="215">
        <v>42646</v>
      </c>
      <c r="F566" s="214" t="s">
        <v>172</v>
      </c>
      <c r="G566" s="216"/>
      <c r="H566" s="14"/>
      <c r="I566" s="217">
        <v>124.12</v>
      </c>
      <c r="J566" s="59" t="str">
        <f>IF(ISBLANK(I566)," ",IF(ISTEXT(I566)," ",IF(I566&lt;=Нормативы!$H$82,"КМС",IF(I566&lt;=Нормативы!$H$83,"КМС",IF(I566&lt;=Нормативы!$L$84,"КМС",IF(I566&lt;=Нормативы!$L$85,"I",IF(I566&lt;=Нормативы!$L$86,"II",IF(I566&lt;=Нормативы!$L$87,"III",IF(I566&lt;=Нормативы!$L$88,"I юн",IF(I566&lt;=Нормативы!$L$89,"II юн",IF(I566&lt;=Нормативы!$L$90,"III юн","б/р")))))))))))</f>
        <v>б/р</v>
      </c>
    </row>
    <row r="567" spans="1:10" s="54" customFormat="1" x14ac:dyDescent="0.35">
      <c r="A567" s="14">
        <v>24</v>
      </c>
      <c r="B567" s="14" t="s">
        <v>26</v>
      </c>
      <c r="C567" s="214" t="s">
        <v>357</v>
      </c>
      <c r="D567" s="214"/>
      <c r="E567" s="215">
        <v>42470</v>
      </c>
      <c r="F567" s="214" t="s">
        <v>198</v>
      </c>
      <c r="G567" s="216"/>
      <c r="H567" s="14"/>
      <c r="I567" s="217">
        <v>125.08</v>
      </c>
      <c r="J567" s="59" t="str">
        <f>IF(ISBLANK(I567)," ",IF(ISTEXT(I567)," ",IF(I567&lt;=Нормативы!$H$82,"КМС",IF(I567&lt;=Нормативы!$H$83,"КМС",IF(I567&lt;=Нормативы!$L$84,"КМС",IF(I567&lt;=Нормативы!$L$85,"I",IF(I567&lt;=Нормативы!$L$86,"II",IF(I567&lt;=Нормативы!$L$87,"III",IF(I567&lt;=Нормативы!$L$88,"I юн",IF(I567&lt;=Нормативы!$L$89,"II юн",IF(I567&lt;=Нормативы!$L$90,"III юн","б/р")))))))))))</f>
        <v>б/р</v>
      </c>
    </row>
    <row r="568" spans="1:10" s="54" customFormat="1" x14ac:dyDescent="0.35">
      <c r="A568" s="14">
        <v>25</v>
      </c>
      <c r="B568" s="14" t="s">
        <v>22</v>
      </c>
      <c r="C568" s="214" t="s">
        <v>304</v>
      </c>
      <c r="D568" s="214"/>
      <c r="E568" s="215">
        <v>42524</v>
      </c>
      <c r="F568" s="214" t="s">
        <v>198</v>
      </c>
      <c r="G568" s="216"/>
      <c r="H568" s="14"/>
      <c r="I568" s="217">
        <v>125.72</v>
      </c>
      <c r="J568" s="59" t="str">
        <f>IF(ISBLANK(I568)," ",IF(ISTEXT(I568)," ",IF(I568&lt;=Нормативы!$H$82,"КМС",IF(I568&lt;=Нормативы!$H$83,"КМС",IF(I568&lt;=Нормативы!$L$84,"КМС",IF(I568&lt;=Нормативы!$L$85,"I",IF(I568&lt;=Нормативы!$L$86,"II",IF(I568&lt;=Нормативы!$L$87,"III",IF(I568&lt;=Нормативы!$L$88,"I юн",IF(I568&lt;=Нормативы!$L$89,"II юн",IF(I568&lt;=Нормативы!$L$90,"III юн","б/р")))))))))))</f>
        <v>б/р</v>
      </c>
    </row>
    <row r="569" spans="1:10" s="54" customFormat="1" x14ac:dyDescent="0.35">
      <c r="A569" s="14">
        <v>26</v>
      </c>
      <c r="B569" s="14" t="s">
        <v>26</v>
      </c>
      <c r="C569" s="214" t="s">
        <v>493</v>
      </c>
      <c r="D569" s="214"/>
      <c r="E569" s="215">
        <v>42313</v>
      </c>
      <c r="F569" s="214" t="s">
        <v>198</v>
      </c>
      <c r="G569" s="216"/>
      <c r="H569" s="14"/>
      <c r="I569" s="217">
        <v>126.01</v>
      </c>
      <c r="J569" s="59" t="str">
        <f>IF(ISBLANK(I569)," ",IF(ISTEXT(I569)," ",IF(I569&lt;=Нормативы!$H$82,"КМС",IF(I569&lt;=Нормативы!$H$83,"КМС",IF(I569&lt;=Нормативы!$L$84,"КМС",IF(I569&lt;=Нормативы!$L$85,"I",IF(I569&lt;=Нормативы!$L$86,"II",IF(I569&lt;=Нормативы!$L$87,"III",IF(I569&lt;=Нормативы!$L$88,"I юн",IF(I569&lt;=Нормативы!$L$89,"II юн",IF(I569&lt;=Нормативы!$L$90,"III юн","б/р")))))))))))</f>
        <v>б/р</v>
      </c>
    </row>
    <row r="570" spans="1:10" s="54" customFormat="1" x14ac:dyDescent="0.35">
      <c r="A570" s="14">
        <v>27</v>
      </c>
      <c r="B570" s="14" t="s">
        <v>26</v>
      </c>
      <c r="C570" s="214" t="s">
        <v>449</v>
      </c>
      <c r="D570" s="214"/>
      <c r="E570" s="215">
        <v>42636</v>
      </c>
      <c r="F570" s="214" t="s">
        <v>172</v>
      </c>
      <c r="G570" s="216"/>
      <c r="H570" s="14"/>
      <c r="I570" s="217">
        <v>126.72</v>
      </c>
      <c r="J570" s="59" t="str">
        <f>IF(ISBLANK(I570)," ",IF(ISTEXT(I570)," ",IF(I570&lt;=Нормативы!$H$82,"КМС",IF(I570&lt;=Нормативы!$H$83,"КМС",IF(I570&lt;=Нормативы!$L$84,"КМС",IF(I570&lt;=Нормативы!$L$85,"I",IF(I570&lt;=Нормативы!$L$86,"II",IF(I570&lt;=Нормативы!$L$87,"III",IF(I570&lt;=Нормативы!$L$88,"I юн",IF(I570&lt;=Нормативы!$L$89,"II юн",IF(I570&lt;=Нормативы!$L$90,"III юн","б/р")))))))))))</f>
        <v>б/р</v>
      </c>
    </row>
    <row r="571" spans="1:10" s="54" customFormat="1" x14ac:dyDescent="0.35">
      <c r="A571" s="14">
        <v>28</v>
      </c>
      <c r="B571" s="14" t="s">
        <v>26</v>
      </c>
      <c r="C571" s="214" t="s">
        <v>346</v>
      </c>
      <c r="D571" s="214"/>
      <c r="E571" s="215">
        <v>42394</v>
      </c>
      <c r="F571" s="214" t="s">
        <v>198</v>
      </c>
      <c r="G571" s="216"/>
      <c r="H571" s="14"/>
      <c r="I571" s="217">
        <v>127.68</v>
      </c>
      <c r="J571" s="59" t="str">
        <f>IF(ISBLANK(I571)," ",IF(ISTEXT(I571)," ",IF(I571&lt;=Нормативы!$H$82,"КМС",IF(I571&lt;=Нормативы!$H$83,"КМС",IF(I571&lt;=Нормативы!$L$84,"КМС",IF(I571&lt;=Нормативы!$L$85,"I",IF(I571&lt;=Нормативы!$L$86,"II",IF(I571&lt;=Нормативы!$L$87,"III",IF(I571&lt;=Нормативы!$L$88,"I юн",IF(I571&lt;=Нормативы!$L$89,"II юн",IF(I571&lt;=Нормативы!$L$90,"III юн","б/р")))))))))))</f>
        <v>б/р</v>
      </c>
    </row>
    <row r="572" spans="1:10" s="54" customFormat="1" x14ac:dyDescent="0.35">
      <c r="A572" s="14">
        <v>29</v>
      </c>
      <c r="B572" s="14" t="s">
        <v>26</v>
      </c>
      <c r="C572" s="214" t="s">
        <v>392</v>
      </c>
      <c r="D572" s="214"/>
      <c r="E572" s="215">
        <v>42565</v>
      </c>
      <c r="F572" s="214" t="s">
        <v>245</v>
      </c>
      <c r="G572" s="216"/>
      <c r="H572" s="14"/>
      <c r="I572" s="217">
        <v>128.19</v>
      </c>
      <c r="J572" s="59" t="str">
        <f>IF(ISBLANK(I572)," ",IF(ISTEXT(I572)," ",IF(I572&lt;=Нормативы!$H$82,"КМС",IF(I572&lt;=Нормативы!$H$83,"КМС",IF(I572&lt;=Нормативы!$L$84,"КМС",IF(I572&lt;=Нормативы!$L$85,"I",IF(I572&lt;=Нормативы!$L$86,"II",IF(I572&lt;=Нормативы!$L$87,"III",IF(I572&lt;=Нормативы!$L$88,"I юн",IF(I572&lt;=Нормативы!$L$89,"II юн",IF(I572&lt;=Нормативы!$L$90,"III юн","б/р")))))))))))</f>
        <v>б/р</v>
      </c>
    </row>
    <row r="573" spans="1:10" s="54" customFormat="1" x14ac:dyDescent="0.35">
      <c r="A573" s="14">
        <v>30</v>
      </c>
      <c r="B573" s="14" t="s">
        <v>23</v>
      </c>
      <c r="C573" s="214" t="s">
        <v>389</v>
      </c>
      <c r="D573" s="214"/>
      <c r="E573" s="215">
        <v>42717</v>
      </c>
      <c r="F573" s="214" t="s">
        <v>245</v>
      </c>
      <c r="G573" s="216"/>
      <c r="H573" s="14"/>
      <c r="I573" s="217">
        <v>128.69999999999999</v>
      </c>
      <c r="J573" s="59" t="str">
        <f>IF(ISBLANK(I573)," ",IF(ISTEXT(I573)," ",IF(I573&lt;=Нормативы!$H$82,"КМС",IF(I573&lt;=Нормативы!$H$83,"КМС",IF(I573&lt;=Нормативы!$L$84,"КМС",IF(I573&lt;=Нормативы!$L$85,"I",IF(I573&lt;=Нормативы!$L$86,"II",IF(I573&lt;=Нормативы!$L$87,"III",IF(I573&lt;=Нормативы!$L$88,"I юн",IF(I573&lt;=Нормативы!$L$89,"II юн",IF(I573&lt;=Нормативы!$L$90,"III юн","б/р")))))))))))</f>
        <v>б/р</v>
      </c>
    </row>
    <row r="574" spans="1:10" s="54" customFormat="1" x14ac:dyDescent="0.35">
      <c r="A574" s="14">
        <v>31</v>
      </c>
      <c r="B574" s="14" t="s">
        <v>26</v>
      </c>
      <c r="C574" s="214" t="s">
        <v>390</v>
      </c>
      <c r="D574" s="214"/>
      <c r="E574" s="215">
        <v>42619</v>
      </c>
      <c r="F574" s="214" t="s">
        <v>245</v>
      </c>
      <c r="G574" s="216"/>
      <c r="H574" s="14"/>
      <c r="I574" s="217">
        <v>133.13</v>
      </c>
      <c r="J574" s="59" t="str">
        <f>IF(ISBLANK(I574)," ",IF(ISTEXT(I574)," ",IF(I574&lt;=Нормативы!$H$82,"КМС",IF(I574&lt;=Нормативы!$H$83,"КМС",IF(I574&lt;=Нормативы!$L$84,"КМС",IF(I574&lt;=Нормативы!$L$85,"I",IF(I574&lt;=Нормативы!$L$86,"II",IF(I574&lt;=Нормативы!$L$87,"III",IF(I574&lt;=Нормативы!$L$88,"I юн",IF(I574&lt;=Нормативы!$L$89,"II юн",IF(I574&lt;=Нормативы!$L$90,"III юн","б/р")))))))))))</f>
        <v>б/р</v>
      </c>
    </row>
    <row r="575" spans="1:10" s="54" customFormat="1" x14ac:dyDescent="0.35">
      <c r="A575" s="14">
        <v>32</v>
      </c>
      <c r="B575" s="14" t="s">
        <v>26</v>
      </c>
      <c r="C575" s="214" t="s">
        <v>348</v>
      </c>
      <c r="D575" s="214"/>
      <c r="E575" s="215">
        <v>42521</v>
      </c>
      <c r="F575" s="214" t="s">
        <v>198</v>
      </c>
      <c r="G575" s="216"/>
      <c r="H575" s="14"/>
      <c r="I575" s="217">
        <v>143.38999999999999</v>
      </c>
      <c r="J575" s="59" t="str">
        <f>IF(ISBLANK(I575)," ",IF(ISTEXT(I575)," ",IF(I575&lt;=Нормативы!$H$82,"КМС",IF(I575&lt;=Нормативы!$H$83,"КМС",IF(I575&lt;=Нормативы!$L$84,"КМС",IF(I575&lt;=Нормативы!$L$85,"I",IF(I575&lt;=Нормативы!$L$86,"II",IF(I575&lt;=Нормативы!$L$87,"III",IF(I575&lt;=Нормативы!$L$88,"I юн",IF(I575&lt;=Нормативы!$L$89,"II юн",IF(I575&lt;=Нормативы!$L$90,"III юн","б/р")))))))))))</f>
        <v>б/р</v>
      </c>
    </row>
    <row r="576" spans="1:10" s="54" customFormat="1" x14ac:dyDescent="0.35">
      <c r="A576" s="14"/>
      <c r="B576" s="14" t="s">
        <v>26</v>
      </c>
      <c r="C576" s="214" t="s">
        <v>358</v>
      </c>
      <c r="D576" s="214"/>
      <c r="E576" s="215">
        <v>42646</v>
      </c>
      <c r="F576" s="214" t="s">
        <v>198</v>
      </c>
      <c r="G576" s="216"/>
      <c r="H576" s="14"/>
      <c r="I576" s="217" t="s">
        <v>191</v>
      </c>
      <c r="J576" s="59" t="str">
        <f>IF(ISBLANK(I576)," ",IF(ISTEXT(I576)," ",IF(I576&lt;=Нормативы!$H$82,"КМС",IF(I576&lt;=Нормативы!$H$83,"КМС",IF(I576&lt;=Нормативы!$L$84,"КМС",IF(I576&lt;=Нормативы!$L$85,"I",IF(I576&lt;=Нормативы!$L$86,"II",IF(I576&lt;=Нормативы!$L$87,"III",IF(I576&lt;=Нормативы!$L$88,"I юн",IF(I576&lt;=Нормативы!$L$89,"II юн",IF(I576&lt;=Нормативы!$L$90,"III юн","б/р")))))))))))</f>
        <v xml:space="preserve"> </v>
      </c>
    </row>
    <row r="577" spans="1:10" s="54" customFormat="1" x14ac:dyDescent="0.35">
      <c r="A577" s="14"/>
      <c r="B577" s="14" t="s">
        <v>26</v>
      </c>
      <c r="C577" s="214" t="s">
        <v>347</v>
      </c>
      <c r="D577" s="214"/>
      <c r="E577" s="215">
        <v>42203</v>
      </c>
      <c r="F577" s="214" t="s">
        <v>198</v>
      </c>
      <c r="G577" s="216"/>
      <c r="H577" s="14"/>
      <c r="I577" s="217" t="s">
        <v>191</v>
      </c>
      <c r="J577" s="59" t="str">
        <f>IF(ISBLANK(I577)," ",IF(ISTEXT(I577)," ",IF(I577&lt;=Нормативы!$H$82,"КМС",IF(I577&lt;=Нормативы!$H$83,"КМС",IF(I577&lt;=Нормативы!$L$84,"КМС",IF(I577&lt;=Нормативы!$L$85,"I",IF(I577&lt;=Нормативы!$L$86,"II",IF(I577&lt;=Нормативы!$L$87,"III",IF(I577&lt;=Нормативы!$L$88,"I юн",IF(I577&lt;=Нормативы!$L$89,"II юн",IF(I577&lt;=Нормативы!$L$90,"III юн","б/р")))))))))))</f>
        <v xml:space="preserve"> </v>
      </c>
    </row>
    <row r="578" spans="1:10" s="54" customFormat="1" x14ac:dyDescent="0.35">
      <c r="A578" s="124"/>
      <c r="I578" s="117"/>
    </row>
    <row r="579" spans="1:10" s="54" customFormat="1" x14ac:dyDescent="0.35">
      <c r="A579" s="221" t="s">
        <v>235</v>
      </c>
      <c r="B579" s="14"/>
      <c r="C579" s="214"/>
      <c r="D579" s="214"/>
      <c r="E579" s="215"/>
      <c r="F579" s="214"/>
      <c r="G579" s="216"/>
      <c r="H579" s="14"/>
      <c r="I579" s="217"/>
      <c r="J579" s="59" t="str">
        <f>IF(ISBLANK(I579)," ",IF(ISTEXT(I579)," ",IF(I579&lt;=Нормативы!$H$82,"КМС",IF(I579&lt;=Нормативы!$H$83,"КМС",IF(I579&lt;=Нормативы!$L$84,"КМС",IF(I579&lt;=Нормативы!$L$85,"I",IF(I579&lt;=Нормативы!$L$86,"II",IF(I579&lt;=Нормативы!$L$87,"III",IF(I579&lt;=Нормативы!$L$88,"I юн",IF(I579&lt;=Нормативы!$L$89,"II юн",IF(I579&lt;=Нормативы!$L$90,"III юн","б/р")))))))))))</f>
        <v xml:space="preserve"> </v>
      </c>
    </row>
    <row r="580" spans="1:10" s="54" customFormat="1" x14ac:dyDescent="0.35">
      <c r="A580" s="14">
        <v>1</v>
      </c>
      <c r="B580" s="14" t="s">
        <v>23</v>
      </c>
      <c r="C580" s="214" t="s">
        <v>454</v>
      </c>
      <c r="D580" s="214"/>
      <c r="E580" s="215">
        <v>43038</v>
      </c>
      <c r="F580" s="214" t="s">
        <v>172</v>
      </c>
      <c r="G580" s="216"/>
      <c r="H580" s="14"/>
      <c r="I580" s="217">
        <v>116.7</v>
      </c>
      <c r="J580" s="59" t="str">
        <f>IF(ISBLANK(I580)," ",IF(ISTEXT(I580)," ",IF(I580&lt;=Нормативы!$H$82,"КМС",IF(I580&lt;=Нормативы!$H$83,"КМС",IF(I580&lt;=Нормативы!$L$84,"КМС",IF(I580&lt;=Нормативы!$L$85,"I",IF(I580&lt;=Нормативы!$L$86,"II",IF(I580&lt;=Нормативы!$L$87,"III",IF(I580&lt;=Нормативы!$L$88,"I юн",IF(I580&lt;=Нормативы!$L$89,"II юн",IF(I580&lt;=Нормативы!$L$90,"III юн","б/р")))))))))))</f>
        <v>III юн</v>
      </c>
    </row>
    <row r="581" spans="1:10" s="54" customFormat="1" x14ac:dyDescent="0.35">
      <c r="A581" s="14">
        <v>2</v>
      </c>
      <c r="B581" s="14" t="s">
        <v>23</v>
      </c>
      <c r="C581" s="214" t="s">
        <v>452</v>
      </c>
      <c r="D581" s="214"/>
      <c r="E581" s="215">
        <v>42886</v>
      </c>
      <c r="F581" s="214" t="s">
        <v>172</v>
      </c>
      <c r="G581" s="216"/>
      <c r="H581" s="14"/>
      <c r="I581" s="217">
        <v>116.84</v>
      </c>
      <c r="J581" s="59" t="str">
        <f>IF(ISBLANK(I581)," ",IF(ISTEXT(I581)," ",IF(I581&lt;=Нормативы!$H$82,"КМС",IF(I581&lt;=Нормативы!$H$83,"КМС",IF(I581&lt;=Нормативы!$L$84,"КМС",IF(I581&lt;=Нормативы!$L$85,"I",IF(I581&lt;=Нормативы!$L$86,"II",IF(I581&lt;=Нормативы!$L$87,"III",IF(I581&lt;=Нормативы!$L$88,"I юн",IF(I581&lt;=Нормативы!$L$89,"II юн",IF(I581&lt;=Нормативы!$L$90,"III юн","б/р")))))))))))</f>
        <v>III юн</v>
      </c>
    </row>
    <row r="582" spans="1:10" s="54" customFormat="1" x14ac:dyDescent="0.35">
      <c r="A582" s="14">
        <v>3</v>
      </c>
      <c r="B582" s="14" t="s">
        <v>23</v>
      </c>
      <c r="C582" s="214" t="s">
        <v>455</v>
      </c>
      <c r="D582" s="214"/>
      <c r="E582" s="215">
        <v>43088</v>
      </c>
      <c r="F582" s="214" t="s">
        <v>172</v>
      </c>
      <c r="G582" s="216"/>
      <c r="H582" s="14"/>
      <c r="I582" s="217">
        <v>124.34</v>
      </c>
      <c r="J582" s="59" t="str">
        <f>IF(ISBLANK(I582)," ",IF(ISTEXT(I582)," ",IF(I582&lt;=Нормативы!$H$82,"КМС",IF(I582&lt;=Нормативы!$H$83,"КМС",IF(I582&lt;=Нормативы!$L$84,"КМС",IF(I582&lt;=Нормативы!$L$85,"I",IF(I582&lt;=Нормативы!$L$86,"II",IF(I582&lt;=Нормативы!$L$87,"III",IF(I582&lt;=Нормативы!$L$88,"I юн",IF(I582&lt;=Нормативы!$L$89,"II юн",IF(I582&lt;=Нормативы!$L$90,"III юн","б/р")))))))))))</f>
        <v>б/р</v>
      </c>
    </row>
    <row r="583" spans="1:10" s="54" customFormat="1" x14ac:dyDescent="0.35">
      <c r="A583" s="14">
        <v>4</v>
      </c>
      <c r="B583" s="14" t="s">
        <v>26</v>
      </c>
      <c r="C583" s="214" t="s">
        <v>303</v>
      </c>
      <c r="D583" s="214"/>
      <c r="E583" s="215">
        <v>42740</v>
      </c>
      <c r="F583" s="214" t="s">
        <v>198</v>
      </c>
      <c r="G583" s="216"/>
      <c r="H583" s="14"/>
      <c r="I583" s="217">
        <v>127.8</v>
      </c>
      <c r="J583" s="59" t="str">
        <f>IF(ISBLANK(I583)," ",IF(ISTEXT(I583)," ",IF(I583&lt;=Нормативы!$H$82,"КМС",IF(I583&lt;=Нормативы!$H$83,"КМС",IF(I583&lt;=Нормативы!$L$84,"КМС",IF(I583&lt;=Нормативы!$L$85,"I",IF(I583&lt;=Нормативы!$L$86,"II",IF(I583&lt;=Нормативы!$L$87,"III",IF(I583&lt;=Нормативы!$L$88,"I юн",IF(I583&lt;=Нормативы!$L$89,"II юн",IF(I583&lt;=Нормативы!$L$90,"III юн","б/р")))))))))))</f>
        <v>б/р</v>
      </c>
    </row>
    <row r="584" spans="1:10" s="54" customFormat="1" x14ac:dyDescent="0.35">
      <c r="A584" s="14">
        <v>5</v>
      </c>
      <c r="B584" s="14" t="s">
        <v>26</v>
      </c>
      <c r="C584" s="214" t="s">
        <v>356</v>
      </c>
      <c r="D584" s="214"/>
      <c r="E584" s="215">
        <v>42989</v>
      </c>
      <c r="F584" s="214" t="s">
        <v>198</v>
      </c>
      <c r="G584" s="216"/>
      <c r="H584" s="14"/>
      <c r="I584" s="217">
        <v>128.77000000000001</v>
      </c>
      <c r="J584" s="59" t="str">
        <f>IF(ISBLANK(I584)," ",IF(ISTEXT(I584)," ",IF(I584&lt;=Нормативы!$H$82,"КМС",IF(I584&lt;=Нормативы!$H$83,"КМС",IF(I584&lt;=Нормативы!$L$84,"КМС",IF(I584&lt;=Нормативы!$L$85,"I",IF(I584&lt;=Нормативы!$L$86,"II",IF(I584&lt;=Нормативы!$L$87,"III",IF(I584&lt;=Нормативы!$L$88,"I юн",IF(I584&lt;=Нормативы!$L$89,"II юн",IF(I584&lt;=Нормативы!$L$90,"III юн","б/р")))))))))))</f>
        <v>б/р</v>
      </c>
    </row>
    <row r="585" spans="1:10" s="54" customFormat="1" x14ac:dyDescent="0.35">
      <c r="A585" s="14">
        <v>6</v>
      </c>
      <c r="B585" s="14" t="s">
        <v>26</v>
      </c>
      <c r="C585" s="214" t="s">
        <v>350</v>
      </c>
      <c r="D585" s="214"/>
      <c r="E585" s="215">
        <v>42949</v>
      </c>
      <c r="F585" s="214" t="s">
        <v>198</v>
      </c>
      <c r="G585" s="216"/>
      <c r="H585" s="14"/>
      <c r="I585" s="217">
        <v>133.16999999999999</v>
      </c>
      <c r="J585" s="59" t="str">
        <f>IF(ISBLANK(I585)," ",IF(ISTEXT(I585)," ",IF(I585&lt;=Нормативы!$H$82,"КМС",IF(I585&lt;=Нормативы!$H$83,"КМС",IF(I585&lt;=Нормативы!$L$84,"КМС",IF(I585&lt;=Нормативы!$L$85,"I",IF(I585&lt;=Нормативы!$L$86,"II",IF(I585&lt;=Нормативы!$L$87,"III",IF(I585&lt;=Нормативы!$L$88,"I юн",IF(I585&lt;=Нормативы!$L$89,"II юн",IF(I585&lt;=Нормативы!$L$90,"III юн","б/р")))))))))))</f>
        <v>б/р</v>
      </c>
    </row>
    <row r="586" spans="1:10" s="54" customFormat="1" x14ac:dyDescent="0.35">
      <c r="A586" s="14">
        <v>7</v>
      </c>
      <c r="B586" s="14" t="s">
        <v>26</v>
      </c>
      <c r="C586" s="214" t="s">
        <v>309</v>
      </c>
      <c r="D586" s="214"/>
      <c r="E586" s="215">
        <v>43574</v>
      </c>
      <c r="F586" s="214" t="s">
        <v>198</v>
      </c>
      <c r="G586" s="216"/>
      <c r="H586" s="14"/>
      <c r="I586" s="217">
        <v>143.30000000000001</v>
      </c>
      <c r="J586" s="59" t="str">
        <f>IF(ISBLANK(I586)," ",IF(ISTEXT(I586)," ",IF(I586&lt;=Нормативы!$H$82,"КМС",IF(I586&lt;=Нормативы!$H$83,"КМС",IF(I586&lt;=Нормативы!$L$84,"КМС",IF(I586&lt;=Нормативы!$L$85,"I",IF(I586&lt;=Нормативы!$L$86,"II",IF(I586&lt;=Нормативы!$L$87,"III",IF(I586&lt;=Нормативы!$L$88,"I юн",IF(I586&lt;=Нормативы!$L$89,"II юн",IF(I586&lt;=Нормативы!$L$90,"III юн","б/р")))))))))))</f>
        <v>б/р</v>
      </c>
    </row>
    <row r="587" spans="1:10" s="54" customFormat="1" x14ac:dyDescent="0.35">
      <c r="A587" s="14">
        <v>8</v>
      </c>
      <c r="B587" s="14" t="s">
        <v>26</v>
      </c>
      <c r="C587" s="214" t="s">
        <v>359</v>
      </c>
      <c r="D587" s="214"/>
      <c r="E587" s="215">
        <v>42753</v>
      </c>
      <c r="F587" s="214" t="s">
        <v>198</v>
      </c>
      <c r="G587" s="216"/>
      <c r="H587" s="14"/>
      <c r="I587" s="217">
        <v>144.86000000000001</v>
      </c>
      <c r="J587" s="59" t="str">
        <f>IF(ISBLANK(I587)," ",IF(ISTEXT(I587)," ",IF(I587&lt;=Нормативы!$H$82,"КМС",IF(I587&lt;=Нормативы!$H$83,"КМС",IF(I587&lt;=Нормативы!$L$84,"КМС",IF(I587&lt;=Нормативы!$L$85,"I",IF(I587&lt;=Нормативы!$L$86,"II",IF(I587&lt;=Нормативы!$L$87,"III",IF(I587&lt;=Нормативы!$L$88,"I юн",IF(I587&lt;=Нормативы!$L$89,"II юн",IF(I587&lt;=Нормативы!$L$90,"III юн","б/р")))))))))))</f>
        <v>б/р</v>
      </c>
    </row>
    <row r="588" spans="1:10" s="54" customFormat="1" x14ac:dyDescent="0.35">
      <c r="A588" s="14"/>
      <c r="B588" s="14" t="s">
        <v>26</v>
      </c>
      <c r="C588" s="214" t="s">
        <v>458</v>
      </c>
      <c r="D588" s="214"/>
      <c r="E588" s="215">
        <v>42844</v>
      </c>
      <c r="F588" s="214" t="s">
        <v>172</v>
      </c>
      <c r="G588" s="216"/>
      <c r="H588" s="14"/>
      <c r="I588" s="217" t="s">
        <v>191</v>
      </c>
      <c r="J588" s="59" t="str">
        <f>IF(ISBLANK(I588)," ",IF(ISTEXT(I588)," ",IF(I588&lt;=Нормативы!$H$82,"КМС",IF(I588&lt;=Нормативы!$H$83,"КМС",IF(I588&lt;=Нормативы!$L$84,"КМС",IF(I588&lt;=Нормативы!$L$85,"I",IF(I588&lt;=Нормативы!$L$86,"II",IF(I588&lt;=Нормативы!$L$87,"III",IF(I588&lt;=Нормативы!$L$88,"I юн",IF(I588&lt;=Нормативы!$L$89,"II юн",IF(I588&lt;=Нормативы!$L$90,"III юн","б/р")))))))))))</f>
        <v xml:space="preserve"> </v>
      </c>
    </row>
    <row r="589" spans="1:10" s="54" customFormat="1" x14ac:dyDescent="0.35">
      <c r="A589" s="124"/>
      <c r="I589" s="117"/>
    </row>
    <row r="590" spans="1:10" s="54" customFormat="1" x14ac:dyDescent="0.35">
      <c r="A590" s="221" t="s">
        <v>227</v>
      </c>
      <c r="B590" s="14"/>
      <c r="C590" s="214"/>
      <c r="D590" s="214"/>
      <c r="E590" s="215"/>
      <c r="F590" s="214"/>
      <c r="G590" s="216"/>
      <c r="H590" s="14"/>
      <c r="I590" s="217"/>
      <c r="J590" s="59" t="str">
        <f>IF(ISBLANK(I590)," ",IF(ISTEXT(I590)," ",IF(I590&lt;=Нормативы!$H$93,"КМС",IF(I590&lt;=Нормативы!$H$94,"КМС",IF(I590&lt;=Нормативы!$L$95,"КМС",IF(I590&lt;=Нормативы!$L$96,"I",IF(I590&lt;=Нормативы!$L$97,"II",IF(I590&lt;=Нормативы!$L$98,"III",IF(I590&lt;=Нормативы!$L$99,"I юн",IF(I590&lt;=Нормативы!$L$100,"II юн",IF(I590&lt;=Нормативы!$L$101,"III юн","б/р")))))))))))</f>
        <v xml:space="preserve"> </v>
      </c>
    </row>
    <row r="591" spans="1:10" s="54" customFormat="1" x14ac:dyDescent="0.35">
      <c r="A591" s="14">
        <v>1</v>
      </c>
      <c r="B591" s="14" t="s">
        <v>38</v>
      </c>
      <c r="C591" s="214" t="s">
        <v>426</v>
      </c>
      <c r="D591" s="214"/>
      <c r="E591" s="215">
        <v>42244</v>
      </c>
      <c r="F591" s="214" t="s">
        <v>172</v>
      </c>
      <c r="G591" s="216"/>
      <c r="H591" s="14"/>
      <c r="I591" s="217">
        <v>216.98</v>
      </c>
      <c r="J591" s="59" t="str">
        <f>IF(ISBLANK(I591)," ",IF(ISTEXT(I591)," ",IF(I591&lt;=Нормативы!$H$93,"КМС",IF(I591&lt;=Нормативы!$H$94,"КМС",IF(I591&lt;=Нормативы!$L$95,"КМС",IF(I591&lt;=Нормативы!$L$96,"I",IF(I591&lt;=Нормативы!$L$97,"II",IF(I591&lt;=Нормативы!$L$98,"III",IF(I591&lt;=Нормативы!$L$99,"I юн",IF(I591&lt;=Нормативы!$L$100,"II юн",IF(I591&lt;=Нормативы!$L$101,"III юн","б/р")))))))))))</f>
        <v>I юн</v>
      </c>
    </row>
    <row r="592" spans="1:10" s="54" customFormat="1" x14ac:dyDescent="0.35">
      <c r="A592" s="14">
        <v>2</v>
      </c>
      <c r="B592" s="14" t="s">
        <v>38</v>
      </c>
      <c r="C592" s="214" t="s">
        <v>274</v>
      </c>
      <c r="D592" s="214"/>
      <c r="E592" s="215">
        <v>42142</v>
      </c>
      <c r="F592" s="214" t="s">
        <v>198</v>
      </c>
      <c r="G592" s="216"/>
      <c r="H592" s="14"/>
      <c r="I592" s="217">
        <v>217.75</v>
      </c>
      <c r="J592" s="59" t="str">
        <f>IF(ISBLANK(I592)," ",IF(ISTEXT(I592)," ",IF(I592&lt;=Нормативы!$H$93,"КМС",IF(I592&lt;=Нормативы!$H$94,"КМС",IF(I592&lt;=Нормативы!$L$95,"КМС",IF(I592&lt;=Нормативы!$L$96,"I",IF(I592&lt;=Нормативы!$L$97,"II",IF(I592&lt;=Нормативы!$L$98,"III",IF(I592&lt;=Нормативы!$L$99,"I юн",IF(I592&lt;=Нормативы!$L$100,"II юн",IF(I592&lt;=Нормативы!$L$101,"III юн","б/р")))))))))))</f>
        <v>I юн</v>
      </c>
    </row>
    <row r="593" spans="1:10" s="54" customFormat="1" x14ac:dyDescent="0.35">
      <c r="A593" s="14">
        <v>3</v>
      </c>
      <c r="B593" s="14" t="s">
        <v>22</v>
      </c>
      <c r="C593" s="214" t="s">
        <v>425</v>
      </c>
      <c r="D593" s="214"/>
      <c r="E593" s="215">
        <v>42112</v>
      </c>
      <c r="F593" s="214" t="s">
        <v>172</v>
      </c>
      <c r="G593" s="216"/>
      <c r="H593" s="14"/>
      <c r="I593" s="217">
        <v>243.98</v>
      </c>
      <c r="J593" s="59" t="str">
        <f>IF(ISBLANK(I593)," ",IF(ISTEXT(I593)," ",IF(I593&lt;=Нормативы!$H$93,"КМС",IF(I593&lt;=Нормативы!$H$94,"КМС",IF(I593&lt;=Нормативы!$L$95,"КМС",IF(I593&lt;=Нормативы!$L$96,"I",IF(I593&lt;=Нормативы!$L$97,"II",IF(I593&lt;=Нормативы!$L$98,"III",IF(I593&lt;=Нормативы!$L$99,"I юн",IF(I593&lt;=Нормативы!$L$100,"II юн",IF(I593&lt;=Нормативы!$L$101,"III юн","б/р")))))))))))</f>
        <v>б/р</v>
      </c>
    </row>
    <row r="594" spans="1:10" s="54" customFormat="1" x14ac:dyDescent="0.35">
      <c r="A594" s="14">
        <v>4</v>
      </c>
      <c r="B594" s="14" t="s">
        <v>22</v>
      </c>
      <c r="C594" s="214" t="s">
        <v>431</v>
      </c>
      <c r="D594" s="214"/>
      <c r="E594" s="215">
        <v>42631</v>
      </c>
      <c r="F594" s="214" t="s">
        <v>172</v>
      </c>
      <c r="G594" s="216"/>
      <c r="H594" s="14"/>
      <c r="I594" s="217">
        <v>248.08</v>
      </c>
      <c r="J594" s="59" t="str">
        <f>IF(ISBLANK(I594)," ",IF(ISTEXT(I594)," ",IF(I594&lt;=Нормативы!$H$93,"КМС",IF(I594&lt;=Нормативы!$H$94,"КМС",IF(I594&lt;=Нормативы!$L$95,"КМС",IF(I594&lt;=Нормативы!$L$96,"I",IF(I594&lt;=Нормативы!$L$97,"II",IF(I594&lt;=Нормативы!$L$98,"III",IF(I594&lt;=Нормативы!$L$99,"I юн",IF(I594&lt;=Нормативы!$L$100,"II юн",IF(I594&lt;=Нормативы!$L$101,"III юн","б/р")))))))))))</f>
        <v>б/р</v>
      </c>
    </row>
    <row r="595" spans="1:10" s="54" customFormat="1" x14ac:dyDescent="0.35">
      <c r="A595" s="14">
        <v>5</v>
      </c>
      <c r="B595" s="14" t="s">
        <v>22</v>
      </c>
      <c r="C595" s="214" t="s">
        <v>379</v>
      </c>
      <c r="D595" s="214"/>
      <c r="E595" s="215">
        <v>42486</v>
      </c>
      <c r="F595" s="214" t="s">
        <v>193</v>
      </c>
      <c r="G595" s="216"/>
      <c r="H595" s="14"/>
      <c r="I595" s="217">
        <v>302.01</v>
      </c>
      <c r="J595" s="59" t="str">
        <f>IF(ISBLANK(I595)," ",IF(ISTEXT(I595)," ",IF(I595&lt;=Нормативы!$H$93,"КМС",IF(I595&lt;=Нормативы!$H$94,"КМС",IF(I595&lt;=Нормативы!$L$95,"КМС",IF(I595&lt;=Нормативы!$L$96,"I",IF(I595&lt;=Нормативы!$L$97,"II",IF(I595&lt;=Нормативы!$L$98,"III",IF(I595&lt;=Нормативы!$L$99,"I юн",IF(I595&lt;=Нормативы!$L$100,"II юн",IF(I595&lt;=Нормативы!$L$101,"III юн","б/р")))))))))))</f>
        <v>б/р</v>
      </c>
    </row>
    <row r="596" spans="1:10" s="54" customFormat="1" x14ac:dyDescent="0.35">
      <c r="A596" s="14"/>
      <c r="B596" s="14"/>
      <c r="C596" s="214"/>
      <c r="D596" s="214"/>
      <c r="E596" s="215"/>
      <c r="F596" s="214"/>
      <c r="G596" s="216"/>
      <c r="H596" s="14"/>
      <c r="I596" s="217"/>
      <c r="J596" s="231"/>
    </row>
    <row r="597" spans="1:10" s="54" customFormat="1" x14ac:dyDescent="0.35">
      <c r="A597" s="221" t="s">
        <v>228</v>
      </c>
      <c r="B597" s="14"/>
      <c r="C597" s="214"/>
      <c r="D597" s="214"/>
      <c r="E597" s="215"/>
      <c r="F597" s="214"/>
      <c r="G597" s="216"/>
      <c r="H597" s="14"/>
      <c r="I597" s="217"/>
      <c r="J597" s="59" t="str">
        <f>IF(ISBLANK(I597)," ",IF(ISTEXT(I597)," ",IF(I597&lt;=Нормативы!$H$104,"КМС",IF(I597&lt;=Нормативы!$H$105,"КМС",IF(I597&lt;=Нормативы!$L$106,"КМС",IF(I597&lt;=Нормативы!$L$107,"I",IF(I597&lt;=Нормативы!$L$108,"II",IF(I597&lt;=Нормативы!$L$109,"III",IF(I597&lt;=Нормативы!$L$110,"I юн",IF(I597&lt;=Нормативы!$L$111,"II юн",IF(I597&lt;=Нормативы!$L$112,"III юн","б/р")))))))))))</f>
        <v xml:space="preserve"> </v>
      </c>
    </row>
    <row r="598" spans="1:10" s="54" customFormat="1" x14ac:dyDescent="0.35">
      <c r="A598" s="14">
        <v>1</v>
      </c>
      <c r="B598" s="14" t="s">
        <v>38</v>
      </c>
      <c r="C598" s="214" t="s">
        <v>388</v>
      </c>
      <c r="D598" s="214"/>
      <c r="E598" s="215">
        <v>42206</v>
      </c>
      <c r="F598" s="214" t="s">
        <v>245</v>
      </c>
      <c r="G598" s="216"/>
      <c r="H598" s="14"/>
      <c r="I598" s="217">
        <v>205.71</v>
      </c>
      <c r="J598" s="59" t="str">
        <f>IF(ISBLANK(I598)," ",IF(ISTEXT(I598)," ",IF(I598&lt;=Нормативы!$H$104,"КМС",IF(I598&lt;=Нормативы!$H$105,"КМС",IF(I598&lt;=Нормативы!$L$106,"КМС",IF(I598&lt;=Нормативы!$L$107,"I",IF(I598&lt;=Нормативы!$L$108,"II",IF(I598&lt;=Нормативы!$L$109,"III",IF(I598&lt;=Нормативы!$L$110,"I юн",IF(I598&lt;=Нормативы!$L$111,"II юн",IF(I598&lt;=Нормативы!$L$112,"III юн","б/р")))))))))))</f>
        <v>I юн</v>
      </c>
    </row>
    <row r="599" spans="1:10" s="54" customFormat="1" x14ac:dyDescent="0.35">
      <c r="A599" s="14">
        <v>2</v>
      </c>
      <c r="B599" s="14" t="s">
        <v>22</v>
      </c>
      <c r="C599" s="214" t="s">
        <v>393</v>
      </c>
      <c r="D599" s="214"/>
      <c r="E599" s="215">
        <v>42068</v>
      </c>
      <c r="F599" s="214" t="s">
        <v>245</v>
      </c>
      <c r="G599" s="216"/>
      <c r="H599" s="14"/>
      <c r="I599" s="217">
        <v>228.13</v>
      </c>
      <c r="J599" s="59" t="str">
        <f>IF(ISBLANK(I599)," ",IF(ISTEXT(I599)," ",IF(I599&lt;=Нормативы!$H$104,"КМС",IF(I599&lt;=Нормативы!$H$105,"КМС",IF(I599&lt;=Нормативы!$L$106,"КМС",IF(I599&lt;=Нормативы!$L$107,"I",IF(I599&lt;=Нормативы!$L$108,"II",IF(I599&lt;=Нормативы!$L$109,"III",IF(I599&lt;=Нормативы!$L$110,"I юн",IF(I599&lt;=Нормативы!$L$111,"II юн",IF(I599&lt;=Нормативы!$L$112,"III юн","б/р")))))))))))</f>
        <v>III юн</v>
      </c>
    </row>
    <row r="600" spans="1:10" s="54" customFormat="1" x14ac:dyDescent="0.35">
      <c r="A600" s="14">
        <v>3</v>
      </c>
      <c r="B600" s="14" t="s">
        <v>23</v>
      </c>
      <c r="C600" s="214" t="s">
        <v>398</v>
      </c>
      <c r="D600" s="214"/>
      <c r="E600" s="215">
        <v>42256</v>
      </c>
      <c r="F600" s="214" t="s">
        <v>193</v>
      </c>
      <c r="G600" s="216"/>
      <c r="H600" s="14"/>
      <c r="I600" s="217">
        <v>228.36</v>
      </c>
      <c r="J600" s="59" t="str">
        <f>IF(ISBLANK(I600)," ",IF(ISTEXT(I600)," ",IF(I600&lt;=Нормативы!$H$104,"КМС",IF(I600&lt;=Нормативы!$H$105,"КМС",IF(I600&lt;=Нормативы!$L$106,"КМС",IF(I600&lt;=Нормативы!$L$107,"I",IF(I600&lt;=Нормативы!$L$108,"II",IF(I600&lt;=Нормативы!$L$109,"III",IF(I600&lt;=Нормативы!$L$110,"I юн",IF(I600&lt;=Нормативы!$L$111,"II юн",IF(I600&lt;=Нормативы!$L$112,"III юн","б/р")))))))))))</f>
        <v>III юн</v>
      </c>
    </row>
    <row r="601" spans="1:10" s="54" customFormat="1" x14ac:dyDescent="0.35">
      <c r="A601" s="14">
        <v>4</v>
      </c>
      <c r="B601" s="14" t="s">
        <v>23</v>
      </c>
      <c r="C601" s="214" t="s">
        <v>293</v>
      </c>
      <c r="D601" s="214"/>
      <c r="E601" s="215">
        <v>42053</v>
      </c>
      <c r="F601" s="214" t="s">
        <v>198</v>
      </c>
      <c r="G601" s="216"/>
      <c r="H601" s="14"/>
      <c r="I601" s="217">
        <v>246.36</v>
      </c>
      <c r="J601" s="59" t="str">
        <f>IF(ISBLANK(I601)," ",IF(ISTEXT(I601)," ",IF(I601&lt;=Нормативы!$H$104,"КМС",IF(I601&lt;=Нормативы!$H$105,"КМС",IF(I601&lt;=Нормативы!$L$106,"КМС",IF(I601&lt;=Нормативы!$L$107,"I",IF(I601&lt;=Нормативы!$L$108,"II",IF(I601&lt;=Нормативы!$L$109,"III",IF(I601&lt;=Нормативы!$L$110,"I юн",IF(I601&lt;=Нормативы!$L$111,"II юн",IF(I601&lt;=Нормативы!$L$112,"III юн","б/р")))))))))))</f>
        <v>б/р</v>
      </c>
    </row>
    <row r="602" spans="1:10" x14ac:dyDescent="0.35">
      <c r="A602" s="14"/>
      <c r="B602" s="14"/>
      <c r="C602" s="222"/>
      <c r="D602" s="222"/>
      <c r="E602" s="202"/>
      <c r="F602" s="28"/>
      <c r="G602" s="33"/>
      <c r="H602" s="27"/>
      <c r="I602" s="201"/>
      <c r="J602" s="59" t="str">
        <f>IF(ISBLANK(I602)," ",IF(ISTEXT(I602)," ",IF(I602&lt;=Нормативы!$H$104,"КМС",IF(I602&lt;=Нормативы!$H$105,"КМС",IF(I602&lt;=Нормативы!$L$106,"КМС",IF(I602&lt;=Нормативы!$L$107,"I",IF(I602&lt;=Нормативы!$L$108,"II",IF(I602&lt;=Нормативы!$L$109,"III",IF(I602&lt;=Нормативы!$L$110,"I юн",IF(I602&lt;=Нормативы!$L$111,"II юн",IF(I602&lt;=Нормативы!$L$112,"III юн","б/р")))))))))))</f>
        <v xml:space="preserve"> </v>
      </c>
    </row>
  </sheetData>
  <sortState ref="B591:J595">
    <sortCondition ref="I591:I595"/>
  </sortState>
  <mergeCells count="32">
    <mergeCell ref="A262:K262"/>
    <mergeCell ref="A263:A264"/>
    <mergeCell ref="B263:B264"/>
    <mergeCell ref="C263:D264"/>
    <mergeCell ref="E263:E264"/>
    <mergeCell ref="F263:G264"/>
    <mergeCell ref="H263:I263"/>
    <mergeCell ref="J263:J264"/>
    <mergeCell ref="K263:K264"/>
    <mergeCell ref="A258:K258"/>
    <mergeCell ref="A259:K259"/>
    <mergeCell ref="G260:K260"/>
    <mergeCell ref="A261:K261"/>
    <mergeCell ref="A93:K93"/>
    <mergeCell ref="G94:K94"/>
    <mergeCell ref="A95:K95"/>
    <mergeCell ref="C96:D96"/>
    <mergeCell ref="F96:H96"/>
    <mergeCell ref="I96:J96"/>
    <mergeCell ref="A1:K1"/>
    <mergeCell ref="A20:K20"/>
    <mergeCell ref="A21:K21"/>
    <mergeCell ref="A47:K47"/>
    <mergeCell ref="A48:K48"/>
    <mergeCell ref="A49:K49"/>
    <mergeCell ref="A50:K50"/>
    <mergeCell ref="G51:K51"/>
    <mergeCell ref="A52:K52"/>
    <mergeCell ref="A92:K92"/>
    <mergeCell ref="G53:H53"/>
    <mergeCell ref="D53:E53"/>
    <mergeCell ref="B53:C53"/>
  </mergeCells>
  <conditionalFormatting sqref="B293 B272 B285 B306 B348:B350 B322:B324 B327 B329 B332 B337:B338 B391:B392 B387 B302:B304 B366:B368">
    <cfRule type="expression" dxfId="64" priority="48">
      <formula>IF($B272&lt;&gt;#REF!,IF($B272&lt;&gt;#REF!,IF($B272&lt;&gt;#REF!,IF($B272&lt;&gt;#REF!,IF($B272&lt;&gt;#REF!,IF($B272&lt;&gt;#REF!,IF($B272&lt;&gt;#REF!,IF($B272&lt;&gt;#REF!,IF($B272&lt;&gt;#REF!,IF($B272&lt;&gt;#REF!,IF($B272&lt;&gt;#REF!,TRUE)))))))))))</formula>
    </cfRule>
  </conditionalFormatting>
  <conditionalFormatting sqref="B283 B353:B354 B330:B331 B333:B335 B361 B388 B385:B386 B301 B316:B317 B394">
    <cfRule type="expression" dxfId="63" priority="46">
      <formula>IF($B283&lt;&gt;#REF!,IF($B283&lt;&gt;#REF!,IF($B283&lt;&gt;#REF!,IF($B283&lt;&gt;#REF!,IF($B283&lt;&gt;#REF!,IF($B283&lt;&gt;#REF!,IF($B283&lt;&gt;#REF!,IF($B283&lt;&gt;#REF!,IF($B283&lt;&gt;#REF!,IF($B283&lt;&gt;#REF!,IF($B283&lt;&gt;#REF!,TRUE)))))))))))</formula>
    </cfRule>
  </conditionalFormatting>
  <conditionalFormatting sqref="B283 B353:B354 B330:B331 B333:B335 B361 B388 B385:B386 B301 B316:B317 B394">
    <cfRule type="expression" dxfId="62" priority="47">
      <formula>IF($B283&lt;&gt;#REF!,IF($B283&lt;&gt;#REF!,IF($B283&lt;&gt;#REF!,IF($B283&lt;&gt;#REF!,IF($B283&lt;&gt;#REF!,IF($B283&lt;&gt;#REF!,IF($B283&lt;&gt;#REF!,IF($B283&lt;&gt;#REF!,IF($B283&lt;&gt;#REF!,IF($B283&lt;&gt;#REF!,IF($B283&lt;&gt;#REF!,TRUE)))))))))))</formula>
    </cfRule>
  </conditionalFormatting>
  <conditionalFormatting sqref="E382:E383">
    <cfRule type="expression" dxfId="61" priority="45" stopIfTrue="1">
      <formula>IF(ISBLANK(E382),FALSE,IF(IF(ISNUMBER(#REF!),IF(YEAR(TODAY())-#REF!&lt;=E382,FALSE,TRUE),FALSE),TRUE,IF(ISNUMBER(#REF!),IF(YEAR(TODAY())-#REF!&lt;E382,TRUE,FALSE),FALSE)))</formula>
    </cfRule>
  </conditionalFormatting>
  <conditionalFormatting sqref="B266:B267 B369:B372 B376:B378 B395:B396 B307:B315 B380:B381 B440:B441">
    <cfRule type="expression" dxfId="60" priority="43">
      <formula>IF($B266&lt;&gt;#REF!,IF($B266&lt;&gt;#REF!,IF($B266&lt;&gt;#REF!,IF($B266&lt;&gt;#REF!,IF($B266&lt;&gt;#REF!,IF($B266&lt;&gt;#REF!,IF($B266&lt;&gt;#REF!,IF($B266&lt;&gt;#REF!,IF($B266&lt;&gt;#REF!,IF($B266&lt;&gt;#REF!,IF($B266&lt;&gt;#REF!,TRUE)))))))))))</formula>
    </cfRule>
  </conditionalFormatting>
  <conditionalFormatting sqref="B265 B270:B271 B284 B273:B282 B286:B291 B294:B300 B321 B325:B326 B328 B336 B339:B347 B356 B359:B360 B362:B365 B393 B389:B390 B417:B420 B351:B352">
    <cfRule type="expression" dxfId="59" priority="49">
      <formula>IF($B265&lt;&gt;#REF!,IF($B265&lt;&gt;#REF!,IF($B265&lt;&gt;#REF!,IF($B265&lt;&gt;#REF!,IF($B265&lt;&gt;#REF!,IF($B265&lt;&gt;#REF!,IF($B265&lt;&gt;#REF!,IF($B265&lt;&gt;#REF!,IF($B265&lt;&gt;#REF!,IF($B265&lt;&gt;#REF!,IF($B265&lt;&gt;#REF!,TRUE)))))))))))</formula>
    </cfRule>
  </conditionalFormatting>
  <conditionalFormatting sqref="B292">
    <cfRule type="expression" dxfId="58" priority="41">
      <formula>IF($B292&lt;&gt;#REF!,IF($B292&lt;&gt;#REF!,IF($B292&lt;&gt;#REF!,IF($B292&lt;&gt;#REF!,IF($B292&lt;&gt;#REF!,IF($B292&lt;&gt;#REF!,IF($B292&lt;&gt;#REF!,IF($B292&lt;&gt;#REF!,IF($B292&lt;&gt;#REF!,IF($B292&lt;&gt;#REF!,IF($B292&lt;&gt;#REF!,TRUE)))))))))))</formula>
    </cfRule>
  </conditionalFormatting>
  <conditionalFormatting sqref="B375">
    <cfRule type="expression" dxfId="57" priority="40">
      <formula>IF($B375&lt;&gt;#REF!,IF($B375&lt;&gt;#REF!,IF($B375&lt;&gt;$M$1,IF($B375&lt;&gt;#REF!,IF($B375&lt;&gt;#REF!,IF($B375&lt;&gt;#REF!,IF($B375&lt;&gt;#REF!,IF($B375&lt;&gt;#REF!,IF($B375&lt;&gt;#REF!,IF($B375&lt;&gt;#REF!,IF($B375&lt;&gt;#REF!,TRUE)))))))))))</formula>
    </cfRule>
  </conditionalFormatting>
  <conditionalFormatting sqref="B373:B374">
    <cfRule type="expression" dxfId="56" priority="36">
      <formula>IF($B373&lt;&gt;#REF!,IF($B373&lt;&gt;#REF!,IF($B373&lt;&gt;#REF!,IF($B373&lt;&gt;#REF!,IF($B373&lt;&gt;#REF!,IF($B373&lt;&gt;#REF!,IF($B373&lt;&gt;#REF!,IF($B373&lt;&gt;#REF!,IF($B373&lt;&gt;#REF!,IF($B373&lt;&gt;#REF!,IF($B373&lt;&gt;#REF!,TRUE)))))))))))</formula>
    </cfRule>
  </conditionalFormatting>
  <conditionalFormatting sqref="B416 B407 B433:B436 B427 B430:B431">
    <cfRule type="expression" dxfId="55" priority="33">
      <formula>IF($B407&lt;&gt;#REF!,IF($B407&lt;&gt;#REF!,IF($B407&lt;&gt;#REF!,IF($B407&lt;&gt;#REF!,IF($B407&lt;&gt;#REF!,IF($B407&lt;&gt;#REF!,IF($B407&lt;&gt;#REF!,IF($B407&lt;&gt;#REF!,IF($B407&lt;&gt;#REF!,IF($B407&lt;&gt;#REF!,IF($B407&lt;&gt;#REF!,TRUE)))))))))))</formula>
    </cfRule>
  </conditionalFormatting>
  <conditionalFormatting sqref="B414 B424 B438 B426 B421:B422">
    <cfRule type="expression" dxfId="54" priority="30">
      <formula>IF($B414&lt;&gt;#REF!,IF($B414&lt;&gt;#REF!,IF($B414&lt;&gt;#REF!,IF($B414&lt;&gt;#REF!,IF($B414&lt;&gt;#REF!,IF($B414&lt;&gt;#REF!,IF($B414&lt;&gt;#REF!,IF($B414&lt;&gt;#REF!,IF($B414&lt;&gt;#REF!,IF($B414&lt;&gt;#REF!,IF($B414&lt;&gt;#REF!,TRUE)))))))))))</formula>
    </cfRule>
  </conditionalFormatting>
  <conditionalFormatting sqref="B414 B424 B438 B426 B421:B422">
    <cfRule type="expression" dxfId="53" priority="31">
      <formula>IF($B414&lt;&gt;#REF!,IF($B414&lt;&gt;#REF!,IF($B414&lt;&gt;#REF!,IF($B414&lt;&gt;#REF!,IF($B414&lt;&gt;#REF!,IF($B414&lt;&gt;#REF!,IF($B414&lt;&gt;#REF!,IF($B414&lt;&gt;#REF!,IF($B414&lt;&gt;#REF!,IF($B414&lt;&gt;#REF!,IF($B414&lt;&gt;#REF!,TRUE)))))))))))</formula>
    </cfRule>
  </conditionalFormatting>
  <conditionalFormatting sqref="E424 E421:E422">
    <cfRule type="expression" dxfId="52" priority="29" stopIfTrue="1">
      <formula>IF(ISBLANK(E421),FALSE,IF(IF(ISNUMBER(#REF!),IF(YEAR(TODAY())-#REF!&lt;=E421,FALSE,TRUE),FALSE),TRUE,IF(ISNUMBER(#REF!),IF(YEAR(TODAY())-#REF!&lt;E421,TRUE,FALSE),FALSE)))</formula>
    </cfRule>
  </conditionalFormatting>
  <conditionalFormatting sqref="B403:B404">
    <cfRule type="expression" dxfId="51" priority="28">
      <formula>IF($B403&lt;&gt;#REF!,IF($B403&lt;&gt;#REF!,IF($B403&lt;&gt;#REF!,IF($B403&lt;&gt;#REF!,IF($B403&lt;&gt;#REF!,IF($B403&lt;&gt;#REF!,IF($B403&lt;&gt;#REF!,IF($B403&lt;&gt;#REF!,IF($B403&lt;&gt;#REF!,IF($B403&lt;&gt;#REF!,IF($B403&lt;&gt;#REF!,TRUE)))))))))))</formula>
    </cfRule>
  </conditionalFormatting>
  <conditionalFormatting sqref="B406 B408:B413 B439 B437 B428:B429 B432">
    <cfRule type="expression" dxfId="50" priority="34">
      <formula>IF($B406&lt;&gt;#REF!,IF($B406&lt;&gt;#REF!,IF($B406&lt;&gt;#REF!,IF($B406&lt;&gt;#REF!,IF($B406&lt;&gt;#REF!,IF($B406&lt;&gt;#REF!,IF($B406&lt;&gt;#REF!,IF($B406&lt;&gt;#REF!,IF($B406&lt;&gt;#REF!,IF($B406&lt;&gt;#REF!,IF($B406&lt;&gt;#REF!,TRUE)))))))))))</formula>
    </cfRule>
  </conditionalFormatting>
  <conditionalFormatting sqref="B415">
    <cfRule type="expression" dxfId="49" priority="26">
      <formula>IF($B415&lt;&gt;#REF!,IF($B415&lt;&gt;#REF!,IF($B415&lt;&gt;#REF!,IF($B415&lt;&gt;#REF!,IF($B415&lt;&gt;#REF!,IF($B415&lt;&gt;#REF!,IF($B415&lt;&gt;#REF!,IF($B415&lt;&gt;#REF!,IF($B415&lt;&gt;#REF!,IF($B415&lt;&gt;#REF!,IF($B415&lt;&gt;#REF!,TRUE)))))))))))</formula>
    </cfRule>
  </conditionalFormatting>
  <conditionalFormatting sqref="B506:B507 B520:B528 B515:B518 B503:B504 B534:B537 B530:B532 B590:B596">
    <cfRule type="expression" dxfId="48" priority="15">
      <formula>IF($B503&lt;&gt;#REF!,IF($B503&lt;&gt;#REF!,IF($B503&lt;&gt;#REF!,IF($B503&lt;&gt;#REF!,IF($B503&lt;&gt;#REF!,IF($B503&lt;&gt;#REF!,IF($B503&lt;&gt;#REF!,IF($B503&lt;&gt;#REF!,IF($B503&lt;&gt;#REF!,IF($B503&lt;&gt;#REF!,IF($B503&lt;&gt;#REF!,TRUE)))))))))))</formula>
    </cfRule>
  </conditionalFormatting>
  <conditionalFormatting sqref="B506:B507 B520:B528 B515:B518">
    <cfRule type="expression" dxfId="47" priority="16">
      <formula>IF($B506&lt;&gt;#REF!,IF($B506&lt;&gt;#REF!,IF($B506&lt;&gt;#REF!,IF($B506&lt;&gt;#REF!,IF($B506&lt;&gt;#REF!,IF($B506&lt;&gt;#REF!,IF($B506&lt;&gt;#REF!,IF($B506&lt;&gt;#REF!,IF($B506&lt;&gt;#REF!,IF($B506&lt;&gt;#REF!,IF($B506&lt;&gt;#REF!,TRUE)))))))))))</formula>
    </cfRule>
  </conditionalFormatting>
  <conditionalFormatting sqref="B519">
    <cfRule type="expression" dxfId="46" priority="14">
      <formula>IF($B519&lt;&gt;#REF!,IF($B519&lt;&gt;#REF!,IF($B519&lt;&gt;#REF!,IF($B519&lt;&gt;#REF!,IF($B519&lt;&gt;#REF!,IF($B519&lt;&gt;#REF!,IF($B519&lt;&gt;#REF!,IF($B519&lt;&gt;#REF!,IF($B519&lt;&gt;#REF!,IF($B519&lt;&gt;#REF!,IF($B519&lt;&gt;#REF!,TRUE)))))))))))</formula>
    </cfRule>
  </conditionalFormatting>
  <conditionalFormatting sqref="B511:B514">
    <cfRule type="expression" dxfId="45" priority="13">
      <formula>IF($B511&lt;&gt;#REF!,IF($B511&lt;&gt;#REF!,IF($B511&lt;&gt;#REF!,IF($B511&lt;&gt;#REF!,IF($B511&lt;&gt;#REF!,IF($B511&lt;&gt;#REF!,IF($B511&lt;&gt;#REF!,IF($B511&lt;&gt;#REF!,IF($B511&lt;&gt;#REF!,IF($B511&lt;&gt;#REF!,IF($B511&lt;&gt;#REF!,TRUE)))))))))))</formula>
    </cfRule>
  </conditionalFormatting>
  <conditionalFormatting sqref="B505">
    <cfRule type="expression" dxfId="44" priority="12">
      <formula>IF($B505&lt;&gt;#REF!,IF($B505&lt;&gt;#REF!,IF($B505&lt;&gt;#REF!,IF($B505&lt;&gt;#REF!,IF($B505&lt;&gt;#REF!,IF($B505&lt;&gt;#REF!,IF($B505&lt;&gt;#REF!,IF($B505&lt;&gt;#REF!,IF($B505&lt;&gt;#REF!,IF($B505&lt;&gt;#REF!,IF($B505&lt;&gt;#REF!,TRUE)))))))))))</formula>
    </cfRule>
  </conditionalFormatting>
  <conditionalFormatting sqref="B538:B541">
    <cfRule type="expression" dxfId="43" priority="11">
      <formula>IF($B538&lt;&gt;#REF!,IF($B538&lt;&gt;#REF!,IF($B538&lt;&gt;#REF!,IF($B538&lt;&gt;#REF!,IF($B538&lt;&gt;#REF!,IF($B538&lt;&gt;#REF!,IF($B538&lt;&gt;#REF!,IF($B538&lt;&gt;#REF!,IF($B538&lt;&gt;#REF!,IF($B538&lt;&gt;#REF!,IF($B538&lt;&gt;#REF!,TRUE)))))))))))</formula>
    </cfRule>
  </conditionalFormatting>
  <conditionalFormatting sqref="B546:B549 B551:B577">
    <cfRule type="expression" dxfId="42" priority="9">
      <formula>IF($B546&lt;&gt;#REF!,IF($B546&lt;&gt;#REF!,IF($B546&lt;&gt;#REF!,IF($B546&lt;&gt;#REF!,IF($B546&lt;&gt;#REF!,IF($B546&lt;&gt;#REF!,IF($B546&lt;&gt;#REF!,IF($B546&lt;&gt;#REF!,IF($B546&lt;&gt;#REF!,IF($B546&lt;&gt;#REF!,IF($B546&lt;&gt;#REF!,TRUE)))))))))))</formula>
    </cfRule>
  </conditionalFormatting>
  <conditionalFormatting sqref="B546:B549">
    <cfRule type="expression" dxfId="41" priority="10">
      <formula>IF($B546&lt;&gt;#REF!,IF($B546&lt;&gt;#REF!,IF($B546&lt;&gt;#REF!,IF($B546&lt;&gt;#REF!,IF($B546&lt;&gt;#REF!,IF($B546&lt;&gt;#REF!,IF($B546&lt;&gt;#REF!,IF($B546&lt;&gt;#REF!,IF($B546&lt;&gt;#REF!,IF($B546&lt;&gt;#REF!,IF($B546&lt;&gt;#REF!,TRUE)))))))))))</formula>
    </cfRule>
  </conditionalFormatting>
  <conditionalFormatting sqref="B579">
    <cfRule type="expression" dxfId="40" priority="8">
      <formula>IF($B579&lt;&gt;#REF!,IF($B579&lt;&gt;#REF!,IF($B579&lt;&gt;#REF!,IF($B579&lt;&gt;#REF!,IF($B579&lt;&gt;#REF!,IF($B579&lt;&gt;#REF!,IF($B579&lt;&gt;#REF!,IF($B579&lt;&gt;#REF!,IF($B579&lt;&gt;#REF!,IF($B579&lt;&gt;#REF!,IF($B579&lt;&gt;#REF!,TRUE)))))))))))</formula>
    </cfRule>
  </conditionalFormatting>
  <conditionalFormatting sqref="B580:B588">
    <cfRule type="expression" dxfId="39" priority="7">
      <formula>IF($B580&lt;&gt;#REF!,IF($B580&lt;&gt;#REF!,IF($B580&lt;&gt;#REF!,IF($B580&lt;&gt;#REF!,IF($B580&lt;&gt;#REF!,IF($B580&lt;&gt;#REF!,IF($B580&lt;&gt;#REF!,IF($B580&lt;&gt;#REF!,IF($B580&lt;&gt;#REF!,IF($B580&lt;&gt;#REF!,IF($B580&lt;&gt;#REF!,TRUE)))))))))))</formula>
    </cfRule>
  </conditionalFormatting>
  <conditionalFormatting sqref="B597:B602">
    <cfRule type="expression" dxfId="38" priority="2">
      <formula>IF($B597&lt;&gt;#REF!,IF($B597&lt;&gt;#REF!,IF($B597&lt;&gt;#REF!,IF($B597&lt;&gt;#REF!,IF($B597&lt;&gt;#REF!,IF($B597&lt;&gt;#REF!,IF($B597&lt;&gt;#REF!,IF($B597&lt;&gt;#REF!,IF($B597&lt;&gt;#REF!,IF($B597&lt;&gt;#REF!,IF($B597&lt;&gt;#REF!,TRUE)))))))))))</formula>
    </cfRule>
  </conditionalFormatting>
  <conditionalFormatting sqref="B490:B502 B471:B488">
    <cfRule type="expression" dxfId="37" priority="19">
      <formula>IF(#REF!&lt;&gt;#REF!,IF(#REF!&lt;&gt;#REF!,IF(#REF!&lt;&gt;#REF!,IF(#REF!&lt;&gt;#REF!,IF(#REF!&lt;&gt;#REF!,IF(#REF!&lt;&gt;#REF!,IF(#REF!&lt;&gt;#REF!,IF(#REF!&lt;&gt;#REF!,IF(#REF!&lt;&gt;#REF!,IF(#REF!&lt;&gt;#REF!,IF(#REF!&lt;&gt;#REF!,TRUE)))))))))))</formula>
    </cfRule>
  </conditionalFormatting>
  <conditionalFormatting sqref="B442:B470">
    <cfRule type="expression" dxfId="36" priority="20">
      <formula>IF(#REF!&lt;&gt;#REF!,IF(#REF!&lt;&gt;#REF!,IF(#REF!&lt;&gt;#REF!,IF(#REF!&lt;&gt;#REF!,IF(#REF!&lt;&gt;#REF!,IF(#REF!&lt;&gt;#REF!,IF(#REF!&lt;&gt;#REF!,IF(#REF!&lt;&gt;#REF!,IF(#REF!&lt;&gt;#REF!,IF(#REF!&lt;&gt;#REF!,IF(#REF!&lt;&gt;#REF!,TRUE)))))))))))</formula>
    </cfRule>
  </conditionalFormatting>
  <conditionalFormatting sqref="B489">
    <cfRule type="expression" dxfId="35" priority="17">
      <formula>IF(#REF!&lt;&gt;#REF!,IF(#REF!&lt;&gt;#REF!,IF(#REF!&lt;&gt;#REF!,IF(#REF!&lt;&gt;#REF!,IF(#REF!&lt;&gt;#REF!,IF(#REF!&lt;&gt;#REF!,IF(#REF!&lt;&gt;#REF!,IF(#REF!&lt;&gt;#REF!,IF(#REF!&lt;&gt;#REF!,IF(#REF!&lt;&gt;#REF!,IF(#REF!&lt;&gt;#REF!,TRUE)))))))))))</formula>
    </cfRule>
  </conditionalFormatting>
  <pageMargins left="0.55118110236220474" right="0.31496062992125984" top="0.35433070866141736" bottom="1.1811023622047245" header="0" footer="0.23622047244094491"/>
  <pageSetup paperSize="9" orientation="portrait" r:id="rId1"/>
  <headerFooter differentFirst="1">
    <oddHeader>&amp;R&amp;"Times New Roman,курсив"&amp;8Стр. &amp;P из &amp;N</oddHeader>
    <oddFooter>&amp;L&amp;"Times New Roman,полужирный курсив"Главный судья соревнований, судья 2 категории
Главный секретарь соревнований, судья всероссийской категории&amp;R&amp;"Times New Roman,полужирный курсив"А.Н. Мохно
Т.В. Лучискенс</oddFooter>
  </headerFooter>
  <rowBreaks count="3" manualBreakCount="3">
    <brk id="48" min="1" max="10" man="1"/>
    <brk id="91" min="1" max="10" man="1"/>
    <brk id="202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4">
    <tabColor theme="1"/>
  </sheetPr>
  <dimension ref="A1:AG509"/>
  <sheetViews>
    <sheetView workbookViewId="0">
      <pane ySplit="3" topLeftCell="A154" activePane="bottomLeft" state="frozen"/>
      <selection pane="bottomLeft" activeCell="F187" sqref="F187"/>
    </sheetView>
  </sheetViews>
  <sheetFormatPr defaultColWidth="9.1796875" defaultRowHeight="13" x14ac:dyDescent="0.3"/>
  <cols>
    <col min="1" max="1" width="9.1796875" style="60"/>
    <col min="2" max="2" width="10.1796875" style="41" customWidth="1"/>
    <col min="3" max="3" width="10" style="41" customWidth="1"/>
    <col min="4" max="4" width="10.1796875" style="41" customWidth="1"/>
    <col min="5" max="5" width="9.7265625" style="41" customWidth="1"/>
    <col min="6" max="6" width="9.1796875" style="41"/>
    <col min="7" max="7" width="10" style="41" customWidth="1"/>
    <col min="8" max="8" width="12" style="41" customWidth="1"/>
    <col min="9" max="9" width="10.54296875" style="46" customWidth="1"/>
    <col min="10" max="10" width="10.7265625" style="41" customWidth="1"/>
    <col min="11" max="11" width="5.26953125" style="93" customWidth="1"/>
    <col min="12" max="12" width="10.7265625" style="41" customWidth="1"/>
    <col min="13" max="13" width="11" style="41" customWidth="1"/>
    <col min="14" max="14" width="9.7265625" style="41" customWidth="1"/>
    <col min="15" max="15" width="5.1796875" style="41" customWidth="1"/>
    <col min="16" max="17" width="9.26953125" style="41" customWidth="1"/>
    <col min="18" max="18" width="13.453125" style="41" bestFit="1" customWidth="1"/>
    <col min="19" max="19" width="13" style="41" customWidth="1"/>
    <col min="20" max="33" width="6.81640625" style="41" customWidth="1"/>
    <col min="34" max="37" width="6" style="41" customWidth="1"/>
    <col min="38" max="16384" width="9.1796875" style="41"/>
  </cols>
  <sheetData>
    <row r="1" spans="3:33" ht="20" x14ac:dyDescent="0.4">
      <c r="H1" s="269" t="s">
        <v>132</v>
      </c>
      <c r="I1" s="269"/>
      <c r="J1" s="269"/>
      <c r="K1" s="61"/>
      <c r="L1" s="62" t="s">
        <v>133</v>
      </c>
      <c r="M1" s="62"/>
      <c r="N1" s="62"/>
      <c r="O1" s="57"/>
      <c r="P1" s="63"/>
      <c r="Q1" s="64"/>
      <c r="R1" s="63"/>
      <c r="S1" s="64"/>
      <c r="T1" s="63"/>
      <c r="U1" s="64"/>
      <c r="V1" s="63"/>
      <c r="W1" s="64"/>
      <c r="X1" s="64"/>
      <c r="Y1" s="64"/>
      <c r="Z1" s="64"/>
      <c r="AA1" s="64"/>
      <c r="AB1" s="65"/>
      <c r="AC1" s="65"/>
      <c r="AD1" s="65"/>
      <c r="AE1" s="65"/>
      <c r="AF1" s="65"/>
      <c r="AG1" s="65"/>
    </row>
    <row r="2" spans="3:33" ht="14" x14ac:dyDescent="0.3">
      <c r="I2" s="270" t="s">
        <v>29</v>
      </c>
      <c r="J2" s="270"/>
      <c r="K2" s="66"/>
      <c r="M2" s="270" t="s">
        <v>29</v>
      </c>
      <c r="N2" s="270"/>
      <c r="O2" s="58"/>
      <c r="P2" s="64"/>
      <c r="Q2" s="64"/>
      <c r="R2" s="64"/>
      <c r="S2" s="64"/>
      <c r="T2" s="64"/>
      <c r="U2" s="64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3:33" ht="14" x14ac:dyDescent="0.3">
      <c r="I3" s="58" t="s">
        <v>110</v>
      </c>
      <c r="J3" s="58" t="s">
        <v>111</v>
      </c>
      <c r="K3" s="66"/>
      <c r="M3" s="58" t="s">
        <v>110</v>
      </c>
      <c r="N3" s="58" t="s">
        <v>111</v>
      </c>
      <c r="O3" s="58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</row>
    <row r="4" spans="3:33" ht="14.25" customHeight="1" x14ac:dyDescent="0.3">
      <c r="C4" s="68" t="s">
        <v>40</v>
      </c>
      <c r="D4" s="69"/>
      <c r="E4" s="69"/>
      <c r="F4" s="68"/>
      <c r="G4" s="68"/>
      <c r="H4" s="70"/>
      <c r="I4" s="71"/>
      <c r="J4" s="69"/>
      <c r="K4" s="72"/>
    </row>
    <row r="5" spans="3:33" ht="12.75" customHeight="1" x14ac:dyDescent="0.3">
      <c r="C5" s="73"/>
      <c r="D5" s="73"/>
      <c r="E5" s="73"/>
      <c r="F5" s="73"/>
      <c r="G5" s="73"/>
      <c r="H5" s="74">
        <v>18</v>
      </c>
      <c r="I5" s="59" t="str">
        <f>IF(ISBLANK(H5)," ",IF(ISTEXT(H5)," ",IF(H5&lt;=Нормативы!$H$5,"МСМК",IF(H5&lt;=Нормативы!$H$6,"МС",IF(H5&lt;=Нормативы!$H$7,"КМС",IF(H5&lt;=Нормативы!$H$8,"I",IF(H5&lt;=Нормативы!$H$9,"II",IF(H5&lt;=Нормативы!$H$10,"III",IF(H5&lt;=Нормативы!$H$11,"I юн",IF(H5&lt;=Нормативы!$H$12,"II юн",IF(H5&lt;=Нормативы!$H$13,"III юн",IF(ISTEXT(H5)," ",IF(ISBLANK(H5)," ","б/р")))))))))))))</f>
        <v>МСМК</v>
      </c>
      <c r="J5" s="59" t="str">
        <f>IF(ISBLANK(H5)," ",IF(ISTEXT(H5)," ",IF(H5&lt;=Нормативы!$H$5,"МСМК",IF(H5&lt;=Нормативы!$H$6,"МС",IF(H5&lt;=Нормативы!$H$7,"КМС",IF(H5&lt;=Нормативы!$H$8,"I",IF(H5&lt;=Нормативы!$H$9,"II",IF(H5&lt;=Нормативы!$H$10,"III",IF(H5&lt;=Нормативы!$H$11,"I юн",IF(H5&lt;=Нормативы!$H$12,"II юн",IF(H5&lt;=Нормативы!$H$13,"III юн",IF(ISTEXT(H5)," ",IF(ISBLANK(H5)," ","б/р")))))))))))))</f>
        <v>МСМК</v>
      </c>
      <c r="K5" s="75"/>
      <c r="L5" s="76"/>
      <c r="M5" s="59" t="str">
        <f>IF(ISBLANK(L5)," ",IF(ISTEXT(L5)," ",IF(L5&lt;=Нормативы!$H$5,"КМС",IF(L5&lt;=Нормативы!$H$6,"КМС",IF(L5&lt;=Нормативы!$L$7,"КМС",IF(L5&lt;=Нормативы!$L$8,"I",IF(L5&lt;=Нормативы!$L$9,"II",IF(L5&lt;=Нормативы!$L$10,"III",IF(L5&lt;=Нормативы!$L$11,"I юн",IF(L5&lt;=Нормативы!$L$12,"II юн",IF(L5&lt;=Нормативы!$L$13,"III юн",IF(ISTEXT(L5)," ",IF(ISBLANK(L5)," ","б/р")))))))))))))</f>
        <v xml:space="preserve"> </v>
      </c>
      <c r="N5" s="77" t="str">
        <f>IF(ISBLANK(L5)," ",IF(ISTEXT(L5)," ",IF(L5&lt;=18.1,"МСМК",IF(L5&lt;=19,"МС",IF(L5&lt;=19.7,"КМС",IF(L5&lt;=21.1,"I",IF(L5&lt;=22.9,"II",IF(L5&lt;=24.8,"III",IF(L5&lt;=27.4,"I юн",IF(L5&lt;=30,"II юн",IF(L5&lt;=32.4,"III юн",IF(ISTEXT(L5)," ",IF(ISBLANK(L5)," ","б/р")))))))))))))</f>
        <v xml:space="preserve"> </v>
      </c>
      <c r="O5" s="77"/>
      <c r="Q5" s="59" t="str">
        <f>IF(ISBLANK(P5)," ",IF(ISTEXT(P5)," ",IF(P5&lt;=$H$5,"МСМК",IF(P5&lt;=$H$6,"МС",IF(P5&lt;=$H$7,"КМС",IF(P5&lt;=$H$8,"I",IF(P5&lt;=$H$9,"II",IF(P5&lt;=$H$10,"III",IF(P5&lt;=$H$11,"I юн",IF(P5&lt;=$H$12,"II юн",IF(P5&lt;=$H$13,"III юн",IF(ISTEXT(P5)," ",IF(ISBLANK(P5)," ","б/р")))))))))))))</f>
        <v xml:space="preserve"> </v>
      </c>
    </row>
    <row r="6" spans="3:33" ht="12.75" customHeight="1" x14ac:dyDescent="0.3">
      <c r="C6" s="73"/>
      <c r="D6" s="73"/>
      <c r="E6" s="73"/>
      <c r="F6" s="73"/>
      <c r="G6" s="73"/>
      <c r="H6" s="74">
        <v>18.7</v>
      </c>
      <c r="I6" s="59" t="str">
        <f>IF(ISBLANK(H6)," ",IF(ISTEXT(H6)," ",IF(H6&lt;=Нормативы!$H$5,"МСМК",IF(H6&lt;=Нормативы!$H$6,"МС",IF(H6&lt;=Нормативы!$H$7,"КМС",IF(H6&lt;=Нормативы!$H$8,"I",IF(H6&lt;=Нормативы!$H$9,"II",IF(H6&lt;=Нормативы!$H$10,"III",IF(H6&lt;=Нормативы!$H$11,"I юн",IF(H6&lt;=Нормативы!$H$12,"II юн",IF(H6&lt;=Нормативы!$H$13,"III юн",IF(ISTEXT(H6)," ",IF(ISBLANK(H6)," ","б/р")))))))))))))</f>
        <v>МС</v>
      </c>
      <c r="J6" s="59" t="str">
        <f>IF(ISBLANK(H6)," ",IF(ISTEXT(H6)," ",IF(H6&lt;=Нормативы!$H$5,"МСМК",IF(H6&lt;=Нормативы!$H$6,"МС",IF(H6&lt;=Нормативы!$H$7,"КМС",IF(H6&lt;=Нормативы!$H$8,"I",IF(H6&lt;=Нормативы!$H$9,"II",IF(H6&lt;=Нормативы!$H$10,"III",IF(H6&lt;=Нормативы!$H$11,"I юн",IF(H6&lt;=Нормативы!$H$12,"II юн",IF(H6&lt;=Нормативы!$H$13,"III юн",IF(ISTEXT(H6)," ",IF(ISBLANK(H6)," ","б/р")))))))))))))</f>
        <v>МС</v>
      </c>
      <c r="K6" s="75"/>
      <c r="L6" s="78"/>
      <c r="M6" s="59" t="str">
        <f>IF(ISBLANK(L6)," ",IF(ISTEXT(L6)," ",IF(L6&lt;=Нормативы!$H$5,"КМС",IF(L6&lt;=Нормативы!$H$6,"КМС",IF(L6&lt;=Нормативы!$L$7,"КМС",IF(L6&lt;=Нормативы!$L$8,"I",IF(L6&lt;=Нормативы!$L$9,"II",IF(L6&lt;=Нормативы!$L$10,"III",IF(L6&lt;=Нормативы!$L$11,"I юн",IF(L6&lt;=Нормативы!$L$12,"II юн",IF(L6&lt;=Нормативы!$L$13,"III юн",IF(ISTEXT(L6)," ",IF(ISBLANK(L6)," ","б/р")))))))))))))</f>
        <v xml:space="preserve"> </v>
      </c>
      <c r="N6" s="79" t="str">
        <f t="shared" ref="N6" si="0">IF(ISBLANK(L6)," ",IF(ISTEXT(L6)," ",IF(L6&lt;=18.1,"МСМК",IF(L6&lt;=19,"МС",IF(L6&lt;=19.7,"КМС",IF(L6&lt;=21.1,"I",IF(L6&lt;=22.9,"II",IF(L6&lt;=24.8,"III",IF(L6&lt;=27.4,"I юн",IF(L6&lt;=30,"II юн",IF(L6&lt;=32.4,"III юн",IF(ISTEXT(L6)," ",IF(ISBLANK(L6)," ","б/р")))))))))))))</f>
        <v xml:space="preserve"> </v>
      </c>
      <c r="O6" s="79"/>
      <c r="P6" s="80"/>
      <c r="Q6" s="59" t="str">
        <f t="shared" ref="Q6" si="1">IF(ISBLANK(P6)," ",IF(ISTEXT(P6)," ",IF(P6&lt;=$H$5,"МСМК",IF(P6&lt;=$H$6,"МС",IF(P6&lt;=$H$7,"КМС",IF(P6&lt;=$H$8,"I",IF(P6&lt;=$H$9,"II",IF(P6&lt;=$H$10,"III",IF(P6&lt;=$H$11,"I юн",IF(P6&lt;=$H$12,"II юн",IF(P6&lt;=$H$13,"III юн",IF(ISTEXT(P6)," ",IF(ISBLANK(P6)," ","б/р")))))))))))))</f>
        <v xml:space="preserve"> </v>
      </c>
    </row>
    <row r="7" spans="3:33" ht="12.75" customHeight="1" x14ac:dyDescent="0.3">
      <c r="C7" s="73"/>
      <c r="D7" s="73"/>
      <c r="E7" s="73"/>
      <c r="F7" s="73"/>
      <c r="G7" s="73"/>
      <c r="H7" s="74">
        <v>19.7</v>
      </c>
      <c r="I7" s="59" t="str">
        <f>IF(ISBLANK(H7)," ",IF(ISTEXT(H7)," ",IF(H7&lt;=Нормативы!$H$5,"МСМК",IF(H7&lt;=Нормативы!$H$6,"МС",IF(H7&lt;=Нормативы!$H$7,"КМС",IF(H7&lt;=Нормативы!$H$8,"I",IF(H7&lt;=Нормативы!$H$9,"II",IF(H7&lt;=Нормативы!$H$10,"III",IF(H7&lt;=Нормативы!$H$11,"I юн",IF(H7&lt;=Нормативы!$H$12,"II юн",IF(H7&lt;=Нормативы!$H$13,"III юн",IF(ISTEXT(H7)," ",IF(ISBLANK(H7)," ","б/р")))))))))))))</f>
        <v>КМС</v>
      </c>
      <c r="J7" s="59" t="str">
        <f>IF(ISBLANK(H7)," ",IF(ISTEXT(H7)," ",IF(H7&lt;=Нормативы!$H$5,"МСМК",IF(H7&lt;=Нормативы!$H$6,"МС",IF(H7&lt;=Нормативы!$H$7,"КМС",IF(H7&lt;=Нормативы!$H$8,"I",IF(H7&lt;=Нормативы!$H$9,"II",IF(H7&lt;=Нормативы!$H$10,"III",IF(H7&lt;=Нормативы!$H$11,"I юн",IF(H7&lt;=Нормативы!$H$12,"II юн",IF(H7&lt;=Нормативы!$H$13,"III юн",IF(ISTEXT(H7)," ",IF(ISBLANK(H7)," ","б/р")))))))))))))</f>
        <v>КМС</v>
      </c>
      <c r="K7" s="75"/>
      <c r="L7" s="74">
        <f>H7-0.2</f>
        <v>19.5</v>
      </c>
      <c r="M7" s="59" t="str">
        <f>IF(ISBLANK(L7)," ",IF(ISTEXT(L7)," ",IF(L7&lt;=Нормативы!$H$5,"КМС",IF(L7&lt;=Нормативы!$H$6,"КМС",IF(L7&lt;=Нормативы!$L$7,"КМС",IF(L7&lt;=Нормативы!$L$8,"I",IF(L7&lt;=Нормативы!$L$9,"II",IF(L7&lt;=Нормативы!$L$10,"III",IF(L7&lt;=Нормативы!$L$11,"I юн",IF(L7&lt;=Нормативы!$L$12,"II юн",IF(L7&lt;=Нормативы!$L$13,"III юн",IF(ISTEXT(L7)," ",IF(ISBLANK(L7)," ","б/р")))))))))))))</f>
        <v>КМС</v>
      </c>
      <c r="N7" s="59" t="str">
        <f>IF(ISBLANK(L7)," ",IF(ISTEXT(L7)," ",IF(L7&lt;=Нормативы!$H$5,"КМС",IF(L7&lt;=Нормативы!$H$6,"КМС",IF(L7&lt;=Нормативы!$L$7,"КМС",IF(L7&lt;=Нормативы!$L$8,"I",IF(L7&lt;=Нормативы!$L$9,"II",IF(L7&lt;=Нормативы!$L$10,"III",IF(L7&lt;=Нормативы!$L$11,"I юн",IF(L7&lt;=Нормативы!$L$12,"II юн",IF(L7&lt;=Нормативы!$L$13,"III юн",IF(ISTEXT(L7)," ",IF(ISBLANK(L7)," ","б/р")))))))))))))</f>
        <v>КМС</v>
      </c>
      <c r="O7" s="79"/>
      <c r="P7" s="80"/>
      <c r="Q7" s="59" t="str">
        <f t="shared" ref="Q7" si="2">IF(ISBLANK(P7)," ",IF(ISTEXT(P7)," ",IF(P7&lt;=$H$5,"МСМК",IF(P7&lt;=$H$6,"МС",IF(P7&lt;=$H$7,"КМС",IF(P7&lt;=$H$8,"I",IF(P7&lt;=$H$9,"II",IF(P7&lt;=$H$10,"III",IF(P7&lt;=$H$11,"I юн",IF(P7&lt;=$H$12,"II юн",IF(P7&lt;=$H$13,"III юн",IF(ISTEXT(P7)," ",IF(ISBLANK(P7)," ","б/р")))))))))))))</f>
        <v xml:space="preserve"> </v>
      </c>
    </row>
    <row r="8" spans="3:33" ht="12.75" customHeight="1" x14ac:dyDescent="0.3">
      <c r="C8" s="73"/>
      <c r="D8" s="73"/>
      <c r="E8" s="73"/>
      <c r="F8" s="73"/>
      <c r="G8" s="73"/>
      <c r="H8" s="74">
        <v>21</v>
      </c>
      <c r="I8" s="59" t="str">
        <f>IF(ISBLANK(H8)," ",IF(ISTEXT(H8)," ",IF(H8&lt;=Нормативы!$H$5,"МСМК",IF(H8&lt;=Нормативы!$H$6,"МС",IF(H8&lt;=Нормативы!$H$7,"КМС",IF(H8&lt;=Нормативы!$H$8,"I",IF(H8&lt;=Нормативы!$H$9,"II",IF(H8&lt;=Нормативы!$H$10,"III",IF(H8&lt;=Нормативы!$H$11,"I юн",IF(H8&lt;=Нормативы!$H$12,"II юн",IF(H8&lt;=Нормативы!$H$13,"III юн",IF(ISTEXT(H8)," ",IF(ISBLANK(H8)," ","б/р")))))))))))))</f>
        <v>I</v>
      </c>
      <c r="J8" s="59" t="str">
        <f>IF(ISBLANK(H8)," ",IF(ISTEXT(H8)," ",IF(H8&lt;=Нормативы!$H$5,"МСМК",IF(H8&lt;=Нормативы!$H$6,"МС",IF(H8&lt;=Нормативы!$H$7,"КМС",IF(H8&lt;=Нормативы!$H$8,"I",IF(H8&lt;=Нормативы!$H$9,"II",IF(H8&lt;=Нормативы!$H$10,"III",IF(H8&lt;=Нормативы!$H$11,"I юн",IF(H8&lt;=Нормативы!$H$12,"II юн",IF(H8&lt;=Нормативы!$H$13,"III юн",IF(ISTEXT(H8)," ",IF(ISBLANK(H8)," ","б/р")))))))))))))</f>
        <v>I</v>
      </c>
      <c r="K8" s="75"/>
      <c r="L8" s="74">
        <f t="shared" ref="L8:L24" si="3">H8-0.2</f>
        <v>20.8</v>
      </c>
      <c r="M8" s="59" t="str">
        <f>IF(ISBLANK(L8)," ",IF(ISTEXT(L8)," ",IF(L8&lt;=Нормативы!$H$5,"КМС",IF(L8&lt;=Нормативы!$H$6,"КМС",IF(L8&lt;=Нормативы!$L$7,"КМС",IF(L8&lt;=Нормативы!$L$8,"I",IF(L8&lt;=Нормативы!$L$9,"II",IF(L8&lt;=Нормативы!$L$10,"III",IF(L8&lt;=Нормативы!$L$11,"I юн",IF(L8&lt;=Нормативы!$L$12,"II юн",IF(L8&lt;=Нормативы!$L$13,"III юн",IF(ISTEXT(L8)," ",IF(ISBLANK(L8)," ","б/р")))))))))))))</f>
        <v>I</v>
      </c>
      <c r="N8" s="59" t="str">
        <f>IF(ISBLANK(L8)," ",IF(ISTEXT(L8)," ",IF(L8&lt;=Нормативы!$H$5,"КМС",IF(L8&lt;=Нормативы!$H$6,"КМС",IF(L8&lt;=Нормативы!$L$7,"КМС",IF(L8&lt;=Нормативы!$L$8,"I",IF(L8&lt;=Нормативы!$L$9,"II",IF(L8&lt;=Нормативы!$L$10,"III",IF(L8&lt;=Нормативы!$L$11,"I юн",IF(L8&lt;=Нормативы!$L$12,"II юн",IF(L8&lt;=Нормативы!$L$13,"III юн",IF(ISTEXT(L8)," ",IF(ISBLANK(L8)," ","б/р")))))))))))))</f>
        <v>I</v>
      </c>
      <c r="O8" s="79"/>
      <c r="P8" s="80"/>
      <c r="Q8" s="59" t="str">
        <f t="shared" ref="Q8" si="4">IF(ISBLANK(P8)," ",IF(ISTEXT(P8)," ",IF(P8&lt;=$H$5,"МСМК",IF(P8&lt;=$H$6,"МС",IF(P8&lt;=$H$7,"КМС",IF(P8&lt;=$H$8,"I",IF(P8&lt;=$H$9,"II",IF(P8&lt;=$H$10,"III",IF(P8&lt;=$H$11,"I юн",IF(P8&lt;=$H$12,"II юн",IF(P8&lt;=$H$13,"III юн",IF(ISTEXT(P8)," ",IF(ISBLANK(P8)," ","б/р")))))))))))))</f>
        <v xml:space="preserve"> </v>
      </c>
      <c r="R8" s="74"/>
      <c r="S8" s="59"/>
      <c r="T8" s="59"/>
    </row>
    <row r="9" spans="3:33" ht="12.75" customHeight="1" x14ac:dyDescent="0.3">
      <c r="C9" s="73"/>
      <c r="D9" s="73"/>
      <c r="E9" s="73"/>
      <c r="F9" s="73"/>
      <c r="G9" s="73"/>
      <c r="H9" s="74">
        <v>22.9</v>
      </c>
      <c r="I9" s="59" t="str">
        <f>IF(ISBLANK(H9)," ",IF(ISTEXT(H9)," ",IF(H9&lt;=Нормативы!$H$5,"МСМК",IF(H9&lt;=Нормативы!$H$6,"МС",IF(H9&lt;=Нормативы!$H$7,"КМС",IF(H9&lt;=Нормативы!$H$8,"I",IF(H9&lt;=Нормативы!$H$9,"II",IF(H9&lt;=Нормативы!$H$10,"III",IF(H9&lt;=Нормативы!$H$11,"I юн",IF(H9&lt;=Нормативы!$H$12,"II юн",IF(H9&lt;=Нормативы!$H$13,"III юн",IF(ISTEXT(H9)," ",IF(ISBLANK(H9)," ","б/р")))))))))))))</f>
        <v>II</v>
      </c>
      <c r="J9" s="59" t="str">
        <f>IF(ISBLANK(H9)," ",IF(ISTEXT(H9)," ",IF(H9&lt;=Нормативы!$H$5,"МСМК",IF(H9&lt;=Нормативы!$H$6,"МС",IF(H9&lt;=Нормативы!$H$7,"КМС",IF(H9&lt;=Нормативы!$H$8,"I",IF(H9&lt;=Нормативы!$H$9,"II",IF(H9&lt;=Нормативы!$H$10,"III",IF(H9&lt;=Нормативы!$H$11,"I юн",IF(H9&lt;=Нормативы!$H$12,"II юн",IF(H9&lt;=Нормативы!$H$13,"III юн",IF(ISTEXT(H9)," ",IF(ISBLANK(H9)," ","б/р")))))))))))))</f>
        <v>II</v>
      </c>
      <c r="K9" s="75"/>
      <c r="L9" s="74">
        <f t="shared" si="3"/>
        <v>22.7</v>
      </c>
      <c r="M9" s="59" t="str">
        <f>IF(ISBLANK(L9)," ",IF(ISTEXT(L9)," ",IF(L9&lt;=Нормативы!$H$5,"КМС",IF(L9&lt;=Нормативы!$H$6,"КМС",IF(L9&lt;=Нормативы!$L$7,"КМС",IF(L9&lt;=Нормативы!$L$8,"I",IF(L9&lt;=Нормативы!$L$9,"II",IF(L9&lt;=Нормативы!$L$10,"III",IF(L9&lt;=Нормативы!$L$11,"I юн",IF(L9&lt;=Нормативы!$L$12,"II юн",IF(L9&lt;=Нормативы!$L$13,"III юн",IF(ISTEXT(L9)," ",IF(ISBLANK(L9)," ","б/р")))))))))))))</f>
        <v>II</v>
      </c>
      <c r="N9" s="59" t="str">
        <f>IF(ISBLANK(L9)," ",IF(ISTEXT(L9)," ",IF(L9&lt;=Нормативы!$H$5,"КМС",IF(L9&lt;=Нормативы!$H$6,"КМС",IF(L9&lt;=Нормативы!$L$7,"КМС",IF(L9&lt;=Нормативы!$L$8,"I",IF(L9&lt;=Нормативы!$L$9,"II",IF(L9&lt;=Нормативы!$L$10,"III",IF(L9&lt;=Нормативы!$L$11,"I юн",IF(L9&lt;=Нормативы!$L$12,"II юн",IF(L9&lt;=Нормативы!$L$13,"III юн",IF(ISTEXT(L9)," ",IF(ISBLANK(L9)," ","б/р")))))))))))))</f>
        <v>II</v>
      </c>
      <c r="O9" s="79"/>
      <c r="P9" s="80"/>
      <c r="Q9" s="59" t="str">
        <f t="shared" ref="Q9" si="5">IF(ISBLANK(P9)," ",IF(ISTEXT(P9)," ",IF(P9&lt;=$H$5,"МСМК",IF(P9&lt;=$H$6,"МС",IF(P9&lt;=$H$7,"КМС",IF(P9&lt;=$H$8,"I",IF(P9&lt;=$H$9,"II",IF(P9&lt;=$H$10,"III",IF(P9&lt;=$H$11,"I юн",IF(P9&lt;=$H$12,"II юн",IF(P9&lt;=$H$13,"III юн",IF(ISTEXT(P9)," ",IF(ISBLANK(P9)," ","б/р")))))))))))))</f>
        <v xml:space="preserve"> </v>
      </c>
      <c r="R9" s="74"/>
    </row>
    <row r="10" spans="3:33" ht="12.75" customHeight="1" x14ac:dyDescent="0.3">
      <c r="C10" s="73"/>
      <c r="D10" s="73"/>
      <c r="E10" s="73"/>
      <c r="F10" s="73"/>
      <c r="G10" s="73"/>
      <c r="H10" s="74">
        <v>24.7</v>
      </c>
      <c r="I10" s="59" t="str">
        <f>IF(ISBLANK(H10)," ",IF(ISTEXT(H10)," ",IF(H10&lt;=Нормативы!$H$5,"МСМК",IF(H10&lt;=Нормативы!$H$6,"МС",IF(H10&lt;=Нормативы!$H$7,"КМС",IF(H10&lt;=Нормативы!$H$8,"I",IF(H10&lt;=Нормативы!$H$9,"II",IF(H10&lt;=Нормативы!$H$10,"III",IF(H10&lt;=Нормативы!$H$11,"I юн",IF(H10&lt;=Нормативы!$H$12,"II юн",IF(H10&lt;=Нормативы!$H$13,"III юн",IF(ISTEXT(H10)," ",IF(ISBLANK(H10)," ","б/р")))))))))))))</f>
        <v>III</v>
      </c>
      <c r="J10" s="59" t="str">
        <f>IF(ISBLANK(H10)," ",IF(ISTEXT(H10)," ",IF(H10&lt;=Нормативы!$H$5,"МСМК",IF(H10&lt;=Нормативы!$H$6,"МС",IF(H10&lt;=Нормативы!$H$7,"КМС",IF(H10&lt;=Нормативы!$H$8,"I",IF(H10&lt;=Нормативы!$H$9,"II",IF(H10&lt;=Нормативы!$H$10,"III",IF(H10&lt;=Нормативы!$H$11,"I юн",IF(H10&lt;=Нормативы!$H$12,"II юн",IF(H10&lt;=Нормативы!$H$13,"III юн",IF(ISTEXT(H10)," ",IF(ISBLANK(H10)," ","б/р")))))))))))))</f>
        <v>III</v>
      </c>
      <c r="K10" s="75"/>
      <c r="L10" s="74">
        <f t="shared" si="3"/>
        <v>24.5</v>
      </c>
      <c r="M10" s="59" t="str">
        <f>IF(ISBLANK(L10)," ",IF(ISTEXT(L10)," ",IF(L10&lt;=Нормативы!$H$5,"КМС",IF(L10&lt;=Нормативы!$H$6,"КМС",IF(L10&lt;=Нормативы!$L$7,"КМС",IF(L10&lt;=Нормативы!$L$8,"I",IF(L10&lt;=Нормативы!$L$9,"II",IF(L10&lt;=Нормативы!$L$10,"III",IF(L10&lt;=Нормативы!$L$11,"I юн",IF(L10&lt;=Нормативы!$L$12,"II юн",IF(L10&lt;=Нормативы!$L$13,"III юн",IF(ISTEXT(L10)," ",IF(ISBLANK(L10)," ","б/р")))))))))))))</f>
        <v>III</v>
      </c>
      <c r="N10" s="59" t="str">
        <f>IF(ISBLANK(L10)," ",IF(ISTEXT(L10)," ",IF(L10&lt;=Нормативы!$H$5,"КМС",IF(L10&lt;=Нормативы!$H$6,"КМС",IF(L10&lt;=Нормативы!$L$7,"КМС",IF(L10&lt;=Нормативы!$L$8,"I",IF(L10&lt;=Нормативы!$L$9,"II",IF(L10&lt;=Нормативы!$L$10,"III",IF(L10&lt;=Нормативы!$L$11,"I юн",IF(L10&lt;=Нормативы!$L$12,"II юн",IF(L10&lt;=Нормативы!$L$13,"III юн",IF(ISTEXT(L10)," ",IF(ISBLANK(L10)," ","б/р")))))))))))))</f>
        <v>III</v>
      </c>
      <c r="O10" s="79"/>
      <c r="P10" s="80"/>
      <c r="Q10" s="59" t="str">
        <f t="shared" ref="Q10" si="6">IF(ISBLANK(P10)," ",IF(ISTEXT(P10)," ",IF(P10&lt;=$H$5,"МСМК",IF(P10&lt;=$H$6,"МС",IF(P10&lt;=$H$7,"КМС",IF(P10&lt;=$H$8,"I",IF(P10&lt;=$H$9,"II",IF(P10&lt;=$H$10,"III",IF(P10&lt;=$H$11,"I юн",IF(P10&lt;=$H$12,"II юн",IF(P10&lt;=$H$13,"III юн",IF(ISTEXT(P10)," ",IF(ISBLANK(P10)," ","б/р")))))))))))))</f>
        <v xml:space="preserve"> </v>
      </c>
    </row>
    <row r="11" spans="3:33" ht="12.75" customHeight="1" x14ac:dyDescent="0.3">
      <c r="C11" s="73"/>
      <c r="D11" s="73"/>
      <c r="E11" s="73"/>
      <c r="F11" s="73"/>
      <c r="G11" s="73"/>
      <c r="H11" s="74">
        <v>27</v>
      </c>
      <c r="I11" s="59" t="str">
        <f>IF(ISBLANK(H11)," ",IF(ISTEXT(H11)," ",IF(H11&lt;=Нормативы!$H$5,"МСМК",IF(H11&lt;=Нормативы!$H$6,"МС",IF(H11&lt;=Нормативы!$H$7,"КМС",IF(H11&lt;=Нормативы!$H$8,"I",IF(H11&lt;=Нормативы!$H$9,"II",IF(H11&lt;=Нормативы!$H$10,"III",IF(H11&lt;=Нормативы!$H$11,"I юн",IF(H11&lt;=Нормативы!$H$12,"II юн",IF(H11&lt;=Нормативы!$H$13,"III юн",IF(ISTEXT(H11)," ",IF(ISBLANK(H11)," ","б/р")))))))))))))</f>
        <v>I юн</v>
      </c>
      <c r="J11" s="59" t="str">
        <f>IF(ISBLANK(H11)," ",IF(ISTEXT(H11)," ",IF(H11&lt;=Нормативы!$H$5,"МСМК",IF(H11&lt;=Нормативы!$H$6,"МС",IF(H11&lt;=Нормативы!$H$7,"КМС",IF(H11&lt;=Нормативы!$H$8,"I",IF(H11&lt;=Нормативы!$H$9,"II",IF(H11&lt;=Нормативы!$H$10,"III",IF(H11&lt;=Нормативы!$H$11,"I юн",IF(H11&lt;=Нормативы!$H$12,"II юн",IF(H11&lt;=Нормативы!$H$13,"III юн",IF(ISTEXT(H11)," ",IF(ISBLANK(H11)," ","б/р")))))))))))))</f>
        <v>I юн</v>
      </c>
      <c r="K11" s="75"/>
      <c r="L11" s="74">
        <f t="shared" si="3"/>
        <v>26.8</v>
      </c>
      <c r="M11" s="59" t="str">
        <f>IF(ISBLANK(L11)," ",IF(ISTEXT(L11)," ",IF(L11&lt;=Нормативы!$H$5,"КМС",IF(L11&lt;=Нормативы!$H$6,"КМС",IF(L11&lt;=Нормативы!$L$7,"КМС",IF(L11&lt;=Нормативы!$L$8,"I",IF(L11&lt;=Нормативы!$L$9,"II",IF(L11&lt;=Нормативы!$L$10,"III",IF(L11&lt;=Нормативы!$L$11,"I юн",IF(L11&lt;=Нормативы!$L$12,"II юн",IF(L11&lt;=Нормативы!$L$13,"III юн",IF(ISTEXT(L11)," ",IF(ISBLANK(L11)," ","б/р")))))))))))))</f>
        <v>I юн</v>
      </c>
      <c r="N11" s="59" t="str">
        <f>IF(ISBLANK(L11)," ",IF(ISTEXT(L11)," ",IF(L11&lt;=Нормативы!$H$5,"КМС",IF(L11&lt;=Нормативы!$H$6,"КМС",IF(L11&lt;=Нормативы!$L$7,"КМС",IF(L11&lt;=Нормативы!$L$8,"I",IF(L11&lt;=Нормативы!$L$9,"II",IF(L11&lt;=Нормативы!$L$10,"III",IF(L11&lt;=Нормативы!$L$11,"I юн",IF(L11&lt;=Нормативы!$L$12,"II юн",IF(L11&lt;=Нормативы!$L$13,"III юн",IF(ISTEXT(L11)," ",IF(ISBLANK(L11)," ","б/р")))))))))))))</f>
        <v>I юн</v>
      </c>
      <c r="O11" s="79"/>
      <c r="P11" s="80"/>
      <c r="Q11" s="59" t="str">
        <f t="shared" ref="Q11" si="7">IF(ISBLANK(P11)," ",IF(ISTEXT(P11)," ",IF(P11&lt;=$H$5,"МСМК",IF(P11&lt;=$H$6,"МС",IF(P11&lt;=$H$7,"КМС",IF(P11&lt;=$H$8,"I",IF(P11&lt;=$H$9,"II",IF(P11&lt;=$H$10,"III",IF(P11&lt;=$H$11,"I юн",IF(P11&lt;=$H$12,"II юн",IF(P11&lt;=$H$13,"III юн",IF(ISTEXT(P11)," ",IF(ISBLANK(P11)," ","б/р")))))))))))))</f>
        <v xml:space="preserve"> </v>
      </c>
    </row>
    <row r="12" spans="3:33" ht="12.75" customHeight="1" x14ac:dyDescent="0.3">
      <c r="C12" s="73"/>
      <c r="D12" s="73"/>
      <c r="E12" s="73"/>
      <c r="F12" s="73"/>
      <c r="G12" s="73"/>
      <c r="H12" s="74">
        <v>29.5</v>
      </c>
      <c r="I12" s="59" t="str">
        <f>IF(ISBLANK(H12)," ",IF(ISTEXT(H12)," ",IF(H12&lt;=Нормативы!$H$5,"МСМК",IF(H12&lt;=Нормативы!$H$6,"МС",IF(H12&lt;=Нормативы!$H$7,"КМС",IF(H12&lt;=Нормативы!$H$8,"I",IF(H12&lt;=Нормативы!$H$9,"II",IF(H12&lt;=Нормативы!$H$10,"III",IF(H12&lt;=Нормативы!$H$11,"I юн",IF(H12&lt;=Нормативы!$H$12,"II юн",IF(H12&lt;=Нормативы!$H$13,"III юн",IF(ISTEXT(H12)," ",IF(ISBLANK(H12)," ","б/р")))))))))))))</f>
        <v>II юн</v>
      </c>
      <c r="J12" s="59" t="str">
        <f>IF(ISBLANK(H12)," ",IF(ISTEXT(H12)," ",IF(H12&lt;=Нормативы!$H$5,"МСМК",IF(H12&lt;=Нормативы!$H$6,"МС",IF(H12&lt;=Нормативы!$H$7,"КМС",IF(H12&lt;=Нормативы!$H$8,"I",IF(H12&lt;=Нормативы!$H$9,"II",IF(H12&lt;=Нормативы!$H$10,"III",IF(H12&lt;=Нормативы!$H$11,"I юн",IF(H12&lt;=Нормативы!$H$12,"II юн",IF(H12&lt;=Нормативы!$H$13,"III юн",IF(ISTEXT(H12)," ",IF(ISBLANK(H12)," ","б/р")))))))))))))</f>
        <v>II юн</v>
      </c>
      <c r="K12" s="75"/>
      <c r="L12" s="74">
        <f t="shared" si="3"/>
        <v>29.3</v>
      </c>
      <c r="M12" s="59" t="str">
        <f>IF(ISBLANK(L12)," ",IF(ISTEXT(L12)," ",IF(L12&lt;=Нормативы!$H$5,"КМС",IF(L12&lt;=Нормативы!$H$6,"КМС",IF(L12&lt;=Нормативы!$L$7,"КМС",IF(L12&lt;=Нормативы!$L$8,"I",IF(L12&lt;=Нормативы!$L$9,"II",IF(L12&lt;=Нормативы!$L$10,"III",IF(L12&lt;=Нормативы!$L$11,"I юн",IF(L12&lt;=Нормативы!$L$12,"II юн",IF(L12&lt;=Нормативы!$L$13,"III юн",IF(ISTEXT(L12)," ",IF(ISBLANK(L12)," ","б/р")))))))))))))</f>
        <v>II юн</v>
      </c>
      <c r="N12" s="59" t="str">
        <f>IF(ISBLANK(L12)," ",IF(ISTEXT(L12)," ",IF(L12&lt;=Нормативы!$H$5,"КМС",IF(L12&lt;=Нормативы!$H$6,"КМС",IF(L12&lt;=Нормативы!$L$7,"КМС",IF(L12&lt;=Нормативы!$L$8,"I",IF(L12&lt;=Нормативы!$L$9,"II",IF(L12&lt;=Нормативы!$L$10,"III",IF(L12&lt;=Нормативы!$L$11,"I юн",IF(L12&lt;=Нормативы!$L$12,"II юн",IF(L12&lt;=Нормативы!$L$13,"III юн",IF(ISTEXT(L12)," ",IF(ISBLANK(L12)," ","б/р")))))))))))))</f>
        <v>II юн</v>
      </c>
      <c r="O12" s="79"/>
      <c r="P12" s="80"/>
      <c r="Q12" s="59" t="str">
        <f t="shared" ref="Q12" si="8">IF(ISBLANK(P12)," ",IF(ISTEXT(P12)," ",IF(P12&lt;=$H$5,"МСМК",IF(P12&lt;=$H$6,"МС",IF(P12&lt;=$H$7,"КМС",IF(P12&lt;=$H$8,"I",IF(P12&lt;=$H$9,"II",IF(P12&lt;=$H$10,"III",IF(P12&lt;=$H$11,"I юн",IF(P12&lt;=$H$12,"II юн",IF(P12&lt;=$H$13,"III юн",IF(ISTEXT(P12)," ",IF(ISBLANK(P12)," ","б/р")))))))))))))</f>
        <v xml:space="preserve"> </v>
      </c>
    </row>
    <row r="13" spans="3:33" ht="12.75" customHeight="1" x14ac:dyDescent="0.3">
      <c r="C13" s="73"/>
      <c r="D13" s="73"/>
      <c r="E13" s="73"/>
      <c r="F13" s="73"/>
      <c r="G13" s="73"/>
      <c r="H13" s="74">
        <v>32.200000000000003</v>
      </c>
      <c r="I13" s="59" t="str">
        <f>IF(ISBLANK(H13)," ",IF(ISTEXT(H13)," ",IF(H13&lt;=Нормативы!$H$5,"МСМК",IF(H13&lt;=Нормативы!$H$6,"МС",IF(H13&lt;=Нормативы!$H$7,"КМС",IF(H13&lt;=Нормативы!$H$8,"I",IF(H13&lt;=Нормативы!$H$9,"II",IF(H13&lt;=Нормативы!$H$10,"III",IF(H13&lt;=Нормативы!$H$11,"I юн",IF(H13&lt;=Нормативы!$H$12,"II юн",IF(H13&lt;=Нормативы!$H$13,"III юн",IF(ISTEXT(H13)," ",IF(ISBLANK(H13)," ","б/р")))))))))))))</f>
        <v>III юн</v>
      </c>
      <c r="J13" s="59" t="str">
        <f>IF(ISBLANK(H13)," ",IF(ISTEXT(H13)," ",IF(H13&lt;=Нормативы!$H$5,"МСМК",IF(H13&lt;=Нормативы!$H$6,"МС",IF(H13&lt;=Нормативы!$H$7,"КМС",IF(H13&lt;=Нормативы!$H$8,"I",IF(H13&lt;=Нормативы!$H$9,"II",IF(H13&lt;=Нормативы!$H$10,"III",IF(H13&lt;=Нормативы!$H$11,"I юн",IF(H13&lt;=Нормативы!$H$12,"II юн",IF(H13&lt;=Нормативы!$H$13,"III юн",IF(ISTEXT(H13)," ",IF(ISBLANK(H13)," ","б/р")))))))))))))</f>
        <v>III юн</v>
      </c>
      <c r="K13" s="75"/>
      <c r="L13" s="74">
        <f t="shared" si="3"/>
        <v>32</v>
      </c>
      <c r="M13" s="59" t="str">
        <f>IF(ISBLANK(L13)," ",IF(ISTEXT(L13)," ",IF(L13&lt;=Нормативы!$H$5,"КМС",IF(L13&lt;=Нормативы!$H$6,"КМС",IF(L13&lt;=Нормативы!$L$7,"КМС",IF(L13&lt;=Нормативы!$L$8,"I",IF(L13&lt;=Нормативы!$L$9,"II",IF(L13&lt;=Нормативы!$L$10,"III",IF(L13&lt;=Нормативы!$L$11,"I юн",IF(L13&lt;=Нормативы!$L$12,"II юн",IF(L13&lt;=Нормативы!$L$13,"III юн",IF(ISTEXT(L13)," ",IF(ISBLANK(L13)," ","б/р")))))))))))))</f>
        <v>III юн</v>
      </c>
      <c r="N13" s="59" t="str">
        <f>IF(ISBLANK(L13)," ",IF(ISTEXT(L13)," ",IF(L13&lt;=Нормативы!$H$5,"КМС",IF(L13&lt;=Нормативы!$H$6,"КМС",IF(L13&lt;=Нормативы!$L$7,"КМС",IF(L13&lt;=Нормативы!$L$8,"I",IF(L13&lt;=Нормативы!$L$9,"II",IF(L13&lt;=Нормативы!$L$10,"III",IF(L13&lt;=Нормативы!$L$11,"I юн",IF(L13&lt;=Нормативы!$L$12,"II юн",IF(L13&lt;=Нормативы!$L$13,"III юн",IF(ISTEXT(L13)," ",IF(ISBLANK(L13)," ","б/р")))))))))))))</f>
        <v>III юн</v>
      </c>
      <c r="O13" s="79"/>
      <c r="P13" s="80"/>
      <c r="Q13" s="59" t="str">
        <f t="shared" ref="Q13" si="9">IF(ISBLANK(P13)," ",IF(ISTEXT(P13)," ",IF(P13&lt;=$H$5,"МСМК",IF(P13&lt;=$H$6,"МС",IF(P13&lt;=$H$7,"КМС",IF(P13&lt;=$H$8,"I",IF(P13&lt;=$H$9,"II",IF(P13&lt;=$H$10,"III",IF(P13&lt;=$H$11,"I юн",IF(P13&lt;=$H$12,"II юн",IF(P13&lt;=$H$13,"III юн",IF(ISTEXT(P13)," ",IF(ISBLANK(P13)," ","б/р")))))))))))))</f>
        <v xml:space="preserve"> </v>
      </c>
    </row>
    <row r="14" spans="3:33" ht="12.75" customHeight="1" x14ac:dyDescent="0.3">
      <c r="C14" s="73"/>
      <c r="D14" s="73"/>
      <c r="E14" s="73"/>
      <c r="F14" s="73"/>
      <c r="G14" s="73"/>
      <c r="H14" s="74"/>
      <c r="I14" s="59" t="str">
        <f>IF(ISBLANK(H14)," ",IF(ISTEXT(H14)," ",IF(H14&lt;=18.1,"МСМК",IF(H14&lt;=19,"МС",IF(H14&lt;=19.9,"КМС",IF(H14&lt;=21.3,"I",IF(H14&lt;=23.1,"II",IF(H14&lt;=25,"III",IF(ISTEXT(H14)," ",IF(ISBLANK(H14)," ","б/р"))))))))))</f>
        <v xml:space="preserve"> </v>
      </c>
      <c r="J14" s="59" t="str">
        <f>IF(ISBLANK(H14)," ",IF(ISTEXT(H14)," ",IF(H14&lt;=18.1,"МСМК",IF(H14&lt;=19,"МС",IF(H14&lt;=19.9,"КМС",IF(H14&lt;=21.3,"I",IF(H14&lt;=23.1,"II",IF(H14&lt;=25,"III",IF(ISTEXT(H14)," ",IF(ISBLANK(H14)," ","б/р"))))))))))</f>
        <v xml:space="preserve"> </v>
      </c>
      <c r="K14" s="75"/>
      <c r="L14" s="43"/>
      <c r="M14" s="43"/>
      <c r="N14" s="43"/>
      <c r="O14" s="80"/>
      <c r="P14" s="81"/>
      <c r="Q14" s="59" t="str">
        <f>IF(ISBLANK(P14)," ",IF(ISTEXT(P14)," ",IF(P14&lt;=18.1,"МСМК",IF(P14&lt;=19,"МС",IF(P14&lt;=19.9,"КМС",IF(P14&lt;=21.3,"I",IF(P14&lt;=23.1,"II",IF(P14&lt;=25,"III",IF(ISTEXT(P14)," ",IF(ISBLANK(P14)," ","б/р"))))))))))</f>
        <v xml:space="preserve"> </v>
      </c>
      <c r="R14" s="82"/>
      <c r="S14" s="74"/>
      <c r="T14" s="59"/>
      <c r="U14" s="59"/>
      <c r="V14" s="82"/>
      <c r="W14" s="82"/>
      <c r="X14" s="82"/>
      <c r="Y14" s="82"/>
      <c r="Z14" s="82"/>
      <c r="AA14" s="82"/>
      <c r="AB14" s="83"/>
      <c r="AC14" s="83"/>
      <c r="AD14" s="83"/>
      <c r="AE14" s="83"/>
      <c r="AF14" s="83"/>
      <c r="AG14" s="83"/>
    </row>
    <row r="15" spans="3:33" ht="14.25" customHeight="1" x14ac:dyDescent="0.3">
      <c r="C15" s="68" t="s">
        <v>42</v>
      </c>
      <c r="D15" s="69"/>
      <c r="E15" s="69"/>
      <c r="F15" s="68"/>
      <c r="G15" s="68"/>
      <c r="H15" s="70"/>
      <c r="I15" s="42"/>
      <c r="J15" s="42"/>
      <c r="K15" s="84"/>
      <c r="L15" s="43"/>
      <c r="M15" s="43"/>
      <c r="N15" s="43"/>
      <c r="O15" s="80"/>
      <c r="P15" s="85"/>
      <c r="Q15" s="42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</row>
    <row r="16" spans="3:33" x14ac:dyDescent="0.3">
      <c r="C16" s="43"/>
      <c r="D16" s="43"/>
      <c r="E16" s="43"/>
      <c r="F16" s="43"/>
      <c r="G16" s="43"/>
      <c r="H16" s="74">
        <v>15.8</v>
      </c>
      <c r="I16" s="59" t="str">
        <f>IF(ISBLANK(H16)," ",IF(ISTEXT(H16)," ",IF(H16&lt;=Нормативы!$H$16,"МСМК",IF(H16&lt;=Нормативы!$H$17,"МС",IF(H16&lt;=Нормативы!$H$18,"КМС",IF(H16&lt;=Нормативы!$H$19,"I",IF(H16&lt;=Нормативы!$H$20,"II",IF(H16&lt;=Нормативы!$H$21,"III",IF(H16&lt;=Нормативы!$H$22,"I юн",IF(H16&lt;=Нормативы!$H$23,"II юн",IF(H16&lt;=Нормативы!$H$24,"III юн","б/р")))))))))))</f>
        <v>МСМК</v>
      </c>
      <c r="J16" s="59" t="str">
        <f>IF(ISBLANK(H16)," ",IF(ISTEXT(H16)," ",IF(H16&lt;=Нормативы!$H$16,"МСМК",IF(H16&lt;=Нормативы!$H$17,"МС",IF(H16&lt;=Нормативы!$H$18,"КМС",IF(H16&lt;=Нормативы!$H$19,"I",IF(H16&lt;=Нормативы!$H$20,"II",IF(H16&lt;=Нормативы!$H$21,"III",IF(H16&lt;=Нормативы!$H$22,"I юн",IF(H16&lt;=Нормативы!$H$23,"II юн",IF(H16&lt;=Нормативы!$H$24,"III юн","б/р")))))))))))</f>
        <v>МСМК</v>
      </c>
      <c r="K16" s="75"/>
      <c r="L16" s="74"/>
      <c r="M16" s="59" t="str">
        <f>IF(ISBLANK(L16)," ",IF(ISTEXT(L16)," ",IF(L16&lt;=Нормативы!$H$16,"КМС",IF(L16&lt;=Нормативы!$H$17,"КМС",IF(L16&lt;=Нормативы!$L$18,"КМС",IF(L16&lt;=Нормативы!$L$19,"I",IF(L16&lt;=Нормативы!$L$20,"II",IF(L16&lt;=Нормативы!$L$21,"III",IF(L16&lt;=Нормативы!$L$22,"I юн",IF(L16&lt;=Нормативы!$L$23,"II юн",IF(L16&lt;=Нормативы!$L$24,"III юн","б/р")))))))))))</f>
        <v xml:space="preserve"> </v>
      </c>
      <c r="N16" s="59" t="str">
        <f>IF(ISBLANK(L16)," ",IF(ISTEXT(L16)," ",IF(L16&lt;=15.9,"МСМК",IF(L16&lt;=16.9,"МС",IF(L16&lt;=17.6,"КМС",IF(L16&lt;=18.5,"I",IF(L16&lt;=20.1,"II",IF(L16&lt;=21.9,"III",IF(L16&lt;=24,"I юн",IF(L16&lt;=26.2,"II юн",IF(L16&lt;=28.4,"III юн","б/р")))))))))))</f>
        <v xml:space="preserve"> </v>
      </c>
      <c r="O16" s="79"/>
      <c r="P16" s="80"/>
      <c r="Q16" s="59" t="str">
        <f>IF(ISBLANK(P16)," ",IF(ISTEXT(P16)," ",IF(P16&lt;=$H$16,"МСМК",IF(P16&lt;=$H$17,"МС",IF(P16&lt;=$H$18,"КМС",IF(P16&lt;=$H$19,"I",IF(P16&lt;=$H$20,"II",IF(P16&lt;=$H$21,"III",IF(P16&lt;=$H$22,"I юн",IF(P16&lt;=$H$23,"II юн",IF(P16&lt;=$H$24,"III юн","б/р")))))))))))</f>
        <v xml:space="preserve"> </v>
      </c>
    </row>
    <row r="17" spans="3:17" x14ac:dyDescent="0.3">
      <c r="C17" s="86"/>
      <c r="D17" s="36"/>
      <c r="E17" s="36"/>
      <c r="F17" s="86"/>
      <c r="G17" s="86"/>
      <c r="H17" s="74">
        <v>16.7</v>
      </c>
      <c r="I17" s="59" t="str">
        <f>IF(ISBLANK(H17)," ",IF(ISTEXT(H17)," ",IF(H17&lt;=Нормативы!$H$16,"МСМК",IF(H17&lt;=Нормативы!$H$17,"МС",IF(H17&lt;=Нормативы!$H$18,"КМС",IF(H17&lt;=Нормативы!$H$19,"I",IF(H17&lt;=Нормативы!$H$20,"II",IF(H17&lt;=Нормативы!$H$21,"III",IF(H17&lt;=Нормативы!$H$22,"I юн",IF(H17&lt;=Нормативы!$H$23,"II юн",IF(H17&lt;=Нормативы!$H$24,"III юн","б/р")))))))))))</f>
        <v>МС</v>
      </c>
      <c r="J17" s="59" t="str">
        <f>IF(ISBLANK(H17)," ",IF(ISTEXT(H17)," ",IF(H17&lt;=Нормативы!$H$16,"МСМК",IF(H17&lt;=Нормативы!$H$17,"МС",IF(H17&lt;=Нормативы!$H$18,"КМС",IF(H17&lt;=Нормативы!$H$19,"I",IF(H17&lt;=Нормативы!$H$20,"II",IF(H17&lt;=Нормативы!$H$21,"III",IF(H17&lt;=Нормативы!$H$22,"I юн",IF(H17&lt;=Нормативы!$H$23,"II юн",IF(H17&lt;=Нормативы!$H$24,"III юн","б/р")))))))))))</f>
        <v>МС</v>
      </c>
      <c r="K17" s="75"/>
      <c r="L17" s="74"/>
      <c r="M17" s="59" t="str">
        <f>IF(ISBLANK(L17)," ",IF(ISTEXT(L17)," ",IF(L17&lt;=Нормативы!$H$16,"КМС",IF(L17&lt;=Нормативы!$H$17,"КМС",IF(L17&lt;=Нормативы!$L$18,"КМС",IF(L17&lt;=Нормативы!$L$19,"I",IF(L17&lt;=Нормативы!$L$20,"II",IF(L17&lt;=Нормативы!$L$21,"III",IF(L17&lt;=Нормативы!$L$22,"I юн",IF(L17&lt;=Нормативы!$L$23,"II юн",IF(L17&lt;=Нормативы!$L$24,"III юн","б/р")))))))))))</f>
        <v xml:space="preserve"> </v>
      </c>
      <c r="N17" s="59" t="str">
        <f>IF(ISBLANK(L17)," ",IF(ISTEXT(L17)," ",IF(L17&lt;=15.9,"МСМК",IF(L17&lt;=16.9,"МС",IF(L17&lt;=17.6,"КМС",IF(L17&lt;=18.5,"I",IF(L17&lt;=20.1,"II",IF(L17&lt;=21.9,"III",IF(L17&lt;=24,"I юн",IF(L17&lt;=26.2,"II юн",IF(L17&lt;=28.4,"III юн","б/р")))))))))))</f>
        <v xml:space="preserve"> </v>
      </c>
      <c r="O17" s="79"/>
      <c r="P17" s="80"/>
      <c r="Q17" s="59" t="str">
        <f t="shared" ref="Q17" si="10">IF(ISBLANK(P17)," ",IF(ISTEXT(P17)," ",IF(P17&lt;=$H$16,"МСМК",IF(P17&lt;=$H$17,"МС",IF(P17&lt;=$H$18,"КМС",IF(P17&lt;=$H$19,"I",IF(P17&lt;=$H$20,"II",IF(P17&lt;=$H$21,"III",IF(P17&lt;=$H$22,"I юн",IF(P17&lt;=$H$23,"II юн",IF(P17&lt;=$H$24,"III юн","б/р")))))))))))</f>
        <v xml:space="preserve"> </v>
      </c>
    </row>
    <row r="18" spans="3:17" x14ac:dyDescent="0.3">
      <c r="C18" s="86"/>
      <c r="D18" s="36"/>
      <c r="E18" s="36"/>
      <c r="F18" s="86"/>
      <c r="G18" s="86"/>
      <c r="H18" s="74">
        <v>17.5</v>
      </c>
      <c r="I18" s="59" t="str">
        <f>IF(ISBLANK(H18)," ",IF(ISTEXT(H18)," ",IF(H18&lt;=Нормативы!$H$16,"МСМК",IF(H18&lt;=Нормативы!$H$17,"МС",IF(H18&lt;=Нормативы!$H$18,"КМС",IF(H18&lt;=Нормативы!$H$19,"I",IF(H18&lt;=Нормативы!$H$20,"II",IF(H18&lt;=Нормативы!$H$21,"III",IF(H18&lt;=Нормативы!$H$22,"I юн",IF(H18&lt;=Нормативы!$H$23,"II юн",IF(H18&lt;=Нормативы!$H$24,"III юн","б/р")))))))))))</f>
        <v>КМС</v>
      </c>
      <c r="J18" s="59" t="str">
        <f>IF(ISBLANK(H18)," ",IF(ISTEXT(H18)," ",IF(H18&lt;=Нормативы!$H$16,"МСМК",IF(H18&lt;=Нормативы!$H$17,"МС",IF(H18&lt;=Нормативы!$H$18,"КМС",IF(H18&lt;=Нормативы!$H$19,"I",IF(H18&lt;=Нормативы!$H$20,"II",IF(H18&lt;=Нормативы!$H$21,"III",IF(H18&lt;=Нормативы!$H$22,"I юн",IF(H18&lt;=Нормативы!$H$23,"II юн",IF(H18&lt;=Нормативы!$H$24,"III юн","б/р")))))))))))</f>
        <v>КМС</v>
      </c>
      <c r="K18" s="75"/>
      <c r="L18" s="74">
        <f t="shared" si="3"/>
        <v>17.3</v>
      </c>
      <c r="M18" s="59" t="str">
        <f>IF(ISBLANK(L18)," ",IF(ISTEXT(L18)," ",IF(L18&lt;=Нормативы!$H$16,"КМС",IF(L18&lt;=Нормативы!$H$17,"КМС",IF(L18&lt;=Нормативы!$L$18,"КМС",IF(L18&lt;=Нормативы!$L$19,"I",IF(L18&lt;=Нормативы!$L$20,"II",IF(L18&lt;=Нормативы!$L$21,"III",IF(L18&lt;=Нормативы!$L$22,"I юн",IF(L18&lt;=Нормативы!$L$23,"II юн",IF(L18&lt;=Нормативы!$L$24,"III юн","б/р")))))))))))</f>
        <v>КМС</v>
      </c>
      <c r="N18" s="59" t="str">
        <f>IF(ISBLANK(L18)," ",IF(ISTEXT(L18)," ",IF(L18&lt;=Нормативы!$H$16,"КМС",IF(L18&lt;=Нормативы!$H$17,"КМС",IF(L18&lt;=Нормативы!$L$18,"КМС",IF(L18&lt;=Нормативы!$L$19,"I",IF(L18&lt;=Нормативы!$L$20,"II",IF(L18&lt;=Нормативы!$L$21,"III",IF(L18&lt;=Нормативы!$L$22,"I юн",IF(L18&lt;=Нормативы!$L$23,"II юн",IF(L18&lt;=Нормативы!$L$24,"III юн","б/р")))))))))))</f>
        <v>КМС</v>
      </c>
      <c r="O18" s="79"/>
      <c r="P18" s="80"/>
      <c r="Q18" s="59" t="str">
        <f t="shared" ref="Q18" si="11">IF(ISBLANK(P18)," ",IF(ISTEXT(P18)," ",IF(P18&lt;=$H$16,"МСМК",IF(P18&lt;=$H$17,"МС",IF(P18&lt;=$H$18,"КМС",IF(P18&lt;=$H$19,"I",IF(P18&lt;=$H$20,"II",IF(P18&lt;=$H$21,"III",IF(P18&lt;=$H$22,"I юн",IF(P18&lt;=$H$23,"II юн",IF(P18&lt;=$H$24,"III юн","б/р")))))))))))</f>
        <v xml:space="preserve"> </v>
      </c>
    </row>
    <row r="19" spans="3:17" x14ac:dyDescent="0.3">
      <c r="C19" s="86"/>
      <c r="D19" s="36"/>
      <c r="E19" s="36"/>
      <c r="F19" s="86"/>
      <c r="G19" s="86"/>
      <c r="H19" s="74">
        <v>18.5</v>
      </c>
      <c r="I19" s="59" t="str">
        <f>IF(ISBLANK(H19)," ",IF(ISTEXT(H19)," ",IF(H19&lt;=Нормативы!$H$16,"МСМК",IF(H19&lt;=Нормативы!$H$17,"МС",IF(H19&lt;=Нормативы!$H$18,"КМС",IF(H19&lt;=Нормативы!$H$19,"I",IF(H19&lt;=Нормативы!$H$20,"II",IF(H19&lt;=Нормативы!$H$21,"III",IF(H19&lt;=Нормативы!$H$22,"I юн",IF(H19&lt;=Нормативы!$H$23,"II юн",IF(H19&lt;=Нормативы!$H$24,"III юн","б/р")))))))))))</f>
        <v>I</v>
      </c>
      <c r="J19" s="59" t="str">
        <f>IF(ISBLANK(H19)," ",IF(ISTEXT(H19)," ",IF(H19&lt;=Нормативы!$H$16,"МСМК",IF(H19&lt;=Нормативы!$H$17,"МС",IF(H19&lt;=Нормативы!$H$18,"КМС",IF(H19&lt;=Нормативы!$H$19,"I",IF(H19&lt;=Нормативы!$H$20,"II",IF(H19&lt;=Нормативы!$H$21,"III",IF(H19&lt;=Нормативы!$H$22,"I юн",IF(H19&lt;=Нормативы!$H$23,"II юн",IF(H19&lt;=Нормативы!$H$24,"III юн","б/р")))))))))))</f>
        <v>I</v>
      </c>
      <c r="K19" s="75"/>
      <c r="L19" s="74">
        <f t="shared" si="3"/>
        <v>18.3</v>
      </c>
      <c r="M19" s="59" t="str">
        <f>IF(ISBLANK(L19)," ",IF(ISTEXT(L19)," ",IF(L19&lt;=Нормативы!$H$16,"КМС",IF(L19&lt;=Нормативы!$H$17,"КМС",IF(L19&lt;=Нормативы!$L$18,"КМС",IF(L19&lt;=Нормативы!$L$19,"I",IF(L19&lt;=Нормативы!$L$20,"II",IF(L19&lt;=Нормативы!$L$21,"III",IF(L19&lt;=Нормативы!$L$22,"I юн",IF(L19&lt;=Нормативы!$L$23,"II юн",IF(L19&lt;=Нормативы!$L$24,"III юн","б/р")))))))))))</f>
        <v>I</v>
      </c>
      <c r="N19" s="59" t="str">
        <f>IF(ISBLANK(L19)," ",IF(ISTEXT(L19)," ",IF(L19&lt;=Нормативы!$H$16,"КМС",IF(L19&lt;=Нормативы!$H$17,"КМС",IF(L19&lt;=Нормативы!$L$18,"КМС",IF(L19&lt;=Нормативы!$L$19,"I",IF(L19&lt;=Нормативы!$L$20,"II",IF(L19&lt;=Нормативы!$L$21,"III",IF(L19&lt;=Нормативы!$L$22,"I юн",IF(L19&lt;=Нормативы!$L$23,"II юн",IF(L19&lt;=Нормативы!$L$24,"III юн","б/р")))))))))))</f>
        <v>I</v>
      </c>
      <c r="O19" s="79"/>
      <c r="P19" s="80"/>
      <c r="Q19" s="59" t="str">
        <f t="shared" ref="Q19" si="12">IF(ISBLANK(P19)," ",IF(ISTEXT(P19)," ",IF(P19&lt;=$H$16,"МСМК",IF(P19&lt;=$H$17,"МС",IF(P19&lt;=$H$18,"КМС",IF(P19&lt;=$H$19,"I",IF(P19&lt;=$H$20,"II",IF(P19&lt;=$H$21,"III",IF(P19&lt;=$H$22,"I юн",IF(P19&lt;=$H$23,"II юн",IF(P19&lt;=$H$24,"III юн","б/р")))))))))))</f>
        <v xml:space="preserve"> </v>
      </c>
    </row>
    <row r="20" spans="3:17" x14ac:dyDescent="0.3">
      <c r="C20" s="86"/>
      <c r="D20" s="36"/>
      <c r="E20" s="36"/>
      <c r="F20" s="86"/>
      <c r="G20" s="86"/>
      <c r="H20" s="74">
        <v>20.099999999999998</v>
      </c>
      <c r="I20" s="59" t="str">
        <f>IF(ISBLANK(H20)," ",IF(ISTEXT(H20)," ",IF(H20&lt;=Нормативы!$H$16,"МСМК",IF(H20&lt;=Нормативы!$H$17,"МС",IF(H20&lt;=Нормативы!$H$18,"КМС",IF(H20&lt;=Нормативы!$H$19,"I",IF(H20&lt;=Нормативы!$H$20,"II",IF(H20&lt;=Нормативы!$H$21,"III",IF(H20&lt;=Нормативы!$H$22,"I юн",IF(H20&lt;=Нормативы!$H$23,"II юн",IF(H20&lt;=Нормативы!$H$24,"III юн","б/р")))))))))))</f>
        <v>II</v>
      </c>
      <c r="J20" s="59" t="str">
        <f>IF(ISBLANK(H20)," ",IF(ISTEXT(H20)," ",IF(H20&lt;=Нормативы!$H$16,"МСМК",IF(H20&lt;=Нормативы!$H$17,"МС",IF(H20&lt;=Нормативы!$H$18,"КМС",IF(H20&lt;=Нормативы!$H$19,"I",IF(H20&lt;=Нормативы!$H$20,"II",IF(H20&lt;=Нормативы!$H$21,"III",IF(H20&lt;=Нормативы!$H$22,"I юн",IF(H20&lt;=Нормативы!$H$23,"II юн",IF(H20&lt;=Нормативы!$H$24,"III юн","б/р")))))))))))</f>
        <v>II</v>
      </c>
      <c r="K20" s="75"/>
      <c r="L20" s="74">
        <f t="shared" si="3"/>
        <v>19.899999999999999</v>
      </c>
      <c r="M20" s="59" t="str">
        <f>IF(ISBLANK(L20)," ",IF(ISTEXT(L20)," ",IF(L20&lt;=Нормативы!$H$16,"КМС",IF(L20&lt;=Нормативы!$H$17,"КМС",IF(L20&lt;=Нормативы!$L$18,"КМС",IF(L20&lt;=Нормативы!$L$19,"I",IF(L20&lt;=Нормативы!$L$20,"II",IF(L20&lt;=Нормативы!$L$21,"III",IF(L20&lt;=Нормативы!$L$22,"I юн",IF(L20&lt;=Нормативы!$L$23,"II юн",IF(L20&lt;=Нормативы!$L$24,"III юн","б/р")))))))))))</f>
        <v>II</v>
      </c>
      <c r="N20" s="59" t="str">
        <f>IF(ISBLANK(L20)," ",IF(ISTEXT(L20)," ",IF(L20&lt;=Нормативы!$H$16,"КМС",IF(L20&lt;=Нормативы!$H$17,"КМС",IF(L20&lt;=Нормативы!$L$18,"КМС",IF(L20&lt;=Нормативы!$L$19,"I",IF(L20&lt;=Нормативы!$L$20,"II",IF(L20&lt;=Нормативы!$L$21,"III",IF(L20&lt;=Нормативы!$L$22,"I юн",IF(L20&lt;=Нормативы!$L$23,"II юн",IF(L20&lt;=Нормативы!$L$24,"III юн","б/р")))))))))))</f>
        <v>II</v>
      </c>
      <c r="O20" s="79"/>
      <c r="P20" s="80"/>
      <c r="Q20" s="59" t="str">
        <f t="shared" ref="Q20" si="13">IF(ISBLANK(P20)," ",IF(ISTEXT(P20)," ",IF(P20&lt;=$H$16,"МСМК",IF(P20&lt;=$H$17,"МС",IF(P20&lt;=$H$18,"КМС",IF(P20&lt;=$H$19,"I",IF(P20&lt;=$H$20,"II",IF(P20&lt;=$H$21,"III",IF(P20&lt;=$H$22,"I юн",IF(P20&lt;=$H$23,"II юн",IF(P20&lt;=$H$24,"III юн","б/р")))))))))))</f>
        <v xml:space="preserve"> </v>
      </c>
    </row>
    <row r="21" spans="3:17" x14ac:dyDescent="0.3">
      <c r="C21" s="86"/>
      <c r="D21" s="36"/>
      <c r="E21" s="36"/>
      <c r="F21" s="86"/>
      <c r="G21" s="86"/>
      <c r="H21" s="74">
        <v>21.8</v>
      </c>
      <c r="I21" s="59" t="str">
        <f>IF(ISBLANK(H21)," ",IF(ISTEXT(H21)," ",IF(H21&lt;=Нормативы!$H$16,"МСМК",IF(H21&lt;=Нормативы!$H$17,"МС",IF(H21&lt;=Нормативы!$H$18,"КМС",IF(H21&lt;=Нормативы!$H$19,"I",IF(H21&lt;=Нормативы!$H$20,"II",IF(H21&lt;=Нормативы!$H$21,"III",IF(H21&lt;=Нормативы!$H$22,"I юн",IF(H21&lt;=Нормативы!$H$23,"II юн",IF(H21&lt;=Нормативы!$H$24,"III юн","б/р")))))))))))</f>
        <v>III</v>
      </c>
      <c r="J21" s="59" t="str">
        <f>IF(ISBLANK(H21)," ",IF(ISTEXT(H21)," ",IF(H21&lt;=Нормативы!$H$16,"МСМК",IF(H21&lt;=Нормативы!$H$17,"МС",IF(H21&lt;=Нормативы!$H$18,"КМС",IF(H21&lt;=Нормативы!$H$19,"I",IF(H21&lt;=Нормативы!$H$20,"II",IF(H21&lt;=Нормативы!$H$21,"III",IF(H21&lt;=Нормативы!$H$22,"I юн",IF(H21&lt;=Нормативы!$H$23,"II юн",IF(H21&lt;=Нормативы!$H$24,"III юн","б/р")))))))))))</f>
        <v>III</v>
      </c>
      <c r="K21" s="75"/>
      <c r="L21" s="74">
        <f t="shared" si="3"/>
        <v>21.6</v>
      </c>
      <c r="M21" s="59" t="str">
        <f>IF(ISBLANK(L21)," ",IF(ISTEXT(L21)," ",IF(L21&lt;=Нормативы!$H$16,"КМС",IF(L21&lt;=Нормативы!$H$17,"КМС",IF(L21&lt;=Нормативы!$L$18,"КМС",IF(L21&lt;=Нормативы!$L$19,"I",IF(L21&lt;=Нормативы!$L$20,"II",IF(L21&lt;=Нормативы!$L$21,"III",IF(L21&lt;=Нормативы!$L$22,"I юн",IF(L21&lt;=Нормативы!$L$23,"II юн",IF(L21&lt;=Нормативы!$L$24,"III юн","б/р")))))))))))</f>
        <v>III</v>
      </c>
      <c r="N21" s="59" t="str">
        <f>IF(ISBLANK(L21)," ",IF(ISTEXT(L21)," ",IF(L21&lt;=Нормативы!$H$16,"КМС",IF(L21&lt;=Нормативы!$H$17,"КМС",IF(L21&lt;=Нормативы!$L$18,"КМС",IF(L21&lt;=Нормативы!$L$19,"I",IF(L21&lt;=Нормативы!$L$20,"II",IF(L21&lt;=Нормативы!$L$21,"III",IF(L21&lt;=Нормативы!$L$22,"I юн",IF(L21&lt;=Нормативы!$L$23,"II юн",IF(L21&lt;=Нормативы!$L$24,"III юн","б/р")))))))))))</f>
        <v>III</v>
      </c>
      <c r="O21" s="79"/>
      <c r="P21" s="80"/>
      <c r="Q21" s="59" t="str">
        <f t="shared" ref="Q21" si="14">IF(ISBLANK(P21)," ",IF(ISTEXT(P21)," ",IF(P21&lt;=$H$16,"МСМК",IF(P21&lt;=$H$17,"МС",IF(P21&lt;=$H$18,"КМС",IF(P21&lt;=$H$19,"I",IF(P21&lt;=$H$20,"II",IF(P21&lt;=$H$21,"III",IF(P21&lt;=$H$22,"I юн",IF(P21&lt;=$H$23,"II юн",IF(P21&lt;=$H$24,"III юн","б/р")))))))))))</f>
        <v xml:space="preserve"> </v>
      </c>
    </row>
    <row r="22" spans="3:17" x14ac:dyDescent="0.3">
      <c r="C22" s="86"/>
      <c r="D22" s="36"/>
      <c r="E22" s="36"/>
      <c r="F22" s="86"/>
      <c r="G22" s="86"/>
      <c r="H22" s="74">
        <v>24</v>
      </c>
      <c r="I22" s="59" t="str">
        <f>IF(ISBLANK(H22)," ",IF(ISTEXT(H22)," ",IF(H22&lt;=Нормативы!$H$16,"МСМК",IF(H22&lt;=Нормативы!$H$17,"МС",IF(H22&lt;=Нормативы!$H$18,"КМС",IF(H22&lt;=Нормативы!$H$19,"I",IF(H22&lt;=Нормативы!$H$20,"II",IF(H22&lt;=Нормативы!$H$21,"III",IF(H22&lt;=Нормативы!$H$22,"I юн",IF(H22&lt;=Нормативы!$H$23,"II юн",IF(H22&lt;=Нормативы!$H$24,"III юн","б/р")))))))))))</f>
        <v>I юн</v>
      </c>
      <c r="J22" s="59" t="str">
        <f>IF(ISBLANK(H22)," ",IF(ISTEXT(H22)," ",IF(H22&lt;=Нормативы!$H$16,"МСМК",IF(H22&lt;=Нормативы!$H$17,"МС",IF(H22&lt;=Нормативы!$H$18,"КМС",IF(H22&lt;=Нормативы!$H$19,"I",IF(H22&lt;=Нормативы!$H$20,"II",IF(H22&lt;=Нормативы!$H$21,"III",IF(H22&lt;=Нормативы!$H$22,"I юн",IF(H22&lt;=Нормативы!$H$23,"II юн",IF(H22&lt;=Нормативы!$H$24,"III юн","б/р")))))))))))</f>
        <v>I юн</v>
      </c>
      <c r="K22" s="75"/>
      <c r="L22" s="74">
        <f t="shared" si="3"/>
        <v>23.8</v>
      </c>
      <c r="M22" s="59" t="str">
        <f>IF(ISBLANK(L22)," ",IF(ISTEXT(L22)," ",IF(L22&lt;=Нормативы!$H$16,"КМС",IF(L22&lt;=Нормативы!$H$17,"КМС",IF(L22&lt;=Нормативы!$L$18,"КМС",IF(L22&lt;=Нормативы!$L$19,"I",IF(L22&lt;=Нормативы!$L$20,"II",IF(L22&lt;=Нормативы!$L$21,"III",IF(L22&lt;=Нормативы!$L$22,"I юн",IF(L22&lt;=Нормативы!$L$23,"II юн",IF(L22&lt;=Нормативы!$L$24,"III юн","б/р")))))))))))</f>
        <v>I юн</v>
      </c>
      <c r="N22" s="59" t="str">
        <f>IF(ISBLANK(L22)," ",IF(ISTEXT(L22)," ",IF(L22&lt;=Нормативы!$H$16,"КМС",IF(L22&lt;=Нормативы!$H$17,"КМС",IF(L22&lt;=Нормативы!$L$18,"КМС",IF(L22&lt;=Нормативы!$L$19,"I",IF(L22&lt;=Нормативы!$L$20,"II",IF(L22&lt;=Нормативы!$L$21,"III",IF(L22&lt;=Нормативы!$L$22,"I юн",IF(L22&lt;=Нормативы!$L$23,"II юн",IF(L22&lt;=Нормативы!$L$24,"III юн","б/р")))))))))))</f>
        <v>I юн</v>
      </c>
      <c r="O22" s="79"/>
      <c r="P22" s="80"/>
      <c r="Q22" s="59" t="str">
        <f t="shared" ref="Q22" si="15">IF(ISBLANK(P22)," ",IF(ISTEXT(P22)," ",IF(P22&lt;=$H$16,"МСМК",IF(P22&lt;=$H$17,"МС",IF(P22&lt;=$H$18,"КМС",IF(P22&lt;=$H$19,"I",IF(P22&lt;=$H$20,"II",IF(P22&lt;=$H$21,"III",IF(P22&lt;=$H$22,"I юн",IF(P22&lt;=$H$23,"II юн",IF(P22&lt;=$H$24,"III юн","б/р")))))))))))</f>
        <v xml:space="preserve"> </v>
      </c>
    </row>
    <row r="23" spans="3:17" x14ac:dyDescent="0.3">
      <c r="C23" s="86"/>
      <c r="D23" s="36"/>
      <c r="E23" s="36"/>
      <c r="F23" s="86"/>
      <c r="G23" s="86"/>
      <c r="H23" s="74">
        <v>26.2</v>
      </c>
      <c r="I23" s="59" t="str">
        <f>IF(ISBLANK(H23)," ",IF(ISTEXT(H23)," ",IF(H23&lt;=Нормативы!$H$16,"МСМК",IF(H23&lt;=Нормативы!$H$17,"МС",IF(H23&lt;=Нормативы!$H$18,"КМС",IF(H23&lt;=Нормативы!$H$19,"I",IF(H23&lt;=Нормативы!$H$20,"II",IF(H23&lt;=Нормативы!$H$21,"III",IF(H23&lt;=Нормативы!$H$22,"I юн",IF(H23&lt;=Нормативы!$H$23,"II юн",IF(H23&lt;=Нормативы!$H$24,"III юн","б/р")))))))))))</f>
        <v>II юн</v>
      </c>
      <c r="J23" s="59" t="str">
        <f>IF(ISBLANK(H23)," ",IF(ISTEXT(H23)," ",IF(H23&lt;=Нормативы!$H$16,"МСМК",IF(H23&lt;=Нормативы!$H$17,"МС",IF(H23&lt;=Нормативы!$H$18,"КМС",IF(H23&lt;=Нормативы!$H$19,"I",IF(H23&lt;=Нормативы!$H$20,"II",IF(H23&lt;=Нормативы!$H$21,"III",IF(H23&lt;=Нормативы!$H$22,"I юн",IF(H23&lt;=Нормативы!$H$23,"II юн",IF(H23&lt;=Нормативы!$H$24,"III юн","б/р")))))))))))</f>
        <v>II юн</v>
      </c>
      <c r="K23" s="75"/>
      <c r="L23" s="74">
        <f t="shared" si="3"/>
        <v>26</v>
      </c>
      <c r="M23" s="59" t="str">
        <f>IF(ISBLANK(L23)," ",IF(ISTEXT(L23)," ",IF(L23&lt;=Нормативы!$H$16,"КМС",IF(L23&lt;=Нормативы!$H$17,"КМС",IF(L23&lt;=Нормативы!$L$18,"КМС",IF(L23&lt;=Нормативы!$L$19,"I",IF(L23&lt;=Нормативы!$L$20,"II",IF(L23&lt;=Нормативы!$L$21,"III",IF(L23&lt;=Нормативы!$L$22,"I юн",IF(L23&lt;=Нормативы!$L$23,"II юн",IF(L23&lt;=Нормативы!$L$24,"III юн","б/р")))))))))))</f>
        <v>II юн</v>
      </c>
      <c r="N23" s="59" t="str">
        <f>IF(ISBLANK(L23)," ",IF(ISTEXT(L23)," ",IF(L23&lt;=Нормативы!$H$16,"КМС",IF(L23&lt;=Нормативы!$H$17,"КМС",IF(L23&lt;=Нормативы!$L$18,"КМС",IF(L23&lt;=Нормативы!$L$19,"I",IF(L23&lt;=Нормативы!$L$20,"II",IF(L23&lt;=Нормативы!$L$21,"III",IF(L23&lt;=Нормативы!$L$22,"I юн",IF(L23&lt;=Нормативы!$L$23,"II юн",IF(L23&lt;=Нормативы!$L$24,"III юн","б/р")))))))))))</f>
        <v>II юн</v>
      </c>
      <c r="O23" s="79"/>
      <c r="P23" s="80"/>
      <c r="Q23" s="59" t="str">
        <f t="shared" ref="Q23" si="16">IF(ISBLANK(P23)," ",IF(ISTEXT(P23)," ",IF(P23&lt;=$H$16,"МСМК",IF(P23&lt;=$H$17,"МС",IF(P23&lt;=$H$18,"КМС",IF(P23&lt;=$H$19,"I",IF(P23&lt;=$H$20,"II",IF(P23&lt;=$H$21,"III",IF(P23&lt;=$H$22,"I юн",IF(P23&lt;=$H$23,"II юн",IF(P23&lt;=$H$24,"III юн","б/р")))))))))))</f>
        <v xml:space="preserve"> </v>
      </c>
    </row>
    <row r="24" spans="3:17" x14ac:dyDescent="0.3">
      <c r="C24" s="86"/>
      <c r="D24" s="36"/>
      <c r="E24" s="36"/>
      <c r="F24" s="86"/>
      <c r="G24" s="86"/>
      <c r="H24" s="74">
        <v>28.2</v>
      </c>
      <c r="I24" s="59" t="str">
        <f>IF(ISBLANK(H24)," ",IF(ISTEXT(H24)," ",IF(H24&lt;=Нормативы!$H$16,"МСМК",IF(H24&lt;=Нормативы!$H$17,"МС",IF(H24&lt;=Нормативы!$H$18,"КМС",IF(H24&lt;=Нормативы!$H$19,"I",IF(H24&lt;=Нормативы!$H$20,"II",IF(H24&lt;=Нормативы!$H$21,"III",IF(H24&lt;=Нормативы!$H$22,"I юн",IF(H24&lt;=Нормативы!$H$23,"II юн",IF(H24&lt;=Нормативы!$H$24,"III юн","б/р")))))))))))</f>
        <v>III юн</v>
      </c>
      <c r="J24" s="59" t="str">
        <f>IF(ISBLANK(H24)," ",IF(ISTEXT(H24)," ",IF(H24&lt;=Нормативы!$H$16,"МСМК",IF(H24&lt;=Нормативы!$H$17,"МС",IF(H24&lt;=Нормативы!$H$18,"КМС",IF(H24&lt;=Нормативы!$H$19,"I",IF(H24&lt;=Нормативы!$H$20,"II",IF(H24&lt;=Нормативы!$H$21,"III",IF(H24&lt;=Нормативы!$H$22,"I юн",IF(H24&lt;=Нормативы!$H$23,"II юн",IF(H24&lt;=Нормативы!$H$24,"III юн","б/р")))))))))))</f>
        <v>III юн</v>
      </c>
      <c r="K24" s="75"/>
      <c r="L24" s="74">
        <f t="shared" si="3"/>
        <v>28</v>
      </c>
      <c r="M24" s="59" t="str">
        <f>IF(ISBLANK(L24)," ",IF(ISTEXT(L24)," ",IF(L24&lt;=Нормативы!$H$16,"КМС",IF(L24&lt;=Нормативы!$H$17,"КМС",IF(L24&lt;=Нормативы!$L$18,"КМС",IF(L24&lt;=Нормативы!$L$19,"I",IF(L24&lt;=Нормативы!$L$20,"II",IF(L24&lt;=Нормативы!$L$21,"III",IF(L24&lt;=Нормативы!$L$22,"I юн",IF(L24&lt;=Нормативы!$L$23,"II юн",IF(L24&lt;=Нормативы!$L$24,"III юн","б/р")))))))))))</f>
        <v>III юн</v>
      </c>
      <c r="N24" s="59" t="str">
        <f>IF(ISBLANK(L24)," ",IF(ISTEXT(L24)," ",IF(L24&lt;=Нормативы!$H$16,"КМС",IF(L24&lt;=Нормативы!$H$17,"КМС",IF(L24&lt;=Нормативы!$L$18,"КМС",IF(L24&lt;=Нормативы!$L$19,"I",IF(L24&lt;=Нормативы!$L$20,"II",IF(L24&lt;=Нормативы!$L$21,"III",IF(L24&lt;=Нормативы!$L$22,"I юн",IF(L24&lt;=Нормативы!$L$23,"II юн",IF(L24&lt;=Нормативы!$L$24,"III юн","б/р")))))))))))</f>
        <v>III юн</v>
      </c>
      <c r="O24" s="79"/>
      <c r="P24" s="80"/>
      <c r="Q24" s="59" t="str">
        <f t="shared" ref="Q24" si="17">IF(ISBLANK(P24)," ",IF(ISTEXT(P24)," ",IF(P24&lt;=$H$16,"МСМК",IF(P24&lt;=$H$17,"МС",IF(P24&lt;=$H$18,"КМС",IF(P24&lt;=$H$19,"I",IF(P24&lt;=$H$20,"II",IF(P24&lt;=$H$21,"III",IF(P24&lt;=$H$22,"I юн",IF(P24&lt;=$H$23,"II юн",IF(P24&lt;=$H$24,"III юн","б/р")))))))))))</f>
        <v xml:space="preserve"> </v>
      </c>
    </row>
    <row r="25" spans="3:17" x14ac:dyDescent="0.3">
      <c r="C25" s="43"/>
      <c r="D25" s="43"/>
      <c r="E25" s="43"/>
      <c r="F25" s="43"/>
      <c r="G25" s="43"/>
      <c r="H25" s="71"/>
      <c r="I25" s="43"/>
      <c r="J25" s="43"/>
      <c r="K25" s="75"/>
      <c r="L25" s="43"/>
      <c r="M25" s="43"/>
      <c r="N25" s="43"/>
      <c r="O25" s="80"/>
      <c r="P25" s="80"/>
      <c r="Q25" s="43"/>
    </row>
    <row r="26" spans="3:17" x14ac:dyDescent="0.3">
      <c r="C26" s="68" t="s">
        <v>60</v>
      </c>
      <c r="D26" s="43"/>
      <c r="E26" s="43"/>
      <c r="F26" s="43"/>
      <c r="G26" s="43"/>
      <c r="H26" s="42"/>
      <c r="I26" s="43"/>
      <c r="J26" s="43"/>
      <c r="K26" s="84"/>
      <c r="L26" s="43"/>
      <c r="M26" s="43"/>
      <c r="N26" s="43"/>
      <c r="Q26" s="43"/>
    </row>
    <row r="27" spans="3:17" x14ac:dyDescent="0.3">
      <c r="C27" s="43"/>
      <c r="D27" s="43"/>
      <c r="E27" s="43"/>
      <c r="F27" s="43"/>
      <c r="G27" s="43"/>
      <c r="H27" s="71">
        <v>22</v>
      </c>
      <c r="I27" s="59" t="str">
        <f>IF(ISBLANK(H27)," ",IF(ISTEXT(H27)," ",IF(H27&lt;=Нормативы!$H$27,"МСМК",IF(H27&lt;=Нормативы!$H$28,"МС",IF(H27&lt;=Нормативы!$H$29,"КМС",IF(H27&lt;=Нормативы!$H$30,"I",IF(H27&lt;=Нормативы!$H$31,"II",IF(H27&lt;=Нормативы!$H$32,"III",IF(H27&lt;=Нормативы!$H$33,"I юн",IF(H27&lt;=Нормативы!$H$34,"II юн",IF(H27&lt;=Нормативы!$H$35,"III юн","б/р")))))))))))</f>
        <v>МСМК</v>
      </c>
      <c r="J27" s="59" t="str">
        <f>IF(ISBLANK(H27)," ",IF(ISTEXT(H27)," ",IF(H27&lt;=Нормативы!$H$27,"МСМК",IF(H27&lt;=Нормативы!$H$28,"МС",IF(H27&lt;=Нормативы!$H$29,"КМС",IF(H27&lt;=Нормативы!$H$30,"I",IF(H27&lt;=Нормативы!$H$31,"II",IF(H27&lt;=Нормативы!$H$32,"III",IF(H27&lt;=Нормативы!$H$33,"I юн",IF(H27&lt;=Нормативы!$H$34,"II юн",IF(H27&lt;=Нормативы!$H$35,"III юн","б/р")))))))))))</f>
        <v>МСМК</v>
      </c>
      <c r="K27" s="75"/>
      <c r="L27" s="71"/>
      <c r="M27" s="59" t="str">
        <f>IF(ISBLANK(L27)," ",IF(ISTEXT(L27)," ",IF(L27&lt;=Нормативы!$H$27,"КМС",IF(L27&lt;=Нормативы!$H$28,"КМС",IF(L27&lt;=Нормативы!$L$29,"КМС",IF(L27&lt;=Нормативы!$L$30,"I",IF(L27&lt;=Нормативы!$L$31,"II",IF(L27&lt;=Нормативы!$L$32,"III",IF(L27&lt;=Нормативы!$L$33,"I юн",IF(L27&lt;=Нормативы!$L$34,"II юн",IF(L27&lt;=Нормативы!$L$35,"III юн","б/р")))))))))))</f>
        <v xml:space="preserve"> </v>
      </c>
      <c r="N27" s="59" t="str">
        <f>IF(ISBLANK(L27)," ",IF(ISTEXT(L27)," ",IF(L27&lt;=22.3,"МСМК",IF(L27&lt;=23.7,"МС",IF(L27&lt;=24.6,"КМС",IF(L27&lt;=26.4,"I",IF(L27&lt;=28,"II",IF(L27&lt;=30.5,"III",IF(L27&lt;=33.5,"I юн",IF(L27&lt;=36.7,"II юн",IF(L27&lt;=39.8,"III юн","б/р")))))))))))</f>
        <v xml:space="preserve"> </v>
      </c>
      <c r="O27" s="77"/>
      <c r="Q27" s="59" t="str">
        <f>IF(ISBLANK(P27)," ",IF(ISTEXT(P27)," ",IF(P27&lt;=$H$27,"МСМК",IF(P27&lt;=$H$28,"МС",IF(P27&lt;=$H$29,"КМС",IF(P27&lt;=$H$30,"I",IF(P27&lt;=$H$31,"II",IF(P27&lt;=$H$32,"III",IF(P27&lt;=$H$33,"I юн",IF(P27&lt;=$H$34,"II юн",IF(P27&lt;=$H$35,"III юн","б/р")))))))))))</f>
        <v xml:space="preserve"> </v>
      </c>
    </row>
    <row r="28" spans="3:17" x14ac:dyDescent="0.3">
      <c r="C28" s="43"/>
      <c r="D28" s="43"/>
      <c r="E28" s="43"/>
      <c r="F28" s="43"/>
      <c r="G28" s="43"/>
      <c r="H28" s="71">
        <v>23.2</v>
      </c>
      <c r="I28" s="59" t="str">
        <f>IF(ISBLANK(H28)," ",IF(ISTEXT(H28)," ",IF(H28&lt;=Нормативы!$H$27,"МСМК",IF(H28&lt;=Нормативы!$H$28,"МС",IF(H28&lt;=Нормативы!$H$29,"КМС",IF(H28&lt;=Нормативы!$H$30,"I",IF(H28&lt;=Нормативы!$H$31,"II",IF(H28&lt;=Нормативы!$H$32,"III",IF(H28&lt;=Нормативы!$H$33,"I юн",IF(H28&lt;=Нормативы!$H$34,"II юн",IF(H28&lt;=Нормативы!$H$35,"III юн","б/р")))))))))))</f>
        <v>МС</v>
      </c>
      <c r="J28" s="59" t="str">
        <f>IF(ISBLANK(H28)," ",IF(ISTEXT(H28)," ",IF(H28&lt;=Нормативы!$H$27,"МСМК",IF(H28&lt;=Нормативы!$H$28,"МС",IF(H28&lt;=Нормативы!$H$29,"КМС",IF(H28&lt;=Нормативы!$H$30,"I",IF(H28&lt;=Нормативы!$H$31,"II",IF(H28&lt;=Нормативы!$H$32,"III",IF(H28&lt;=Нормативы!$H$33,"I юн",IF(H28&lt;=Нормативы!$H$34,"II юн",IF(H28&lt;=Нормативы!$H$35,"III юн","б/р")))))))))))</f>
        <v>МС</v>
      </c>
      <c r="K28" s="75"/>
      <c r="L28" s="71"/>
      <c r="M28" s="59" t="str">
        <f>IF(ISBLANK(L28)," ",IF(ISTEXT(L28)," ",IF(L28&lt;=Нормативы!$H$27,"КМС",IF(L28&lt;=Нормативы!$H$28,"КМС",IF(L28&lt;=Нормативы!$L$29,"КМС",IF(L28&lt;=Нормативы!$L$30,"I",IF(L28&lt;=Нормативы!$L$31,"II",IF(L28&lt;=Нормативы!$L$32,"III",IF(L28&lt;=Нормативы!$L$33,"I юн",IF(L28&lt;=Нормативы!$L$34,"II юн",IF(L28&lt;=Нормативы!$L$35,"III юн","б/р")))))))))))</f>
        <v xml:space="preserve"> </v>
      </c>
      <c r="N28" s="59" t="str">
        <f>IF(ISBLANK(L28)," ",IF(ISTEXT(L28)," ",IF(L28&lt;=22.3,"МСМК",IF(L28&lt;=23.7,"МС",IF(L28&lt;=24.6,"КМС",IF(L28&lt;=26.4,"I",IF(L28&lt;=28,"II",IF(L28&lt;=30.5,"III",IF(L28&lt;=33.5,"I юн",IF(L28&lt;=36.7,"II юн",IF(L28&lt;=39.8,"III юн","б/р")))))))))))</f>
        <v xml:space="preserve"> </v>
      </c>
      <c r="O28" s="77"/>
      <c r="Q28" s="59" t="str">
        <f t="shared" ref="Q28" si="18">IF(ISBLANK(P28)," ",IF(ISTEXT(P28)," ",IF(P28&lt;=$H$27,"МСМК",IF(P28&lt;=$H$28,"МС",IF(P28&lt;=$H$29,"КМС",IF(P28&lt;=$H$30,"I",IF(P28&lt;=$H$31,"II",IF(P28&lt;=$H$32,"III",IF(P28&lt;=$H$33,"I юн",IF(P28&lt;=$H$34,"II юн",IF(P28&lt;=$H$35,"III юн","б/р")))))))))))</f>
        <v xml:space="preserve"> </v>
      </c>
    </row>
    <row r="29" spans="3:17" x14ac:dyDescent="0.3">
      <c r="C29" s="43"/>
      <c r="D29" s="43"/>
      <c r="E29" s="43"/>
      <c r="F29" s="43"/>
      <c r="G29" s="43"/>
      <c r="H29" s="71">
        <v>24.5</v>
      </c>
      <c r="I29" s="59" t="str">
        <f>IF(ISBLANK(H29)," ",IF(ISTEXT(H29)," ",IF(H29&lt;=Нормативы!$H$27,"МСМК",IF(H29&lt;=Нормативы!$H$28,"МС",IF(H29&lt;=Нормативы!$H$29,"КМС",IF(H29&lt;=Нормативы!$H$30,"I",IF(H29&lt;=Нормативы!$H$31,"II",IF(H29&lt;=Нормативы!$H$32,"III",IF(H29&lt;=Нормативы!$H$33,"I юн",IF(H29&lt;=Нормативы!$H$34,"II юн",IF(H29&lt;=Нормативы!$H$35,"III юн","б/р")))))))))))</f>
        <v>КМС</v>
      </c>
      <c r="J29" s="59" t="str">
        <f>IF(ISBLANK(H29)," ",IF(ISTEXT(H29)," ",IF(H29&lt;=Нормативы!$H$27,"МСМК",IF(H29&lt;=Нормативы!$H$28,"МС",IF(H29&lt;=Нормативы!$H$29,"КМС",IF(H29&lt;=Нормативы!$H$30,"I",IF(H29&lt;=Нормативы!$H$31,"II",IF(H29&lt;=Нормативы!$H$32,"III",IF(H29&lt;=Нормативы!$H$33,"I юн",IF(H29&lt;=Нормативы!$H$34,"II юн",IF(H29&lt;=Нормативы!$H$35,"III юн","б/р")))))))))))</f>
        <v>КМС</v>
      </c>
      <c r="K29" s="75"/>
      <c r="L29" s="74">
        <f t="shared" ref="L29:L35" si="19">H29-0.2</f>
        <v>24.3</v>
      </c>
      <c r="M29" s="59" t="str">
        <f>IF(ISBLANK(L29)," ",IF(ISTEXT(L29)," ",IF(L29&lt;=Нормативы!$H$27,"КМС",IF(L29&lt;=Нормативы!$H$28,"КМС",IF(L29&lt;=Нормативы!$L$29,"КМС",IF(L29&lt;=Нормативы!$L$30,"I",IF(L29&lt;=Нормативы!$L$31,"II",IF(L29&lt;=Нормативы!$L$32,"III",IF(L29&lt;=Нормативы!$L$33,"I юн",IF(L29&lt;=Нормативы!$L$34,"II юн",IF(L29&lt;=Нормативы!$L$35,"III юн","б/р")))))))))))</f>
        <v>КМС</v>
      </c>
      <c r="N29" s="59" t="str">
        <f>IF(ISBLANK(L29)," ",IF(ISTEXT(L29)," ",IF(L29&lt;=Нормативы!$H$27,"КМС",IF(L29&lt;=Нормативы!$H$28,"КМС",IF(L29&lt;=Нормативы!$L$29,"КМС",IF(L29&lt;=Нормативы!$L$30,"I",IF(L29&lt;=Нормативы!$L$31,"II",IF(L29&lt;=Нормативы!$L$32,"III",IF(L29&lt;=Нормативы!$L$33,"I юн",IF(L29&lt;=Нормативы!$L$34,"II юн",IF(L29&lt;=Нормативы!$L$35,"III юн","б/р")))))))))))</f>
        <v>КМС</v>
      </c>
      <c r="O29" s="59"/>
      <c r="Q29" s="59" t="str">
        <f t="shared" ref="Q29" si="20">IF(ISBLANK(P29)," ",IF(ISTEXT(P29)," ",IF(P29&lt;=$H$27,"МСМК",IF(P29&lt;=$H$28,"МС",IF(P29&lt;=$H$29,"КМС",IF(P29&lt;=$H$30,"I",IF(P29&lt;=$H$31,"II",IF(P29&lt;=$H$32,"III",IF(P29&lt;=$H$33,"I юн",IF(P29&lt;=$H$34,"II юн",IF(P29&lt;=$H$35,"III юн","б/р")))))))))))</f>
        <v xml:space="preserve"> </v>
      </c>
    </row>
    <row r="30" spans="3:17" x14ac:dyDescent="0.3">
      <c r="C30" s="43"/>
      <c r="D30" s="43"/>
      <c r="E30" s="43"/>
      <c r="F30" s="43"/>
      <c r="G30" s="43"/>
      <c r="H30" s="71">
        <v>26.2</v>
      </c>
      <c r="I30" s="59" t="str">
        <f>IF(ISBLANK(H30)," ",IF(ISTEXT(H30)," ",IF(H30&lt;=Нормативы!$H$27,"МСМК",IF(H30&lt;=Нормативы!$H$28,"МС",IF(H30&lt;=Нормативы!$H$29,"КМС",IF(H30&lt;=Нормативы!$H$30,"I",IF(H30&lt;=Нормативы!$H$31,"II",IF(H30&lt;=Нормативы!$H$32,"III",IF(H30&lt;=Нормативы!$H$33,"I юн",IF(H30&lt;=Нормативы!$H$34,"II юн",IF(H30&lt;=Нормативы!$H$35,"III юн","б/р")))))))))))</f>
        <v>I</v>
      </c>
      <c r="J30" s="59" t="str">
        <f>IF(ISBLANK(H30)," ",IF(ISTEXT(H30)," ",IF(H30&lt;=Нормативы!$H$27,"МСМК",IF(H30&lt;=Нормативы!$H$28,"МС",IF(H30&lt;=Нормативы!$H$29,"КМС",IF(H30&lt;=Нормативы!$H$30,"I",IF(H30&lt;=Нормативы!$H$31,"II",IF(H30&lt;=Нормативы!$H$32,"III",IF(H30&lt;=Нормативы!$H$33,"I юн",IF(H30&lt;=Нормативы!$H$34,"II юн",IF(H30&lt;=Нормативы!$H$35,"III юн","б/р")))))))))))</f>
        <v>I</v>
      </c>
      <c r="K30" s="75"/>
      <c r="L30" s="74">
        <f t="shared" si="19"/>
        <v>26</v>
      </c>
      <c r="M30" s="59" t="str">
        <f>IF(ISBLANK(L30)," ",IF(ISTEXT(L30)," ",IF(L30&lt;=Нормативы!$H$27,"КМС",IF(L30&lt;=Нормативы!$H$28,"КМС",IF(L30&lt;=Нормативы!$L$29,"КМС",IF(L30&lt;=Нормативы!$L$30,"I",IF(L30&lt;=Нормативы!$L$31,"II",IF(L30&lt;=Нормативы!$L$32,"III",IF(L30&lt;=Нормативы!$L$33,"I юн",IF(L30&lt;=Нормативы!$L$34,"II юн",IF(L30&lt;=Нормативы!$L$35,"III юн","б/р")))))))))))</f>
        <v>I</v>
      </c>
      <c r="N30" s="59" t="str">
        <f>IF(ISBLANK(L30)," ",IF(ISTEXT(L30)," ",IF(L30&lt;=Нормативы!$H$27,"КМС",IF(L30&lt;=Нормативы!$H$28,"КМС",IF(L30&lt;=Нормативы!$L$29,"КМС",IF(L30&lt;=Нормативы!$L$30,"I",IF(L30&lt;=Нормативы!$L$31,"II",IF(L30&lt;=Нормативы!$L$32,"III",IF(L30&lt;=Нормативы!$L$33,"I юн",IF(L30&lt;=Нормативы!$L$34,"II юн",IF(L30&lt;=Нормативы!$L$35,"III юн","б/р")))))))))))</f>
        <v>I</v>
      </c>
      <c r="O30" s="59"/>
      <c r="Q30" s="59" t="str">
        <f t="shared" ref="Q30" si="21">IF(ISBLANK(P30)," ",IF(ISTEXT(P30)," ",IF(P30&lt;=$H$27,"МСМК",IF(P30&lt;=$H$28,"МС",IF(P30&lt;=$H$29,"КМС",IF(P30&lt;=$H$30,"I",IF(P30&lt;=$H$31,"II",IF(P30&lt;=$H$32,"III",IF(P30&lt;=$H$33,"I юн",IF(P30&lt;=$H$34,"II юн",IF(P30&lt;=$H$35,"III юн","б/р")))))))))))</f>
        <v xml:space="preserve"> </v>
      </c>
    </row>
    <row r="31" spans="3:17" x14ac:dyDescent="0.3">
      <c r="C31" s="43"/>
      <c r="D31" s="43"/>
      <c r="E31" s="43"/>
      <c r="F31" s="43"/>
      <c r="G31" s="43"/>
      <c r="H31" s="71">
        <v>27.7</v>
      </c>
      <c r="I31" s="59" t="str">
        <f>IF(ISBLANK(H31)," ",IF(ISTEXT(H31)," ",IF(H31&lt;=Нормативы!$H$27,"МСМК",IF(H31&lt;=Нормативы!$H$28,"МС",IF(H31&lt;=Нормативы!$H$29,"КМС",IF(H31&lt;=Нормативы!$H$30,"I",IF(H31&lt;=Нормативы!$H$31,"II",IF(H31&lt;=Нормативы!$H$32,"III",IF(H31&lt;=Нормативы!$H$33,"I юн",IF(H31&lt;=Нормативы!$H$34,"II юн",IF(H31&lt;=Нормативы!$H$35,"III юн","б/р")))))))))))</f>
        <v>II</v>
      </c>
      <c r="J31" s="59" t="str">
        <f>IF(ISBLANK(H31)," ",IF(ISTEXT(H31)," ",IF(H31&lt;=Нормативы!$H$27,"МСМК",IF(H31&lt;=Нормативы!$H$28,"МС",IF(H31&lt;=Нормативы!$H$29,"КМС",IF(H31&lt;=Нормативы!$H$30,"I",IF(H31&lt;=Нормативы!$H$31,"II",IF(H31&lt;=Нормативы!$H$32,"III",IF(H31&lt;=Нормативы!$H$33,"I юн",IF(H31&lt;=Нормативы!$H$34,"II юн",IF(H31&lt;=Нормативы!$H$35,"III юн","б/р")))))))))))</f>
        <v>II</v>
      </c>
      <c r="K31" s="75"/>
      <c r="L31" s="74">
        <f t="shared" si="19"/>
        <v>27.5</v>
      </c>
      <c r="M31" s="59" t="str">
        <f>IF(ISBLANK(L31)," ",IF(ISTEXT(L31)," ",IF(L31&lt;=Нормативы!$H$27,"КМС",IF(L31&lt;=Нормативы!$H$28,"КМС",IF(L31&lt;=Нормативы!$L$29,"КМС",IF(L31&lt;=Нормативы!$L$30,"I",IF(L31&lt;=Нормативы!$L$31,"II",IF(L31&lt;=Нормативы!$L$32,"III",IF(L31&lt;=Нормативы!$L$33,"I юн",IF(L31&lt;=Нормативы!$L$34,"II юн",IF(L31&lt;=Нормативы!$L$35,"III юн","б/р")))))))))))</f>
        <v>II</v>
      </c>
      <c r="N31" s="59" t="str">
        <f>IF(ISBLANK(L31)," ",IF(ISTEXT(L31)," ",IF(L31&lt;=Нормативы!$H$27,"КМС",IF(L31&lt;=Нормативы!$H$28,"КМС",IF(L31&lt;=Нормативы!$L$29,"КМС",IF(L31&lt;=Нормативы!$L$30,"I",IF(L31&lt;=Нормативы!$L$31,"II",IF(L31&lt;=Нормативы!$L$32,"III",IF(L31&lt;=Нормативы!$L$33,"I юн",IF(L31&lt;=Нормативы!$L$34,"II юн",IF(L31&lt;=Нормативы!$L$35,"III юн","б/р")))))))))))</f>
        <v>II</v>
      </c>
      <c r="O31" s="59"/>
      <c r="Q31" s="59" t="str">
        <f t="shared" ref="Q31" si="22">IF(ISBLANK(P31)," ",IF(ISTEXT(P31)," ",IF(P31&lt;=$H$27,"МСМК",IF(P31&lt;=$H$28,"МС",IF(P31&lt;=$H$29,"КМС",IF(P31&lt;=$H$30,"I",IF(P31&lt;=$H$31,"II",IF(P31&lt;=$H$32,"III",IF(P31&lt;=$H$33,"I юн",IF(P31&lt;=$H$34,"II юн",IF(P31&lt;=$H$35,"III юн","б/р")))))))))))</f>
        <v xml:space="preserve"> </v>
      </c>
    </row>
    <row r="32" spans="3:17" x14ac:dyDescent="0.3">
      <c r="C32" s="43"/>
      <c r="D32" s="43"/>
      <c r="E32" s="43"/>
      <c r="F32" s="43"/>
      <c r="G32" s="43"/>
      <c r="H32" s="71">
        <v>30.3</v>
      </c>
      <c r="I32" s="59" t="str">
        <f>IF(ISBLANK(H32)," ",IF(ISTEXT(H32)," ",IF(H32&lt;=Нормативы!$H$27,"МСМК",IF(H32&lt;=Нормативы!$H$28,"МС",IF(H32&lt;=Нормативы!$H$29,"КМС",IF(H32&lt;=Нормативы!$H$30,"I",IF(H32&lt;=Нормативы!$H$31,"II",IF(H32&lt;=Нормативы!$H$32,"III",IF(H32&lt;=Нормативы!$H$33,"I юн",IF(H32&lt;=Нормативы!$H$34,"II юн",IF(H32&lt;=Нормативы!$H$35,"III юн","б/р")))))))))))</f>
        <v>III</v>
      </c>
      <c r="J32" s="59" t="str">
        <f>IF(ISBLANK(H32)," ",IF(ISTEXT(H32)," ",IF(H32&lt;=Нормативы!$H$27,"МСМК",IF(H32&lt;=Нормативы!$H$28,"МС",IF(H32&lt;=Нормативы!$H$29,"КМС",IF(H32&lt;=Нормативы!$H$30,"I",IF(H32&lt;=Нормативы!$H$31,"II",IF(H32&lt;=Нормативы!$H$32,"III",IF(H32&lt;=Нормативы!$H$33,"I юн",IF(H32&lt;=Нормативы!$H$34,"II юн",IF(H32&lt;=Нормативы!$H$35,"III юн","б/р")))))))))))</f>
        <v>III</v>
      </c>
      <c r="K32" s="75"/>
      <c r="L32" s="74">
        <f t="shared" si="19"/>
        <v>30.1</v>
      </c>
      <c r="M32" s="59" t="str">
        <f>IF(ISBLANK(L32)," ",IF(ISTEXT(L32)," ",IF(L32&lt;=Нормативы!$H$27,"КМС",IF(L32&lt;=Нормативы!$H$28,"КМС",IF(L32&lt;=Нормативы!$L$29,"КМС",IF(L32&lt;=Нормативы!$L$30,"I",IF(L32&lt;=Нормативы!$L$31,"II",IF(L32&lt;=Нормативы!$L$32,"III",IF(L32&lt;=Нормативы!$L$33,"I юн",IF(L32&lt;=Нормативы!$L$34,"II юн",IF(L32&lt;=Нормативы!$L$35,"III юн","б/р")))))))))))</f>
        <v>III</v>
      </c>
      <c r="N32" s="59" t="str">
        <f>IF(ISBLANK(L32)," ",IF(ISTEXT(L32)," ",IF(L32&lt;=Нормативы!$H$27,"КМС",IF(L32&lt;=Нормативы!$H$28,"КМС",IF(L32&lt;=Нормативы!$L$29,"КМС",IF(L32&lt;=Нормативы!$L$30,"I",IF(L32&lt;=Нормативы!$L$31,"II",IF(L32&lt;=Нормативы!$L$32,"III",IF(L32&lt;=Нормативы!$L$33,"I юн",IF(L32&lt;=Нормативы!$L$34,"II юн",IF(L32&lt;=Нормативы!$L$35,"III юн","б/р")))))))))))</f>
        <v>III</v>
      </c>
      <c r="O32" s="59"/>
      <c r="Q32" s="59" t="str">
        <f t="shared" ref="Q32" si="23">IF(ISBLANK(P32)," ",IF(ISTEXT(P32)," ",IF(P32&lt;=$H$27,"МСМК",IF(P32&lt;=$H$28,"МС",IF(P32&lt;=$H$29,"КМС",IF(P32&lt;=$H$30,"I",IF(P32&lt;=$H$31,"II",IF(P32&lt;=$H$32,"III",IF(P32&lt;=$H$33,"I юн",IF(P32&lt;=$H$34,"II юн",IF(P32&lt;=$H$35,"III юн","б/р")))))))))))</f>
        <v xml:space="preserve"> </v>
      </c>
    </row>
    <row r="33" spans="3:33" x14ac:dyDescent="0.3">
      <c r="C33" s="43"/>
      <c r="D33" s="43"/>
      <c r="E33" s="43"/>
      <c r="F33" s="43"/>
      <c r="G33" s="43"/>
      <c r="H33" s="71">
        <v>33.200000000000003</v>
      </c>
      <c r="I33" s="59" t="str">
        <f>IF(ISBLANK(H33)," ",IF(ISTEXT(H33)," ",IF(H33&lt;=Нормативы!$H$27,"МСМК",IF(H33&lt;=Нормативы!$H$28,"МС",IF(H33&lt;=Нормативы!$H$29,"КМС",IF(H33&lt;=Нормативы!$H$30,"I",IF(H33&lt;=Нормативы!$H$31,"II",IF(H33&lt;=Нормативы!$H$32,"III",IF(H33&lt;=Нормативы!$H$33,"I юн",IF(H33&lt;=Нормативы!$H$34,"II юн",IF(H33&lt;=Нормативы!$H$35,"III юн","б/р")))))))))))</f>
        <v>I юн</v>
      </c>
      <c r="J33" s="59" t="str">
        <f>IF(ISBLANK(H33)," ",IF(ISTEXT(H33)," ",IF(H33&lt;=Нормативы!$H$27,"МСМК",IF(H33&lt;=Нормативы!$H$28,"МС",IF(H33&lt;=Нормативы!$H$29,"КМС",IF(H33&lt;=Нормативы!$H$30,"I",IF(H33&lt;=Нормативы!$H$31,"II",IF(H33&lt;=Нормативы!$H$32,"III",IF(H33&lt;=Нормативы!$H$33,"I юн",IF(H33&lt;=Нормативы!$H$34,"II юн",IF(H33&lt;=Нормативы!$H$35,"III юн","б/р")))))))))))</f>
        <v>I юн</v>
      </c>
      <c r="K33" s="75"/>
      <c r="L33" s="74">
        <f t="shared" si="19"/>
        <v>33</v>
      </c>
      <c r="M33" s="59" t="str">
        <f>IF(ISBLANK(L33)," ",IF(ISTEXT(L33)," ",IF(L33&lt;=Нормативы!$H$27,"КМС",IF(L33&lt;=Нормативы!$H$28,"КМС",IF(L33&lt;=Нормативы!$L$29,"КМС",IF(L33&lt;=Нормативы!$L$30,"I",IF(L33&lt;=Нормативы!$L$31,"II",IF(L33&lt;=Нормативы!$L$32,"III",IF(L33&lt;=Нормативы!$L$33,"I юн",IF(L33&lt;=Нормативы!$L$34,"II юн",IF(L33&lt;=Нормативы!$L$35,"III юн","б/р")))))))))))</f>
        <v>I юн</v>
      </c>
      <c r="N33" s="59" t="str">
        <f>IF(ISBLANK(L33)," ",IF(ISTEXT(L33)," ",IF(L33&lt;=Нормативы!$H$27,"КМС",IF(L33&lt;=Нормативы!$H$28,"КМС",IF(L33&lt;=Нормативы!$L$29,"КМС",IF(L33&lt;=Нормативы!$L$30,"I",IF(L33&lt;=Нормативы!$L$31,"II",IF(L33&lt;=Нормативы!$L$32,"III",IF(L33&lt;=Нормативы!$L$33,"I юн",IF(L33&lt;=Нормативы!$L$34,"II юн",IF(L33&lt;=Нормативы!$L$35,"III юн","б/р")))))))))))</f>
        <v>I юн</v>
      </c>
      <c r="O33" s="59"/>
      <c r="Q33" s="59" t="str">
        <f t="shared" ref="Q33" si="24">IF(ISBLANK(P33)," ",IF(ISTEXT(P33)," ",IF(P33&lt;=$H$27,"МСМК",IF(P33&lt;=$H$28,"МС",IF(P33&lt;=$H$29,"КМС",IF(P33&lt;=$H$30,"I",IF(P33&lt;=$H$31,"II",IF(P33&lt;=$H$32,"III",IF(P33&lt;=$H$33,"I юн",IF(P33&lt;=$H$34,"II юн",IF(P33&lt;=$H$35,"III юн","б/р")))))))))))</f>
        <v xml:space="preserve"> </v>
      </c>
    </row>
    <row r="34" spans="3:33" x14ac:dyDescent="0.3">
      <c r="C34" s="43"/>
      <c r="D34" s="43"/>
      <c r="E34" s="43"/>
      <c r="F34" s="43"/>
      <c r="G34" s="43"/>
      <c r="H34" s="71">
        <v>36.200000000000003</v>
      </c>
      <c r="I34" s="59" t="str">
        <f>IF(ISBLANK(H34)," ",IF(ISTEXT(H34)," ",IF(H34&lt;=Нормативы!$H$27,"МСМК",IF(H34&lt;=Нормативы!$H$28,"МС",IF(H34&lt;=Нормативы!$H$29,"КМС",IF(H34&lt;=Нормативы!$H$30,"I",IF(H34&lt;=Нормативы!$H$31,"II",IF(H34&lt;=Нормативы!$H$32,"III",IF(H34&lt;=Нормативы!$H$33,"I юн",IF(H34&lt;=Нормативы!$H$34,"II юн",IF(H34&lt;=Нормативы!$H$35,"III юн","б/р")))))))))))</f>
        <v>II юн</v>
      </c>
      <c r="J34" s="59" t="str">
        <f>IF(ISBLANK(H34)," ",IF(ISTEXT(H34)," ",IF(H34&lt;=Нормативы!$H$27,"МСМК",IF(H34&lt;=Нормативы!$H$28,"МС",IF(H34&lt;=Нормативы!$H$29,"КМС",IF(H34&lt;=Нормативы!$H$30,"I",IF(H34&lt;=Нормативы!$H$31,"II",IF(H34&lt;=Нормативы!$H$32,"III",IF(H34&lt;=Нормативы!$H$33,"I юн",IF(H34&lt;=Нормативы!$H$34,"II юн",IF(H34&lt;=Нормативы!$H$35,"III юн","б/р")))))))))))</f>
        <v>II юн</v>
      </c>
      <c r="K34" s="75"/>
      <c r="L34" s="74">
        <f t="shared" si="19"/>
        <v>36</v>
      </c>
      <c r="M34" s="59" t="str">
        <f>IF(ISBLANK(L34)," ",IF(ISTEXT(L34)," ",IF(L34&lt;=Нормативы!$H$27,"КМС",IF(L34&lt;=Нормативы!$H$28,"КМС",IF(L34&lt;=Нормативы!$L$29,"КМС",IF(L34&lt;=Нормативы!$L$30,"I",IF(L34&lt;=Нормативы!$L$31,"II",IF(L34&lt;=Нормативы!$L$32,"III",IF(L34&lt;=Нормативы!$L$33,"I юн",IF(L34&lt;=Нормативы!$L$34,"II юн",IF(L34&lt;=Нормативы!$L$35,"III юн","б/р")))))))))))</f>
        <v>II юн</v>
      </c>
      <c r="N34" s="59" t="str">
        <f>IF(ISBLANK(L34)," ",IF(ISTEXT(L34)," ",IF(L34&lt;=Нормативы!$H$27,"КМС",IF(L34&lt;=Нормативы!$H$28,"КМС",IF(L34&lt;=Нормативы!$L$29,"КМС",IF(L34&lt;=Нормативы!$L$30,"I",IF(L34&lt;=Нормативы!$L$31,"II",IF(L34&lt;=Нормативы!$L$32,"III",IF(L34&lt;=Нормативы!$L$33,"I юн",IF(L34&lt;=Нормативы!$L$34,"II юн",IF(L34&lt;=Нормативы!$L$35,"III юн","б/р")))))))))))</f>
        <v>II юн</v>
      </c>
      <c r="O34" s="59"/>
      <c r="Q34" s="59" t="str">
        <f t="shared" ref="Q34" si="25">IF(ISBLANK(P34)," ",IF(ISTEXT(P34)," ",IF(P34&lt;=$H$27,"МСМК",IF(P34&lt;=$H$28,"МС",IF(P34&lt;=$H$29,"КМС",IF(P34&lt;=$H$30,"I",IF(P34&lt;=$H$31,"II",IF(P34&lt;=$H$32,"III",IF(P34&lt;=$H$33,"I юн",IF(P34&lt;=$H$34,"II юн",IF(P34&lt;=$H$35,"III юн","б/р")))))))))))</f>
        <v xml:space="preserve"> </v>
      </c>
    </row>
    <row r="35" spans="3:33" x14ac:dyDescent="0.3">
      <c r="C35" s="43"/>
      <c r="D35" s="43"/>
      <c r="E35" s="43"/>
      <c r="F35" s="43"/>
      <c r="G35" s="43"/>
      <c r="H35" s="71">
        <v>39.200000000000003</v>
      </c>
      <c r="I35" s="59" t="str">
        <f>IF(ISBLANK(H35)," ",IF(ISTEXT(H35)," ",IF(H35&lt;=Нормативы!$H$27,"МСМК",IF(H35&lt;=Нормативы!$H$28,"МС",IF(H35&lt;=Нормативы!$H$29,"КМС",IF(H35&lt;=Нормативы!$H$30,"I",IF(H35&lt;=Нормативы!$H$31,"II",IF(H35&lt;=Нормативы!$H$32,"III",IF(H35&lt;=Нормативы!$H$33,"I юн",IF(H35&lt;=Нормативы!$H$34,"II юн",IF(H35&lt;=Нормативы!$H$35,"III юн","б/р")))))))))))</f>
        <v>III юн</v>
      </c>
      <c r="J35" s="59" t="str">
        <f>IF(ISBLANK(H35)," ",IF(ISTEXT(H35)," ",IF(H35&lt;=Нормативы!$H$27,"МСМК",IF(H35&lt;=Нормативы!$H$28,"МС",IF(H35&lt;=Нормативы!$H$29,"КМС",IF(H35&lt;=Нормативы!$H$30,"I",IF(H35&lt;=Нормативы!$H$31,"II",IF(H35&lt;=Нормативы!$H$32,"III",IF(H35&lt;=Нормативы!$H$33,"I юн",IF(H35&lt;=Нормативы!$H$34,"II юн",IF(H35&lt;=Нормативы!$H$35,"III юн","б/р")))))))))))</f>
        <v>III юн</v>
      </c>
      <c r="K35" s="75"/>
      <c r="L35" s="74">
        <f t="shared" si="19"/>
        <v>39</v>
      </c>
      <c r="M35" s="59" t="str">
        <f>IF(ISBLANK(L35)," ",IF(ISTEXT(L35)," ",IF(L35&lt;=Нормативы!$H$27,"КМС",IF(L35&lt;=Нормативы!$H$28,"КМС",IF(L35&lt;=Нормативы!$L$29,"КМС",IF(L35&lt;=Нормативы!$L$30,"I",IF(L35&lt;=Нормативы!$L$31,"II",IF(L35&lt;=Нормативы!$L$32,"III",IF(L35&lt;=Нормативы!$L$33,"I юн",IF(L35&lt;=Нормативы!$L$34,"II юн",IF(L35&lt;=Нормативы!$L$35,"III юн","б/р")))))))))))</f>
        <v>III юн</v>
      </c>
      <c r="N35" s="59" t="str">
        <f>IF(ISBLANK(L35)," ",IF(ISTEXT(L35)," ",IF(L35&lt;=Нормативы!$H$27,"КМС",IF(L35&lt;=Нормативы!$H$28,"КМС",IF(L35&lt;=Нормативы!$L$29,"КМС",IF(L35&lt;=Нормативы!$L$30,"I",IF(L35&lt;=Нормативы!$L$31,"II",IF(L35&lt;=Нормативы!$L$32,"III",IF(L35&lt;=Нормативы!$L$33,"I юн",IF(L35&lt;=Нормативы!$L$34,"II юн",IF(L35&lt;=Нормативы!$L$35,"III юн","б/р")))))))))))</f>
        <v>III юн</v>
      </c>
      <c r="O35" s="59"/>
      <c r="Q35" s="59" t="str">
        <f t="shared" ref="Q35" si="26">IF(ISBLANK(P35)," ",IF(ISTEXT(P35)," ",IF(P35&lt;=$H$27,"МСМК",IF(P35&lt;=$H$28,"МС",IF(P35&lt;=$H$29,"КМС",IF(P35&lt;=$H$30,"I",IF(P35&lt;=$H$31,"II",IF(P35&lt;=$H$32,"III",IF(P35&lt;=$H$33,"I юн",IF(P35&lt;=$H$34,"II юн",IF(P35&lt;=$H$35,"III юн","б/р")))))))))))</f>
        <v xml:space="preserve"> </v>
      </c>
    </row>
    <row r="36" spans="3:33" x14ac:dyDescent="0.3">
      <c r="C36" s="43"/>
      <c r="D36" s="43"/>
      <c r="E36" s="43"/>
      <c r="F36" s="43"/>
      <c r="G36" s="43"/>
      <c r="H36" s="42"/>
      <c r="I36" s="43"/>
      <c r="J36" s="43"/>
      <c r="K36" s="75"/>
      <c r="L36" s="43"/>
      <c r="M36" s="43"/>
      <c r="N36" s="43"/>
      <c r="P36" s="82"/>
      <c r="Q36" s="43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3"/>
      <c r="AG36" s="82"/>
    </row>
    <row r="37" spans="3:33" x14ac:dyDescent="0.3">
      <c r="C37" s="68" t="s">
        <v>61</v>
      </c>
      <c r="D37" s="43"/>
      <c r="E37" s="43"/>
      <c r="F37" s="43"/>
      <c r="G37" s="43"/>
      <c r="H37" s="42"/>
      <c r="I37" s="43"/>
      <c r="J37" s="43"/>
      <c r="K37" s="84"/>
      <c r="L37" s="43"/>
      <c r="M37" s="43"/>
      <c r="N37" s="43"/>
      <c r="P37" s="83"/>
      <c r="Q37" s="4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</row>
    <row r="38" spans="3:33" x14ac:dyDescent="0.3">
      <c r="C38" s="43"/>
      <c r="D38" s="43"/>
      <c r="E38" s="43"/>
      <c r="F38" s="43"/>
      <c r="G38" s="43"/>
      <c r="H38" s="71">
        <v>19.3</v>
      </c>
      <c r="I38" s="59" t="str">
        <f>IF(ISBLANK(H38)," ",IF(ISTEXT(H38)," ",IF(H38&lt;=Нормативы!$H$38,"МСМК",IF(H38&lt;=Нормативы!$H$39,"МС",IF(H38&lt;=Нормативы!$H$40,"КМС",IF(H38&lt;=Нормативы!$H$41,"I",IF(H38&lt;=Нормативы!$H$42,"II",IF(H38&lt;=Нормативы!$H$43,"III",IF(H38&lt;=Нормативы!$H$44,"I юн",IF(H38&lt;=Нормативы!$H$45,"II юн",IF(H38&lt;=Нормативы!$H$46,"III юн","б/р")))))))))))</f>
        <v>МСМК</v>
      </c>
      <c r="J38" s="59" t="str">
        <f>IF(ISBLANK(H38)," ",IF(ISTEXT(H38)," ",IF(H38&lt;=Нормативы!$H$38,"МСМК",IF(H38&lt;=Нормативы!$H$39,"МС",IF(H38&lt;=Нормативы!$H$40,"КМС",IF(H38&lt;=Нормативы!$H$41,"I",IF(H38&lt;=Нормативы!$H$42,"II",IF(H38&lt;=Нормативы!$H$43,"III",IF(H38&lt;=Нормативы!$H$44,"I юн",IF(H38&lt;=Нормативы!$H$45,"II юн",IF(H38&lt;=Нормативы!$H$46,"III юн","б/р")))))))))))</f>
        <v>МСМК</v>
      </c>
      <c r="K38" s="75"/>
      <c r="L38" s="71"/>
      <c r="M38" s="59" t="str">
        <f>IF(ISBLANK(L38)," ",IF(ISTEXT(L38)," ",IF(L38&lt;=Нормативы!$H$38,"КМС",IF(L38&lt;=Нормативы!$H$39,"КМС",IF(L38&lt;=Нормативы!$L$40,"КМС",IF(L38&lt;=Нормативы!$L$41,"I",IF(L38&lt;=Нормативы!$L$42,"II",IF(L38&lt;=Нормативы!$L$43,"III",IF(L38&lt;=Нормативы!$L$44,"I юн",IF(L38&lt;=Нормативы!$L$45,"II юн",IF(L38&lt;=Нормативы!$L$46,"III юн","б/р")))))))))))</f>
        <v xml:space="preserve"> </v>
      </c>
      <c r="N38" s="59" t="str">
        <f>IF(ISBLANK(L38)," ",IF(ISTEXT(L38)," ",IF(L38&lt;=19.4,"МСМК",IF(L38&lt;=20.5,"МС",IF(L38&lt;=21.3,"КМС",IF(L38&lt;=23,"I",IF(L38&lt;=24.8,"II",IF(L38&lt;=26.5,"III",IF(L38&lt;=29.8,"I юн",IF(L38&lt;=32.4,"II юн",IF(L38&lt;=35.5,"III юн","б/р")))))))))))</f>
        <v xml:space="preserve"> </v>
      </c>
      <c r="O38" s="77"/>
      <c r="P38" s="82"/>
      <c r="Q38" s="59" t="str">
        <f>IF(ISBLANK(P38)," ",IF(ISTEXT(P38)," ",IF(P38&lt;=$H$38,"МСМК",IF(P38&lt;=$H$39,"МС",IF(P38&lt;=$H$40,"КМС",IF(P38&lt;=$H$41,"I",IF(P38&lt;=$H$42,"II",IF(P38&lt;=$H$43,"III",IF(P38&lt;=$H$44,"I юн",IF(P38&lt;=$H$45,"II юн",IF(P38&lt;=$H$46,"III юн","б/р")))))))))))</f>
        <v xml:space="preserve"> </v>
      </c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3"/>
      <c r="AG38" s="82"/>
    </row>
    <row r="39" spans="3:33" x14ac:dyDescent="0.3">
      <c r="C39" s="43"/>
      <c r="D39" s="43"/>
      <c r="E39" s="43"/>
      <c r="F39" s="43"/>
      <c r="G39" s="43"/>
      <c r="H39" s="71">
        <v>20.2</v>
      </c>
      <c r="I39" s="59" t="str">
        <f>IF(ISBLANK(H39)," ",IF(ISTEXT(H39)," ",IF(H39&lt;=Нормативы!$H$38,"МСМК",IF(H39&lt;=Нормативы!$H$39,"МС",IF(H39&lt;=Нормативы!$H$40,"КМС",IF(H39&lt;=Нормативы!$H$41,"I",IF(H39&lt;=Нормативы!$H$42,"II",IF(H39&lt;=Нормативы!$H$43,"III",IF(H39&lt;=Нормативы!$H$44,"I юн",IF(H39&lt;=Нормативы!$H$45,"II юн",IF(H39&lt;=Нормативы!$H$46,"III юн","б/р")))))))))))</f>
        <v>МС</v>
      </c>
      <c r="J39" s="59" t="str">
        <f>IF(ISBLANK(H39)," ",IF(ISTEXT(H39)," ",IF(H39&lt;=Нормативы!$H$38,"МСМК",IF(H39&lt;=Нормативы!$H$39,"МС",IF(H39&lt;=Нормативы!$H$40,"КМС",IF(H39&lt;=Нормативы!$H$41,"I",IF(H39&lt;=Нормативы!$H$42,"II",IF(H39&lt;=Нормативы!$H$43,"III",IF(H39&lt;=Нормативы!$H$44,"I юн",IF(H39&lt;=Нормативы!$H$45,"II юн",IF(H39&lt;=Нормативы!$H$46,"III юн","б/р")))))))))))</f>
        <v>МС</v>
      </c>
      <c r="K39" s="75"/>
      <c r="L39" s="71"/>
      <c r="M39" s="59" t="str">
        <f>IF(ISBLANK(L39)," ",IF(ISTEXT(L39)," ",IF(L39&lt;=Нормативы!$H$38,"КМС",IF(L39&lt;=Нормативы!$H$39,"КМС",IF(L39&lt;=Нормативы!$L$40,"КМС",IF(L39&lt;=Нормативы!$L$41,"I",IF(L39&lt;=Нормативы!$L$42,"II",IF(L39&lt;=Нормативы!$L$43,"III",IF(L39&lt;=Нормативы!$L$44,"I юн",IF(L39&lt;=Нормативы!$L$45,"II юн",IF(L39&lt;=Нормативы!$L$46,"III юн","б/р")))))))))))</f>
        <v xml:space="preserve"> </v>
      </c>
      <c r="N39" s="59" t="str">
        <f>IF(ISBLANK(L39)," ",IF(ISTEXT(L39)," ",IF(L39&lt;=19.4,"МСМК",IF(L39&lt;=20.5,"МС",IF(L39&lt;=21.3,"КМС",IF(L39&lt;=23,"I",IF(L39&lt;=24.8,"II",IF(L39&lt;=26.5,"III",IF(L39&lt;=29.8,"I юн",IF(L39&lt;=32.4,"II юн",IF(L39&lt;=35.5,"III юн","б/р")))))))))))</f>
        <v xml:space="preserve"> </v>
      </c>
      <c r="O39" s="77"/>
      <c r="P39" s="83"/>
      <c r="Q39" s="59" t="str">
        <f t="shared" ref="Q39" si="27">IF(ISBLANK(P39)," ",IF(ISTEXT(P39)," ",IF(P39&lt;=$H$38,"МСМК",IF(P39&lt;=$H$39,"МС",IF(P39&lt;=$H$40,"КМС",IF(P39&lt;=$H$41,"I",IF(P39&lt;=$H$42,"II",IF(P39&lt;=$H$43,"III",IF(P39&lt;=$H$44,"I юн",IF(P39&lt;=$H$45,"II юн",IF(P39&lt;=$H$46,"III юн","б/р")))))))))))</f>
        <v xml:space="preserve"> </v>
      </c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</row>
    <row r="40" spans="3:33" x14ac:dyDescent="0.3">
      <c r="C40" s="43"/>
      <c r="D40" s="43"/>
      <c r="E40" s="43"/>
      <c r="F40" s="43"/>
      <c r="G40" s="43"/>
      <c r="H40" s="71">
        <v>21.2</v>
      </c>
      <c r="I40" s="59" t="str">
        <f>IF(ISBLANK(H40)," ",IF(ISTEXT(H40)," ",IF(H40&lt;=Нормативы!$H$38,"МСМК",IF(H40&lt;=Нормативы!$H$39,"МС",IF(H40&lt;=Нормативы!$H$40,"КМС",IF(H40&lt;=Нормативы!$H$41,"I",IF(H40&lt;=Нормативы!$H$42,"II",IF(H40&lt;=Нормативы!$H$43,"III",IF(H40&lt;=Нормативы!$H$44,"I юн",IF(H40&lt;=Нормативы!$H$45,"II юн",IF(H40&lt;=Нормативы!$H$46,"III юн","б/р")))))))))))</f>
        <v>КМС</v>
      </c>
      <c r="J40" s="59" t="str">
        <f>IF(ISBLANK(H40)," ",IF(ISTEXT(H40)," ",IF(H40&lt;=Нормативы!$H$38,"МСМК",IF(H40&lt;=Нормативы!$H$39,"МС",IF(H40&lt;=Нормативы!$H$40,"КМС",IF(H40&lt;=Нормативы!$H$41,"I",IF(H40&lt;=Нормативы!$H$42,"II",IF(H40&lt;=Нормативы!$H$43,"III",IF(H40&lt;=Нормативы!$H$44,"I юн",IF(H40&lt;=Нормативы!$H$45,"II юн",IF(H40&lt;=Нормативы!$H$46,"III юн","б/р")))))))))))</f>
        <v>КМС</v>
      </c>
      <c r="K40" s="75"/>
      <c r="L40" s="74">
        <f t="shared" ref="L40:L46" si="28">H40-0.2</f>
        <v>21</v>
      </c>
      <c r="M40" s="59" t="str">
        <f>IF(ISBLANK(L40)," ",IF(ISTEXT(L40)," ",IF(L40&lt;=Нормативы!$H$38,"КМС",IF(L40&lt;=Нормативы!$H$39,"КМС",IF(L40&lt;=Нормативы!$L$40,"КМС",IF(L40&lt;=Нормативы!$L$41,"I",IF(L40&lt;=Нормативы!$L$42,"II",IF(L40&lt;=Нормативы!$L$43,"III",IF(L40&lt;=Нормативы!$L$44,"I юн",IF(L40&lt;=Нормативы!$L$45,"II юн",IF(L40&lt;=Нормативы!$L$46,"III юн","б/р")))))))))))</f>
        <v>КМС</v>
      </c>
      <c r="N40" s="59" t="str">
        <f>IF(ISBLANK(L40)," ",IF(ISTEXT(L40)," ",IF(L40&lt;=Нормативы!$H$38,"КМС",IF(L40&lt;=Нормативы!$H$39,"КМС",IF(L40&lt;=Нормативы!$L$40,"КМС",IF(L40&lt;=Нормативы!$L$41,"I",IF(L40&lt;=Нормативы!$L$42,"II",IF(L40&lt;=Нормативы!$L$43,"III",IF(L40&lt;=Нормативы!$L$44,"I юн",IF(L40&lt;=Нормативы!$L$45,"II юн",IF(L40&lt;=Нормативы!$L$46,"III юн","б/р")))))))))))</f>
        <v>КМС</v>
      </c>
      <c r="O40" s="59"/>
      <c r="Q40" s="59" t="str">
        <f t="shared" ref="Q40" si="29">IF(ISBLANK(P40)," ",IF(ISTEXT(P40)," ",IF(P40&lt;=$H$38,"МСМК",IF(P40&lt;=$H$39,"МС",IF(P40&lt;=$H$40,"КМС",IF(P40&lt;=$H$41,"I",IF(P40&lt;=$H$42,"II",IF(P40&lt;=$H$43,"III",IF(P40&lt;=$H$44,"I юн",IF(P40&lt;=$H$45,"II юн",IF(P40&lt;=$H$46,"III юн","б/р")))))))))))</f>
        <v xml:space="preserve"> </v>
      </c>
    </row>
    <row r="41" spans="3:33" x14ac:dyDescent="0.3">
      <c r="C41" s="43"/>
      <c r="D41" s="43"/>
      <c r="E41" s="43"/>
      <c r="F41" s="43"/>
      <c r="G41" s="43"/>
      <c r="H41" s="71">
        <v>22.9</v>
      </c>
      <c r="I41" s="59" t="str">
        <f>IF(ISBLANK(H41)," ",IF(ISTEXT(H41)," ",IF(H41&lt;=Нормативы!$H$38,"МСМК",IF(H41&lt;=Нормативы!$H$39,"МС",IF(H41&lt;=Нормативы!$H$40,"КМС",IF(H41&lt;=Нормативы!$H$41,"I",IF(H41&lt;=Нормативы!$H$42,"II",IF(H41&lt;=Нормативы!$H$43,"III",IF(H41&lt;=Нормативы!$H$44,"I юн",IF(H41&lt;=Нормативы!$H$45,"II юн",IF(H41&lt;=Нормативы!$H$46,"III юн","б/р")))))))))))</f>
        <v>I</v>
      </c>
      <c r="J41" s="59" t="str">
        <f>IF(ISBLANK(H41)," ",IF(ISTEXT(H41)," ",IF(H41&lt;=Нормативы!$H$38,"МСМК",IF(H41&lt;=Нормативы!$H$39,"МС",IF(H41&lt;=Нормативы!$H$40,"КМС",IF(H41&lt;=Нормативы!$H$41,"I",IF(H41&lt;=Нормативы!$H$42,"II",IF(H41&lt;=Нормативы!$H$43,"III",IF(H41&lt;=Нормативы!$H$44,"I юн",IF(H41&lt;=Нормативы!$H$45,"II юн",IF(H41&lt;=Нормативы!$H$46,"III юн","б/р")))))))))))</f>
        <v>I</v>
      </c>
      <c r="K41" s="75"/>
      <c r="L41" s="74">
        <f t="shared" si="28"/>
        <v>22.7</v>
      </c>
      <c r="M41" s="59" t="str">
        <f>IF(ISBLANK(L41)," ",IF(ISTEXT(L41)," ",IF(L41&lt;=Нормативы!$H$38,"КМС",IF(L41&lt;=Нормативы!$H$39,"КМС",IF(L41&lt;=Нормативы!$L$40,"КМС",IF(L41&lt;=Нормативы!$L$41,"I",IF(L41&lt;=Нормативы!$L$42,"II",IF(L41&lt;=Нормативы!$L$43,"III",IF(L41&lt;=Нормативы!$L$44,"I юн",IF(L41&lt;=Нормативы!$L$45,"II юн",IF(L41&lt;=Нормативы!$L$46,"III юн","б/р")))))))))))</f>
        <v>I</v>
      </c>
      <c r="N41" s="59" t="str">
        <f>IF(ISBLANK(L41)," ",IF(ISTEXT(L41)," ",IF(L41&lt;=Нормативы!$H$38,"КМС",IF(L41&lt;=Нормативы!$H$39,"КМС",IF(L41&lt;=Нормативы!$L$40,"КМС",IF(L41&lt;=Нормативы!$L$41,"I",IF(L41&lt;=Нормативы!$L$42,"II",IF(L41&lt;=Нормативы!$L$43,"III",IF(L41&lt;=Нормативы!$L$44,"I юн",IF(L41&lt;=Нормативы!$L$45,"II юн",IF(L41&lt;=Нормативы!$L$46,"III юн","б/р")))))))))))</f>
        <v>I</v>
      </c>
      <c r="O41" s="59"/>
      <c r="Q41" s="59" t="str">
        <f t="shared" ref="Q41" si="30">IF(ISBLANK(P41)," ",IF(ISTEXT(P41)," ",IF(P41&lt;=$H$38,"МСМК",IF(P41&lt;=$H$39,"МС",IF(P41&lt;=$H$40,"КМС",IF(P41&lt;=$H$41,"I",IF(P41&lt;=$H$42,"II",IF(P41&lt;=$H$43,"III",IF(P41&lt;=$H$44,"I юн",IF(P41&lt;=$H$45,"II юн",IF(P41&lt;=$H$46,"III юн","б/р")))))))))))</f>
        <v xml:space="preserve"> </v>
      </c>
    </row>
    <row r="42" spans="3:33" x14ac:dyDescent="0.3">
      <c r="C42" s="43"/>
      <c r="D42" s="43"/>
      <c r="E42" s="43"/>
      <c r="F42" s="43"/>
      <c r="G42" s="43"/>
      <c r="H42" s="71">
        <v>24.7</v>
      </c>
      <c r="I42" s="59" t="str">
        <f>IF(ISBLANK(H42)," ",IF(ISTEXT(H42)," ",IF(H42&lt;=Нормативы!$H$38,"МСМК",IF(H42&lt;=Нормативы!$H$39,"МС",IF(H42&lt;=Нормативы!$H$40,"КМС",IF(H42&lt;=Нормативы!$H$41,"I",IF(H42&lt;=Нормативы!$H$42,"II",IF(H42&lt;=Нормативы!$H$43,"III",IF(H42&lt;=Нормативы!$H$44,"I юн",IF(H42&lt;=Нормативы!$H$45,"II юн",IF(H42&lt;=Нормативы!$H$46,"III юн","б/р")))))))))))</f>
        <v>II</v>
      </c>
      <c r="J42" s="59" t="str">
        <f>IF(ISBLANK(H42)," ",IF(ISTEXT(H42)," ",IF(H42&lt;=Нормативы!$H$38,"МСМК",IF(H42&lt;=Нормативы!$H$39,"МС",IF(H42&lt;=Нормативы!$H$40,"КМС",IF(H42&lt;=Нормативы!$H$41,"I",IF(H42&lt;=Нормативы!$H$42,"II",IF(H42&lt;=Нормативы!$H$43,"III",IF(H42&lt;=Нормативы!$H$44,"I юн",IF(H42&lt;=Нормативы!$H$45,"II юн",IF(H42&lt;=Нормативы!$H$46,"III юн","б/р")))))))))))</f>
        <v>II</v>
      </c>
      <c r="K42" s="75"/>
      <c r="L42" s="74">
        <f t="shared" si="28"/>
        <v>24.5</v>
      </c>
      <c r="M42" s="59" t="str">
        <f>IF(ISBLANK(L42)," ",IF(ISTEXT(L42)," ",IF(L42&lt;=Нормативы!$H$38,"КМС",IF(L42&lt;=Нормативы!$H$39,"КМС",IF(L42&lt;=Нормативы!$L$40,"КМС",IF(L42&lt;=Нормативы!$L$41,"I",IF(L42&lt;=Нормативы!$L$42,"II",IF(L42&lt;=Нормативы!$L$43,"III",IF(L42&lt;=Нормативы!$L$44,"I юн",IF(L42&lt;=Нормативы!$L$45,"II юн",IF(L42&lt;=Нормативы!$L$46,"III юн","б/р")))))))))))</f>
        <v>II</v>
      </c>
      <c r="N42" s="59" t="str">
        <f>IF(ISBLANK(L42)," ",IF(ISTEXT(L42)," ",IF(L42&lt;=Нормативы!$H$38,"КМС",IF(L42&lt;=Нормативы!$H$39,"КМС",IF(L42&lt;=Нормативы!$L$40,"КМС",IF(L42&lt;=Нормативы!$L$41,"I",IF(L42&lt;=Нормативы!$L$42,"II",IF(L42&lt;=Нормативы!$L$43,"III",IF(L42&lt;=Нормативы!$L$44,"I юн",IF(L42&lt;=Нормативы!$L$45,"II юн",IF(L42&lt;=Нормативы!$L$46,"III юн","б/р")))))))))))</f>
        <v>II</v>
      </c>
      <c r="O42" s="59"/>
      <c r="Q42" s="59" t="str">
        <f t="shared" ref="Q42" si="31">IF(ISBLANK(P42)," ",IF(ISTEXT(P42)," ",IF(P42&lt;=$H$38,"МСМК",IF(P42&lt;=$H$39,"МС",IF(P42&lt;=$H$40,"КМС",IF(P42&lt;=$H$41,"I",IF(P42&lt;=$H$42,"II",IF(P42&lt;=$H$43,"III",IF(P42&lt;=$H$44,"I юн",IF(P42&lt;=$H$45,"II юн",IF(P42&lt;=$H$46,"III юн","б/р")))))))))))</f>
        <v xml:space="preserve"> </v>
      </c>
    </row>
    <row r="43" spans="3:33" x14ac:dyDescent="0.3">
      <c r="C43" s="43"/>
      <c r="D43" s="43"/>
      <c r="E43" s="43"/>
      <c r="F43" s="43"/>
      <c r="G43" s="43"/>
      <c r="H43" s="71">
        <v>26.3</v>
      </c>
      <c r="I43" s="59" t="str">
        <f>IF(ISBLANK(H43)," ",IF(ISTEXT(H43)," ",IF(H43&lt;=Нормативы!$H$38,"МСМК",IF(H43&lt;=Нормативы!$H$39,"МС",IF(H43&lt;=Нормативы!$H$40,"КМС",IF(H43&lt;=Нормативы!$H$41,"I",IF(H43&lt;=Нормативы!$H$42,"II",IF(H43&lt;=Нормативы!$H$43,"III",IF(H43&lt;=Нормативы!$H$44,"I юн",IF(H43&lt;=Нормативы!$H$45,"II юн",IF(H43&lt;=Нормативы!$H$46,"III юн","б/р")))))))))))</f>
        <v>III</v>
      </c>
      <c r="J43" s="59" t="str">
        <f>IF(ISBLANK(H43)," ",IF(ISTEXT(H43)," ",IF(H43&lt;=Нормативы!$H$38,"МСМК",IF(H43&lt;=Нормативы!$H$39,"МС",IF(H43&lt;=Нормативы!$H$40,"КМС",IF(H43&lt;=Нормативы!$H$41,"I",IF(H43&lt;=Нормативы!$H$42,"II",IF(H43&lt;=Нормативы!$H$43,"III",IF(H43&lt;=Нормативы!$H$44,"I юн",IF(H43&lt;=Нормативы!$H$45,"II юн",IF(H43&lt;=Нормативы!$H$46,"III юн","б/р")))))))))))</f>
        <v>III</v>
      </c>
      <c r="K43" s="75"/>
      <c r="L43" s="74">
        <f t="shared" si="28"/>
        <v>26.1</v>
      </c>
      <c r="M43" s="59" t="str">
        <f>IF(ISBLANK(L43)," ",IF(ISTEXT(L43)," ",IF(L43&lt;=Нормативы!$H$38,"КМС",IF(L43&lt;=Нормативы!$H$39,"КМС",IF(L43&lt;=Нормативы!$L$40,"КМС",IF(L43&lt;=Нормативы!$L$41,"I",IF(L43&lt;=Нормативы!$L$42,"II",IF(L43&lt;=Нормативы!$L$43,"III",IF(L43&lt;=Нормативы!$L$44,"I юн",IF(L43&lt;=Нормативы!$L$45,"II юн",IF(L43&lt;=Нормативы!$L$46,"III юн","б/р")))))))))))</f>
        <v>III</v>
      </c>
      <c r="N43" s="59" t="str">
        <f>IF(ISBLANK(L43)," ",IF(ISTEXT(L43)," ",IF(L43&lt;=Нормативы!$H$38,"КМС",IF(L43&lt;=Нормативы!$H$39,"КМС",IF(L43&lt;=Нормативы!$L$40,"КМС",IF(L43&lt;=Нормативы!$L$41,"I",IF(L43&lt;=Нормативы!$L$42,"II",IF(L43&lt;=Нормативы!$L$43,"III",IF(L43&lt;=Нормативы!$L$44,"I юн",IF(L43&lt;=Нормативы!$L$45,"II юн",IF(L43&lt;=Нормативы!$L$46,"III юн","б/р")))))))))))</f>
        <v>III</v>
      </c>
      <c r="O43" s="59"/>
      <c r="Q43" s="59" t="str">
        <f t="shared" ref="Q43" si="32">IF(ISBLANK(P43)," ",IF(ISTEXT(P43)," ",IF(P43&lt;=$H$38,"МСМК",IF(P43&lt;=$H$39,"МС",IF(P43&lt;=$H$40,"КМС",IF(P43&lt;=$H$41,"I",IF(P43&lt;=$H$42,"II",IF(P43&lt;=$H$43,"III",IF(P43&lt;=$H$44,"I юн",IF(P43&lt;=$H$45,"II юн",IF(P43&lt;=$H$46,"III юн","б/р")))))))))))</f>
        <v xml:space="preserve"> </v>
      </c>
    </row>
    <row r="44" spans="3:33" x14ac:dyDescent="0.3">
      <c r="C44" s="43"/>
      <c r="D44" s="43"/>
      <c r="E44" s="43"/>
      <c r="F44" s="43"/>
      <c r="G44" s="43"/>
      <c r="H44" s="71">
        <v>29.7</v>
      </c>
      <c r="I44" s="59" t="str">
        <f>IF(ISBLANK(H44)," ",IF(ISTEXT(H44)," ",IF(H44&lt;=Нормативы!$H$38,"МСМК",IF(H44&lt;=Нормативы!$H$39,"МС",IF(H44&lt;=Нормативы!$H$40,"КМС",IF(H44&lt;=Нормативы!$H$41,"I",IF(H44&lt;=Нормативы!$H$42,"II",IF(H44&lt;=Нормативы!$H$43,"III",IF(H44&lt;=Нормативы!$H$44,"I юн",IF(H44&lt;=Нормативы!$H$45,"II юн",IF(H44&lt;=Нормативы!$H$46,"III юн","б/р")))))))))))</f>
        <v>I юн</v>
      </c>
      <c r="J44" s="59" t="str">
        <f>IF(ISBLANK(H44)," ",IF(ISTEXT(H44)," ",IF(H44&lt;=Нормативы!$H$38,"МСМК",IF(H44&lt;=Нормативы!$H$39,"МС",IF(H44&lt;=Нормативы!$H$40,"КМС",IF(H44&lt;=Нормативы!$H$41,"I",IF(H44&lt;=Нормативы!$H$42,"II",IF(H44&lt;=Нормативы!$H$43,"III",IF(H44&lt;=Нормативы!$H$44,"I юн",IF(H44&lt;=Нормативы!$H$45,"II юн",IF(H44&lt;=Нормативы!$H$46,"III юн","б/р")))))))))))</f>
        <v>I юн</v>
      </c>
      <c r="K44" s="75"/>
      <c r="L44" s="74">
        <f t="shared" si="28"/>
        <v>29.5</v>
      </c>
      <c r="M44" s="59" t="str">
        <f>IF(ISBLANK(L44)," ",IF(ISTEXT(L44)," ",IF(L44&lt;=Нормативы!$H$38,"КМС",IF(L44&lt;=Нормативы!$H$39,"КМС",IF(L44&lt;=Нормативы!$L$40,"КМС",IF(L44&lt;=Нормативы!$L$41,"I",IF(L44&lt;=Нормативы!$L$42,"II",IF(L44&lt;=Нормативы!$L$43,"III",IF(L44&lt;=Нормативы!$L$44,"I юн",IF(L44&lt;=Нормативы!$L$45,"II юн",IF(L44&lt;=Нормативы!$L$46,"III юн","б/р")))))))))))</f>
        <v>I юн</v>
      </c>
      <c r="N44" s="59" t="str">
        <f>IF(ISBLANK(L44)," ",IF(ISTEXT(L44)," ",IF(L44&lt;=Нормативы!$H$38,"КМС",IF(L44&lt;=Нормативы!$H$39,"КМС",IF(L44&lt;=Нормативы!$L$40,"КМС",IF(L44&lt;=Нормативы!$L$41,"I",IF(L44&lt;=Нормативы!$L$42,"II",IF(L44&lt;=Нормативы!$L$43,"III",IF(L44&lt;=Нормативы!$L$44,"I юн",IF(L44&lt;=Нормативы!$L$45,"II юн",IF(L44&lt;=Нормативы!$L$46,"III юн","б/р")))))))))))</f>
        <v>I юн</v>
      </c>
      <c r="O44" s="59"/>
      <c r="Q44" s="59" t="str">
        <f t="shared" ref="Q44" si="33">IF(ISBLANK(P44)," ",IF(ISTEXT(P44)," ",IF(P44&lt;=$H$38,"МСМК",IF(P44&lt;=$H$39,"МС",IF(P44&lt;=$H$40,"КМС",IF(P44&lt;=$H$41,"I",IF(P44&lt;=$H$42,"II",IF(P44&lt;=$H$43,"III",IF(P44&lt;=$H$44,"I юн",IF(P44&lt;=$H$45,"II юн",IF(P44&lt;=$H$46,"III юн","б/р")))))))))))</f>
        <v xml:space="preserve"> </v>
      </c>
    </row>
    <row r="45" spans="3:33" x14ac:dyDescent="0.3">
      <c r="C45" s="43"/>
      <c r="D45" s="43"/>
      <c r="E45" s="43"/>
      <c r="F45" s="43"/>
      <c r="G45" s="43"/>
      <c r="H45" s="71">
        <v>32.1</v>
      </c>
      <c r="I45" s="59" t="str">
        <f>IF(ISBLANK(H45)," ",IF(ISTEXT(H45)," ",IF(H45&lt;=Нормативы!$H$38,"МСМК",IF(H45&lt;=Нормативы!$H$39,"МС",IF(H45&lt;=Нормативы!$H$40,"КМС",IF(H45&lt;=Нормативы!$H$41,"I",IF(H45&lt;=Нормативы!$H$42,"II",IF(H45&lt;=Нормативы!$H$43,"III",IF(H45&lt;=Нормативы!$H$44,"I юн",IF(H45&lt;=Нормативы!$H$45,"II юн",IF(H45&lt;=Нормативы!$H$46,"III юн","б/р")))))))))))</f>
        <v>II юн</v>
      </c>
      <c r="J45" s="59" t="str">
        <f>IF(ISBLANK(H45)," ",IF(ISTEXT(H45)," ",IF(H45&lt;=Нормативы!$H$38,"МСМК",IF(H45&lt;=Нормативы!$H$39,"МС",IF(H45&lt;=Нормативы!$H$40,"КМС",IF(H45&lt;=Нормативы!$H$41,"I",IF(H45&lt;=Нормативы!$H$42,"II",IF(H45&lt;=Нормативы!$H$43,"III",IF(H45&lt;=Нормативы!$H$44,"I юн",IF(H45&lt;=Нормативы!$H$45,"II юн",IF(H45&lt;=Нормативы!$H$46,"III юн","б/р")))))))))))</f>
        <v>II юн</v>
      </c>
      <c r="K45" s="75"/>
      <c r="L45" s="74">
        <f t="shared" si="28"/>
        <v>31.900000000000002</v>
      </c>
      <c r="M45" s="59" t="str">
        <f>IF(ISBLANK(L45)," ",IF(ISTEXT(L45)," ",IF(L45&lt;=Нормативы!$H$38,"КМС",IF(L45&lt;=Нормативы!$H$39,"КМС",IF(L45&lt;=Нормативы!$L$40,"КМС",IF(L45&lt;=Нормативы!$L$41,"I",IF(L45&lt;=Нормативы!$L$42,"II",IF(L45&lt;=Нормативы!$L$43,"III",IF(L45&lt;=Нормативы!$L$44,"I юн",IF(L45&lt;=Нормативы!$L$45,"II юн",IF(L45&lt;=Нормативы!$L$46,"III юн","б/р")))))))))))</f>
        <v>II юн</v>
      </c>
      <c r="N45" s="59" t="str">
        <f>IF(ISBLANK(L45)," ",IF(ISTEXT(L45)," ",IF(L45&lt;=Нормативы!$H$38,"КМС",IF(L45&lt;=Нормативы!$H$39,"КМС",IF(L45&lt;=Нормативы!$L$40,"КМС",IF(L45&lt;=Нормативы!$L$41,"I",IF(L45&lt;=Нормативы!$L$42,"II",IF(L45&lt;=Нормативы!$L$43,"III",IF(L45&lt;=Нормативы!$L$44,"I юн",IF(L45&lt;=Нормативы!$L$45,"II юн",IF(L45&lt;=Нормативы!$L$46,"III юн","б/р")))))))))))</f>
        <v>II юн</v>
      </c>
      <c r="O45" s="59"/>
      <c r="Q45" s="59" t="str">
        <f t="shared" ref="Q45" si="34">IF(ISBLANK(P45)," ",IF(ISTEXT(P45)," ",IF(P45&lt;=$H$38,"МСМК",IF(P45&lt;=$H$39,"МС",IF(P45&lt;=$H$40,"КМС",IF(P45&lt;=$H$41,"I",IF(P45&lt;=$H$42,"II",IF(P45&lt;=$H$43,"III",IF(P45&lt;=$H$44,"I юн",IF(P45&lt;=$H$45,"II юн",IF(P45&lt;=$H$46,"III юн","б/р")))))))))))</f>
        <v xml:space="preserve"> </v>
      </c>
    </row>
    <row r="46" spans="3:33" x14ac:dyDescent="0.3">
      <c r="C46" s="43"/>
      <c r="D46" s="43"/>
      <c r="E46" s="43"/>
      <c r="F46" s="43"/>
      <c r="G46" s="43"/>
      <c r="H46" s="71">
        <v>35.200000000000003</v>
      </c>
      <c r="I46" s="59" t="str">
        <f>IF(ISBLANK(H46)," ",IF(ISTEXT(H46)," ",IF(H46&lt;=Нормативы!$H$38,"МСМК",IF(H46&lt;=Нормативы!$H$39,"МС",IF(H46&lt;=Нормативы!$H$40,"КМС",IF(H46&lt;=Нормативы!$H$41,"I",IF(H46&lt;=Нормативы!$H$42,"II",IF(H46&lt;=Нормативы!$H$43,"III",IF(H46&lt;=Нормативы!$H$44,"I юн",IF(H46&lt;=Нормативы!$H$45,"II юн",IF(H46&lt;=Нормативы!$H$46,"III юн","б/р")))))))))))</f>
        <v>III юн</v>
      </c>
      <c r="J46" s="59" t="str">
        <f>IF(ISBLANK(H46)," ",IF(ISTEXT(H46)," ",IF(H46&lt;=Нормативы!$H$38,"МСМК",IF(H46&lt;=Нормативы!$H$39,"МС",IF(H46&lt;=Нормативы!$H$40,"КМС",IF(H46&lt;=Нормативы!$H$41,"I",IF(H46&lt;=Нормативы!$H$42,"II",IF(H46&lt;=Нормативы!$H$43,"III",IF(H46&lt;=Нормативы!$H$44,"I юн",IF(H46&lt;=Нормативы!$H$45,"II юн",IF(H46&lt;=Нормативы!$H$46,"III юн","б/р")))))))))))</f>
        <v>III юн</v>
      </c>
      <c r="K46" s="75"/>
      <c r="L46" s="74">
        <f t="shared" si="28"/>
        <v>35</v>
      </c>
      <c r="M46" s="59" t="str">
        <f>IF(ISBLANK(L46)," ",IF(ISTEXT(L46)," ",IF(L46&lt;=Нормативы!$H$38,"КМС",IF(L46&lt;=Нормативы!$H$39,"КМС",IF(L46&lt;=Нормативы!$L$40,"КМС",IF(L46&lt;=Нормативы!$L$41,"I",IF(L46&lt;=Нормативы!$L$42,"II",IF(L46&lt;=Нормативы!$L$43,"III",IF(L46&lt;=Нормативы!$L$44,"I юн",IF(L46&lt;=Нормативы!$L$45,"II юн",IF(L46&lt;=Нормативы!$L$46,"III юн","б/р")))))))))))</f>
        <v>III юн</v>
      </c>
      <c r="N46" s="59" t="str">
        <f>IF(ISBLANK(L46)," ",IF(ISTEXT(L46)," ",IF(L46&lt;=Нормативы!$H$38,"КМС",IF(L46&lt;=Нормативы!$H$39,"КМС",IF(L46&lt;=Нормативы!$L$40,"КМС",IF(L46&lt;=Нормативы!$L$41,"I",IF(L46&lt;=Нормативы!$L$42,"II",IF(L46&lt;=Нормативы!$L$43,"III",IF(L46&lt;=Нормативы!$L$44,"I юн",IF(L46&lt;=Нормативы!$L$45,"II юн",IF(L46&lt;=Нормативы!$L$46,"III юн","б/р")))))))))))</f>
        <v>III юн</v>
      </c>
      <c r="O46" s="59"/>
      <c r="Q46" s="59" t="str">
        <f t="shared" ref="Q46" si="35">IF(ISBLANK(P46)," ",IF(ISTEXT(P46)," ",IF(P46&lt;=$H$38,"МСМК",IF(P46&lt;=$H$39,"МС",IF(P46&lt;=$H$40,"КМС",IF(P46&lt;=$H$41,"I",IF(P46&lt;=$H$42,"II",IF(P46&lt;=$H$43,"III",IF(P46&lt;=$H$44,"I юн",IF(P46&lt;=$H$45,"II юн",IF(P46&lt;=$H$46,"III юн","б/р")))))))))))</f>
        <v xml:space="preserve"> </v>
      </c>
    </row>
    <row r="47" spans="3:33" x14ac:dyDescent="0.3">
      <c r="C47" s="43"/>
      <c r="D47" s="43"/>
      <c r="E47" s="43"/>
      <c r="F47" s="43"/>
      <c r="G47" s="43"/>
      <c r="H47" s="74"/>
      <c r="I47" s="43"/>
      <c r="J47" s="43"/>
      <c r="K47" s="75"/>
      <c r="L47" s="43"/>
      <c r="M47" s="43"/>
      <c r="N47" s="43"/>
      <c r="Q47" s="43"/>
    </row>
    <row r="48" spans="3:33" x14ac:dyDescent="0.3">
      <c r="C48" s="68" t="s">
        <v>43</v>
      </c>
      <c r="D48" s="69"/>
      <c r="E48" s="69"/>
      <c r="F48" s="68"/>
      <c r="G48" s="68"/>
      <c r="H48" s="70"/>
      <c r="I48" s="43"/>
      <c r="J48" s="43"/>
      <c r="K48" s="87"/>
      <c r="L48" s="43"/>
      <c r="M48" s="43"/>
      <c r="N48" s="43"/>
      <c r="Q48" s="43"/>
    </row>
    <row r="49" spans="3:33" x14ac:dyDescent="0.3">
      <c r="C49" s="86"/>
      <c r="D49" s="86"/>
      <c r="E49" s="86"/>
      <c r="F49" s="86"/>
      <c r="G49" s="86"/>
      <c r="H49" s="74">
        <v>40</v>
      </c>
      <c r="I49" s="59" t="str">
        <f>IF(ISBLANK(H49)," ",IF(ISTEXT(H49)," ",IF(H49&lt;=Нормативы!$H$49,"МСМК",IF(H49&lt;=Нормативы!$H$50,"МС",IF(H49&lt;=Нормативы!$H$51,"КМС",IF(H49&lt;=Нормативы!$H$52,"I",IF(H49&lt;=Нормативы!$H$53,"II",IF(H49&lt;=Нормативы!$H$54,"III",IF(H49&lt;=Нормативы!$H$55,"I юн",IF(H49&lt;=Нормативы!$H$56,"II юн",IF(H49&lt;=Нормативы!$H$57,"III юн","б/р")))))))))))</f>
        <v>МСМК</v>
      </c>
      <c r="J49" s="59" t="str">
        <f>IF(ISBLANK(H49)," ",IF(ISTEXT(H49)," ",IF(H49&lt;=Нормативы!$H$49,"МСМК",IF(H49&lt;=Нормативы!$H$50,"МС",IF(H49&lt;=Нормативы!$H$51,"КМС",IF(H49&lt;=Нормативы!$H$52,"I",IF(H49&lt;=Нормативы!$H$53,"II",IF(H49&lt;=Нормативы!$H$54,"III",IF(H49&lt;=Нормативы!$H$55,"I юн",IF(H49&lt;=Нормативы!$H$56,"II юн",IF(H49&lt;=Нормативы!$H$57,"III юн","б/р")))))))))))</f>
        <v>МСМК</v>
      </c>
      <c r="K49" s="75"/>
      <c r="L49" s="74"/>
      <c r="M49" s="59" t="str">
        <f>IF(ISBLANK(L49)," ",IF(ISTEXT(L49)," ",IF(L49&lt;=Нормативы!$H$49,"КМС",IF(L49&lt;=Нормативы!$H$50,"КМС",IF(L49&lt;=Нормативы!$L$51,"КМС",IF(L49&lt;=Нормативы!$L$52,"I",IF(L49&lt;=Нормативы!$L$53,"II",IF(L49&lt;=Нормативы!$L$54,"III",IF(L49&lt;=Нормативы!$L$55,"I юн",IF(L49&lt;=Нормативы!$L$56,"II юн",IF(L49&lt;=Нормативы!$L$57,"III юн","б/р")))))))))))</f>
        <v xml:space="preserve"> </v>
      </c>
      <c r="N49" s="59" t="str">
        <f>IF(ISBLANK(L49)," ",IF(ISTEXT(L49)," ",IF(L49&lt;=40,"МСМК",IF(L49&lt;=42,"МС",IF(L49&lt;=43.8,"КМС",IF(L49&lt;=47,"I",IF(L49&lt;=51,"II",IF(L49&lt;=55.2,"III",IF(L49&lt;=59.8,"I юн",IF(L49&lt;=105.4,"II юн",IF(L49&lt;=110.4,"III юн","б/р")))))))))))</f>
        <v xml:space="preserve"> </v>
      </c>
      <c r="O49" s="77"/>
      <c r="Q49" s="59" t="str">
        <f>IF(ISBLANK(P49)," ",IF(ISTEXT(P49)," ",IF(P49&lt;=$H$49,"МСМК",IF(P49&lt;=$H$50,"МС",IF(P49&lt;=$H$51,"КМС",IF(P49&lt;=$H$52,"I",IF(P49&lt;=$H$53,"II",IF(P49&lt;=$H$54,"III",IF(P49&lt;=$H$55,"I юн",IF(P49&lt;=$H$56,"II юн",IF(P49&lt;=$H$57,"III юн","б/р")))))))))))</f>
        <v xml:space="preserve"> </v>
      </c>
    </row>
    <row r="50" spans="3:33" x14ac:dyDescent="0.3">
      <c r="C50" s="86"/>
      <c r="D50" s="36"/>
      <c r="E50" s="36"/>
      <c r="F50" s="86"/>
      <c r="G50" s="86"/>
      <c r="H50" s="74">
        <v>42</v>
      </c>
      <c r="I50" s="59" t="str">
        <f>IF(ISBLANK(H50)," ",IF(ISTEXT(H50)," ",IF(H50&lt;=Нормативы!$H$49,"МСМК",IF(H50&lt;=Нормативы!$H$50,"МС",IF(H50&lt;=Нормативы!$H$51,"КМС",IF(H50&lt;=Нормативы!$H$52,"I",IF(H50&lt;=Нормативы!$H$53,"II",IF(H50&lt;=Нормативы!$H$54,"III",IF(H50&lt;=Нормативы!$H$55,"I юн",IF(H50&lt;=Нормативы!$H$56,"II юн",IF(H50&lt;=Нормативы!$H$57,"III юн","б/р")))))))))))</f>
        <v>МС</v>
      </c>
      <c r="J50" s="59" t="str">
        <f>IF(ISBLANK(H50)," ",IF(ISTEXT(H50)," ",IF(H50&lt;=Нормативы!$H$49,"МСМК",IF(H50&lt;=Нормативы!$H$50,"МС",IF(H50&lt;=Нормативы!$H$51,"КМС",IF(H50&lt;=Нормативы!$H$52,"I",IF(H50&lt;=Нормативы!$H$53,"II",IF(H50&lt;=Нормативы!$H$54,"III",IF(H50&lt;=Нормативы!$H$55,"I юн",IF(H50&lt;=Нормативы!$H$56,"II юн",IF(H50&lt;=Нормативы!$H$57,"III юн","б/р")))))))))))</f>
        <v>МС</v>
      </c>
      <c r="K50" s="75"/>
      <c r="L50" s="74"/>
      <c r="M50" s="59" t="str">
        <f>IF(ISBLANK(L50)," ",IF(ISTEXT(L50)," ",IF(L50&lt;=Нормативы!$H$49,"КМС",IF(L50&lt;=Нормативы!$H$50,"КМС",IF(L50&lt;=Нормативы!$L$51,"КМС",IF(L50&lt;=Нормативы!$L$52,"I",IF(L50&lt;=Нормативы!$L$53,"II",IF(L50&lt;=Нормативы!$L$54,"III",IF(L50&lt;=Нормативы!$L$55,"I юн",IF(L50&lt;=Нормативы!$L$56,"II юн",IF(L50&lt;=Нормативы!$L$57,"III юн","б/р")))))))))))</f>
        <v xml:space="preserve"> </v>
      </c>
      <c r="N50" s="59" t="str">
        <f>IF(ISBLANK(L50)," ",IF(ISTEXT(L50)," ",IF(L50&lt;=40,"МСМК",IF(L50&lt;=42,"МС",IF(L50&lt;=43.8,"КМС",IF(L50&lt;=47,"I",IF(L50&lt;=51,"II",IF(L50&lt;=55.2,"III",IF(L50&lt;=59.8,"I юн",IF(L50&lt;=105.4,"II юн",IF(L50&lt;=110.4,"III юн","б/р")))))))))))</f>
        <v xml:space="preserve"> </v>
      </c>
      <c r="O50" s="77"/>
      <c r="Q50" s="59" t="str">
        <f t="shared" ref="Q50" si="36">IF(ISBLANK(P50)," ",IF(ISTEXT(P50)," ",IF(P50&lt;=$H$49,"МСМК",IF(P50&lt;=$H$50,"МС",IF(P50&lt;=$H$51,"КМС",IF(P50&lt;=$H$52,"I",IF(P50&lt;=$H$53,"II",IF(P50&lt;=$H$54,"III",IF(P50&lt;=$H$55,"I юн",IF(P50&lt;=$H$56,"II юн",IF(P50&lt;=$H$57,"III юн","б/р")))))))))))</f>
        <v xml:space="preserve"> </v>
      </c>
    </row>
    <row r="51" spans="3:33" x14ac:dyDescent="0.3">
      <c r="C51" s="86"/>
      <c r="D51" s="36"/>
      <c r="E51" s="36"/>
      <c r="F51" s="86"/>
      <c r="G51" s="86"/>
      <c r="H51" s="74">
        <v>44</v>
      </c>
      <c r="I51" s="59" t="str">
        <f>IF(ISBLANK(H51)," ",IF(ISTEXT(H51)," ",IF(H51&lt;=Нормативы!$H$49,"МСМК",IF(H51&lt;=Нормативы!$H$50,"МС",IF(H51&lt;=Нормативы!$H$51,"КМС",IF(H51&lt;=Нормативы!$H$52,"I",IF(H51&lt;=Нормативы!$H$53,"II",IF(H51&lt;=Нормативы!$H$54,"III",IF(H51&lt;=Нормативы!$H$55,"I юн",IF(H51&lt;=Нормативы!$H$56,"II юн",IF(H51&lt;=Нормативы!$H$57,"III юн","б/р")))))))))))</f>
        <v>КМС</v>
      </c>
      <c r="J51" s="59" t="str">
        <f>IF(ISBLANK(H51)," ",IF(ISTEXT(H51)," ",IF(H51&lt;=Нормативы!$H$49,"МСМК",IF(H51&lt;=Нормативы!$H$50,"МС",IF(H51&lt;=Нормативы!$H$51,"КМС",IF(H51&lt;=Нормативы!$H$52,"I",IF(H51&lt;=Нормативы!$H$53,"II",IF(H51&lt;=Нормативы!$H$54,"III",IF(H51&lt;=Нормативы!$H$55,"I юн",IF(H51&lt;=Нормативы!$H$56,"II юн",IF(H51&lt;=Нормативы!$H$57,"III юн","б/р")))))))))))</f>
        <v>КМС</v>
      </c>
      <c r="K51" s="75"/>
      <c r="L51" s="74">
        <f t="shared" ref="L51:L57" si="37">H51-0.2</f>
        <v>43.8</v>
      </c>
      <c r="M51" s="59" t="str">
        <f>IF(ISBLANK(L51)," ",IF(ISTEXT(L51)," ",IF(L51&lt;=Нормативы!$H$49,"КМС",IF(L51&lt;=Нормативы!$H$50,"КМС",IF(L51&lt;=Нормативы!$L$51,"КМС",IF(L51&lt;=Нормативы!$L$52,"I",IF(L51&lt;=Нормативы!$L$53,"II",IF(L51&lt;=Нормативы!$L$54,"III",IF(L51&lt;=Нормативы!$L$55,"I юн",IF(L51&lt;=Нормативы!$L$56,"II юн",IF(L51&lt;=Нормативы!$L$57,"III юн","б/р")))))))))))</f>
        <v>КМС</v>
      </c>
      <c r="N51" s="59" t="str">
        <f>IF(ISBLANK(L51)," ",IF(ISTEXT(L51)," ",IF(L51&lt;=Нормативы!$H$49,"КМС",IF(L51&lt;=Нормативы!$H$50,"КМС",IF(L51&lt;=Нормативы!$L$51,"КМС",IF(L51&lt;=Нормативы!$L$52,"I",IF(L51&lt;=Нормативы!$L$53,"II",IF(L51&lt;=Нормативы!$L$54,"III",IF(L51&lt;=Нормативы!$L$55,"I юн",IF(L51&lt;=Нормативы!$L$56,"II юн",IF(L51&lt;=Нормативы!$L$57,"III юн","б/р")))))))))))</f>
        <v>КМС</v>
      </c>
      <c r="O51" s="59"/>
      <c r="Q51" s="59" t="str">
        <f t="shared" ref="Q51" si="38">IF(ISBLANK(P51)," ",IF(ISTEXT(P51)," ",IF(P51&lt;=$H$49,"МСМК",IF(P51&lt;=$H$50,"МС",IF(P51&lt;=$H$51,"КМС",IF(P51&lt;=$H$52,"I",IF(P51&lt;=$H$53,"II",IF(P51&lt;=$H$54,"III",IF(P51&lt;=$H$55,"I юн",IF(P51&lt;=$H$56,"II юн",IF(P51&lt;=$H$57,"III юн","б/р")))))))))))</f>
        <v xml:space="preserve"> </v>
      </c>
    </row>
    <row r="52" spans="3:33" x14ac:dyDescent="0.3">
      <c r="C52" s="86"/>
      <c r="D52" s="36"/>
      <c r="E52" s="36"/>
      <c r="F52" s="86"/>
      <c r="G52" s="86"/>
      <c r="H52" s="74">
        <v>47.2</v>
      </c>
      <c r="I52" s="59" t="str">
        <f>IF(ISBLANK(H52)," ",IF(ISTEXT(H52)," ",IF(H52&lt;=Нормативы!$H$49,"МСМК",IF(H52&lt;=Нормативы!$H$50,"МС",IF(H52&lt;=Нормативы!$H$51,"КМС",IF(H52&lt;=Нормативы!$H$52,"I",IF(H52&lt;=Нормативы!$H$53,"II",IF(H52&lt;=Нормативы!$H$54,"III",IF(H52&lt;=Нормативы!$H$55,"I юн",IF(H52&lt;=Нормативы!$H$56,"II юн",IF(H52&lt;=Нормативы!$H$57,"III юн","б/р")))))))))))</f>
        <v>I</v>
      </c>
      <c r="J52" s="59" t="str">
        <f>IF(ISBLANK(H52)," ",IF(ISTEXT(H52)," ",IF(H52&lt;=Нормативы!$H$49,"МСМК",IF(H52&lt;=Нормативы!$H$50,"МС",IF(H52&lt;=Нормативы!$H$51,"КМС",IF(H52&lt;=Нормативы!$H$52,"I",IF(H52&lt;=Нормативы!$H$53,"II",IF(H52&lt;=Нормативы!$H$54,"III",IF(H52&lt;=Нормативы!$H$55,"I юн",IF(H52&lt;=Нормативы!$H$56,"II юн",IF(H52&lt;=Нормативы!$H$57,"III юн","б/р")))))))))))</f>
        <v>I</v>
      </c>
      <c r="K52" s="75"/>
      <c r="L52" s="74">
        <f t="shared" si="37"/>
        <v>47</v>
      </c>
      <c r="M52" s="59" t="str">
        <f>IF(ISBLANK(L52)," ",IF(ISTEXT(L52)," ",IF(L52&lt;=Нормативы!$H$49,"КМС",IF(L52&lt;=Нормативы!$H$50,"КМС",IF(L52&lt;=Нормативы!$L$51,"КМС",IF(L52&lt;=Нормативы!$L$52,"I",IF(L52&lt;=Нормативы!$L$53,"II",IF(L52&lt;=Нормативы!$L$54,"III",IF(L52&lt;=Нормативы!$L$55,"I юн",IF(L52&lt;=Нормативы!$L$56,"II юн",IF(L52&lt;=Нормативы!$L$57,"III юн","б/р")))))))))))</f>
        <v>I</v>
      </c>
      <c r="N52" s="59" t="str">
        <f>IF(ISBLANK(L52)," ",IF(ISTEXT(L52)," ",IF(L52&lt;=Нормативы!$H$49,"КМС",IF(L52&lt;=Нормативы!$H$50,"КМС",IF(L52&lt;=Нормативы!$L$51,"КМС",IF(L52&lt;=Нормативы!$L$52,"I",IF(L52&lt;=Нормативы!$L$53,"II",IF(L52&lt;=Нормативы!$L$54,"III",IF(L52&lt;=Нормативы!$L$55,"I юн",IF(L52&lt;=Нормативы!$L$56,"II юн",IF(L52&lt;=Нормативы!$L$57,"III юн","б/р")))))))))))</f>
        <v>I</v>
      </c>
      <c r="O52" s="59"/>
      <c r="Q52" s="59" t="str">
        <f t="shared" ref="Q52" si="39">IF(ISBLANK(P52)," ",IF(ISTEXT(P52)," ",IF(P52&lt;=$H$49,"МСМК",IF(P52&lt;=$H$50,"МС",IF(P52&lt;=$H$51,"КМС",IF(P52&lt;=$H$52,"I",IF(P52&lt;=$H$53,"II",IF(P52&lt;=$H$54,"III",IF(P52&lt;=$H$55,"I юн",IF(P52&lt;=$H$56,"II юн",IF(P52&lt;=$H$57,"III юн","б/р")))))))))))</f>
        <v xml:space="preserve"> </v>
      </c>
    </row>
    <row r="53" spans="3:33" x14ac:dyDescent="0.3">
      <c r="C53" s="86"/>
      <c r="D53" s="36"/>
      <c r="E53" s="36"/>
      <c r="F53" s="86"/>
      <c r="G53" s="86"/>
      <c r="H53" s="74">
        <v>51.2</v>
      </c>
      <c r="I53" s="59" t="str">
        <f>IF(ISBLANK(H53)," ",IF(ISTEXT(H53)," ",IF(H53&lt;=Нормативы!$H$49,"МСМК",IF(H53&lt;=Нормативы!$H$50,"МС",IF(H53&lt;=Нормативы!$H$51,"КМС",IF(H53&lt;=Нормативы!$H$52,"I",IF(H53&lt;=Нормативы!$H$53,"II",IF(H53&lt;=Нормативы!$H$54,"III",IF(H53&lt;=Нормативы!$H$55,"I юн",IF(H53&lt;=Нормативы!$H$56,"II юн",IF(H53&lt;=Нормативы!$H$57,"III юн","б/р")))))))))))</f>
        <v>II</v>
      </c>
      <c r="J53" s="59" t="str">
        <f>IF(ISBLANK(H53)," ",IF(ISTEXT(H53)," ",IF(H53&lt;=Нормативы!$H$49,"МСМК",IF(H53&lt;=Нормативы!$H$50,"МС",IF(H53&lt;=Нормативы!$H$51,"КМС",IF(H53&lt;=Нормативы!$H$52,"I",IF(H53&lt;=Нормативы!$H$53,"II",IF(H53&lt;=Нормативы!$H$54,"III",IF(H53&lt;=Нормативы!$H$55,"I юн",IF(H53&lt;=Нормативы!$H$56,"II юн",IF(H53&lt;=Нормативы!$H$57,"III юн","б/р")))))))))))</f>
        <v>II</v>
      </c>
      <c r="K53" s="75"/>
      <c r="L53" s="74">
        <f t="shared" si="37"/>
        <v>51</v>
      </c>
      <c r="M53" s="59" t="str">
        <f>IF(ISBLANK(L53)," ",IF(ISTEXT(L53)," ",IF(L53&lt;=Нормативы!$H$49,"КМС",IF(L53&lt;=Нормативы!$H$50,"КМС",IF(L53&lt;=Нормативы!$L$51,"КМС",IF(L53&lt;=Нормативы!$L$52,"I",IF(L53&lt;=Нормативы!$L$53,"II",IF(L53&lt;=Нормативы!$L$54,"III",IF(L53&lt;=Нормативы!$L$55,"I юн",IF(L53&lt;=Нормативы!$L$56,"II юн",IF(L53&lt;=Нормативы!$L$57,"III юн","б/р")))))))))))</f>
        <v>II</v>
      </c>
      <c r="N53" s="59" t="str">
        <f>IF(ISBLANK(L53)," ",IF(ISTEXT(L53)," ",IF(L53&lt;=Нормативы!$H$49,"КМС",IF(L53&lt;=Нормативы!$H$50,"КМС",IF(L53&lt;=Нормативы!$L$51,"КМС",IF(L53&lt;=Нормативы!$L$52,"I",IF(L53&lt;=Нормативы!$L$53,"II",IF(L53&lt;=Нормативы!$L$54,"III",IF(L53&lt;=Нормативы!$L$55,"I юн",IF(L53&lt;=Нормативы!$L$56,"II юн",IF(L53&lt;=Нормативы!$L$57,"III юн","б/р")))))))))))</f>
        <v>II</v>
      </c>
      <c r="O53" s="59"/>
      <c r="Q53" s="59" t="str">
        <f t="shared" ref="Q53" si="40">IF(ISBLANK(P53)," ",IF(ISTEXT(P53)," ",IF(P53&lt;=$H$49,"МСМК",IF(P53&lt;=$H$50,"МС",IF(P53&lt;=$H$51,"КМС",IF(P53&lt;=$H$52,"I",IF(P53&lt;=$H$53,"II",IF(P53&lt;=$H$54,"III",IF(P53&lt;=$H$55,"I юн",IF(P53&lt;=$H$56,"II юн",IF(P53&lt;=$H$57,"III юн","б/р")))))))))))</f>
        <v xml:space="preserve"> </v>
      </c>
    </row>
    <row r="54" spans="3:33" x14ac:dyDescent="0.3">
      <c r="C54" s="86"/>
      <c r="D54" s="36"/>
      <c r="E54" s="86"/>
      <c r="F54" s="86"/>
      <c r="G54" s="86"/>
      <c r="H54" s="74">
        <v>55.4</v>
      </c>
      <c r="I54" s="59" t="str">
        <f>IF(ISBLANK(H54)," ",IF(ISTEXT(H54)," ",IF(H54&lt;=Нормативы!$H$49,"МСМК",IF(H54&lt;=Нормативы!$H$50,"МС",IF(H54&lt;=Нормативы!$H$51,"КМС",IF(H54&lt;=Нормативы!$H$52,"I",IF(H54&lt;=Нормативы!$H$53,"II",IF(H54&lt;=Нормативы!$H$54,"III",IF(H54&lt;=Нормативы!$H$55,"I юн",IF(H54&lt;=Нормативы!$H$56,"II юн",IF(H54&lt;=Нормативы!$H$57,"III юн","б/р")))))))))))</f>
        <v>III</v>
      </c>
      <c r="J54" s="59" t="str">
        <f>IF(ISBLANK(H54)," ",IF(ISTEXT(H54)," ",IF(H54&lt;=Нормативы!$H$49,"МСМК",IF(H54&lt;=Нормативы!$H$50,"МС",IF(H54&lt;=Нормативы!$H$51,"КМС",IF(H54&lt;=Нормативы!$H$52,"I",IF(H54&lt;=Нормативы!$H$53,"II",IF(H54&lt;=Нормативы!$H$54,"III",IF(H54&lt;=Нормативы!$H$55,"I юн",IF(H54&lt;=Нормативы!$H$56,"II юн",IF(H54&lt;=Нормативы!$H$57,"III юн","б/р")))))))))))</f>
        <v>III</v>
      </c>
      <c r="K54" s="75"/>
      <c r="L54" s="74">
        <f t="shared" si="37"/>
        <v>55.199999999999996</v>
      </c>
      <c r="M54" s="59" t="str">
        <f>IF(ISBLANK(L54)," ",IF(ISTEXT(L54)," ",IF(L54&lt;=Нормативы!$H$49,"КМС",IF(L54&lt;=Нормативы!$H$50,"КМС",IF(L54&lt;=Нормативы!$L$51,"КМС",IF(L54&lt;=Нормативы!$L$52,"I",IF(L54&lt;=Нормативы!$L$53,"II",IF(L54&lt;=Нормативы!$L$54,"III",IF(L54&lt;=Нормативы!$L$55,"I юн",IF(L54&lt;=Нормативы!$L$56,"II юн",IF(L54&lt;=Нормативы!$L$57,"III юн","б/р")))))))))))</f>
        <v>III</v>
      </c>
      <c r="N54" s="59" t="str">
        <f>IF(ISBLANK(L54)," ",IF(ISTEXT(L54)," ",IF(L54&lt;=Нормативы!$H$49,"КМС",IF(L54&lt;=Нормативы!$H$50,"КМС",IF(L54&lt;=Нормативы!$L$51,"КМС",IF(L54&lt;=Нормативы!$L$52,"I",IF(L54&lt;=Нормативы!$L$53,"II",IF(L54&lt;=Нормативы!$L$54,"III",IF(L54&lt;=Нормативы!$L$55,"I юн",IF(L54&lt;=Нормативы!$L$56,"II юн",IF(L54&lt;=Нормативы!$L$57,"III юн","б/р")))))))))))</f>
        <v>III</v>
      </c>
      <c r="O54" s="59"/>
      <c r="Q54" s="59" t="str">
        <f t="shared" ref="Q54" si="41">IF(ISBLANK(P54)," ",IF(ISTEXT(P54)," ",IF(P54&lt;=$H$49,"МСМК",IF(P54&lt;=$H$50,"МС",IF(P54&lt;=$H$51,"КМС",IF(P54&lt;=$H$52,"I",IF(P54&lt;=$H$53,"II",IF(P54&lt;=$H$54,"III",IF(P54&lt;=$H$55,"I юн",IF(P54&lt;=$H$56,"II юн",IF(P54&lt;=$H$57,"III юн","б/р")))))))))))</f>
        <v xml:space="preserve"> </v>
      </c>
    </row>
    <row r="55" spans="3:33" x14ac:dyDescent="0.3">
      <c r="C55" s="86"/>
      <c r="D55" s="36"/>
      <c r="E55" s="86"/>
      <c r="F55" s="86"/>
      <c r="G55" s="86"/>
      <c r="H55" s="74">
        <v>100</v>
      </c>
      <c r="I55" s="59" t="str">
        <f>IF(ISBLANK(H55)," ",IF(ISTEXT(H55)," ",IF(H55&lt;=Нормативы!$H$49,"МСМК",IF(H55&lt;=Нормативы!$H$50,"МС",IF(H55&lt;=Нормативы!$H$51,"КМС",IF(H55&lt;=Нормативы!$H$52,"I",IF(H55&lt;=Нормативы!$H$53,"II",IF(H55&lt;=Нормативы!$H$54,"III",IF(H55&lt;=Нормативы!$H$55,"I юн",IF(H55&lt;=Нормативы!$H$56,"II юн",IF(H55&lt;=Нормативы!$H$57,"III юн","б/р")))))))))))</f>
        <v>I юн</v>
      </c>
      <c r="J55" s="59" t="str">
        <f>IF(ISBLANK(H55)," ",IF(ISTEXT(H55)," ",IF(H55&lt;=Нормативы!$H$49,"МСМК",IF(H55&lt;=Нормативы!$H$50,"МС",IF(H55&lt;=Нормативы!$H$51,"КМС",IF(H55&lt;=Нормативы!$H$52,"I",IF(H55&lt;=Нормативы!$H$53,"II",IF(H55&lt;=Нормативы!$H$54,"III",IF(H55&lt;=Нормативы!$H$55,"I юн",IF(H55&lt;=Нормативы!$H$56,"II юн",IF(H55&lt;=Нормативы!$H$57,"III юн","б/р")))))))))))</f>
        <v>I юн</v>
      </c>
      <c r="K55" s="75"/>
      <c r="L55" s="74">
        <f t="shared" si="37"/>
        <v>99.8</v>
      </c>
      <c r="M55" s="59" t="str">
        <f>IF(ISBLANK(L55)," ",IF(ISTEXT(L55)," ",IF(L55&lt;=Нормативы!$H$49,"КМС",IF(L55&lt;=Нормативы!$H$50,"КМС",IF(L55&lt;=Нормативы!$L$51,"КМС",IF(L55&lt;=Нормативы!$L$52,"I",IF(L55&lt;=Нормативы!$L$53,"II",IF(L55&lt;=Нормативы!$L$54,"III",IF(L55&lt;=Нормативы!$L$55,"I юн",IF(L55&lt;=Нормативы!$L$56,"II юн",IF(L55&lt;=Нормативы!$L$57,"III юн","б/р")))))))))))</f>
        <v>I юн</v>
      </c>
      <c r="N55" s="59" t="str">
        <f>IF(ISBLANK(L55)," ",IF(ISTEXT(L55)," ",IF(L55&lt;=Нормативы!$H$49,"КМС",IF(L55&lt;=Нормативы!$H$50,"КМС",IF(L55&lt;=Нормативы!$L$51,"КМС",IF(L55&lt;=Нормативы!$L$52,"I",IF(L55&lt;=Нормативы!$L$53,"II",IF(L55&lt;=Нормативы!$L$54,"III",IF(L55&lt;=Нормативы!$L$55,"I юн",IF(L55&lt;=Нормативы!$L$56,"II юн",IF(L55&lt;=Нормативы!$L$57,"III юн","б/р")))))))))))</f>
        <v>I юн</v>
      </c>
      <c r="O55" s="59"/>
      <c r="Q55" s="59" t="str">
        <f t="shared" ref="Q55" si="42">IF(ISBLANK(P55)," ",IF(ISTEXT(P55)," ",IF(P55&lt;=$H$49,"МСМК",IF(P55&lt;=$H$50,"МС",IF(P55&lt;=$H$51,"КМС",IF(P55&lt;=$H$52,"I",IF(P55&lt;=$H$53,"II",IF(P55&lt;=$H$54,"III",IF(P55&lt;=$H$55,"I юн",IF(P55&lt;=$H$56,"II юн",IF(P55&lt;=$H$57,"III юн","б/р")))))))))))</f>
        <v xml:space="preserve"> </v>
      </c>
    </row>
    <row r="56" spans="3:33" x14ac:dyDescent="0.3">
      <c r="C56" s="86"/>
      <c r="D56" s="36"/>
      <c r="E56" s="86"/>
      <c r="F56" s="86"/>
      <c r="G56" s="86"/>
      <c r="H56" s="74">
        <v>105.6</v>
      </c>
      <c r="I56" s="59" t="str">
        <f>IF(ISBLANK(H56)," ",IF(ISTEXT(H56)," ",IF(H56&lt;=Нормативы!$H$49,"МСМК",IF(H56&lt;=Нормативы!$H$50,"МС",IF(H56&lt;=Нормативы!$H$51,"КМС",IF(H56&lt;=Нормативы!$H$52,"I",IF(H56&lt;=Нормативы!$H$53,"II",IF(H56&lt;=Нормативы!$H$54,"III",IF(H56&lt;=Нормативы!$H$55,"I юн",IF(H56&lt;=Нормативы!$H$56,"II юн",IF(H56&lt;=Нормативы!$H$57,"III юн","б/р")))))))))))</f>
        <v>II юн</v>
      </c>
      <c r="J56" s="59" t="str">
        <f>IF(ISBLANK(H56)," ",IF(ISTEXT(H56)," ",IF(H56&lt;=Нормативы!$H$49,"МСМК",IF(H56&lt;=Нормативы!$H$50,"МС",IF(H56&lt;=Нормативы!$H$51,"КМС",IF(H56&lt;=Нормативы!$H$52,"I",IF(H56&lt;=Нормативы!$H$53,"II",IF(H56&lt;=Нормативы!$H$54,"III",IF(H56&lt;=Нормативы!$H$55,"I юн",IF(H56&lt;=Нормативы!$H$56,"II юн",IF(H56&lt;=Нормативы!$H$57,"III юн","б/р")))))))))))</f>
        <v>II юн</v>
      </c>
      <c r="K56" s="75"/>
      <c r="L56" s="74">
        <f t="shared" si="37"/>
        <v>105.39999999999999</v>
      </c>
      <c r="M56" s="59" t="str">
        <f>IF(ISBLANK(L56)," ",IF(ISTEXT(L56)," ",IF(L56&lt;=Нормативы!$H$49,"КМС",IF(L56&lt;=Нормативы!$H$50,"КМС",IF(L56&lt;=Нормативы!$L$51,"КМС",IF(L56&lt;=Нормативы!$L$52,"I",IF(L56&lt;=Нормативы!$L$53,"II",IF(L56&lt;=Нормативы!$L$54,"III",IF(L56&lt;=Нормативы!$L$55,"I юн",IF(L56&lt;=Нормативы!$L$56,"II юн",IF(L56&lt;=Нормативы!$L$57,"III юн","б/р")))))))))))</f>
        <v>II юн</v>
      </c>
      <c r="N56" s="59" t="str">
        <f>IF(ISBLANK(L56)," ",IF(ISTEXT(L56)," ",IF(L56&lt;=Нормативы!$H$49,"КМС",IF(L56&lt;=Нормативы!$H$50,"КМС",IF(L56&lt;=Нормативы!$L$51,"КМС",IF(L56&lt;=Нормативы!$L$52,"I",IF(L56&lt;=Нормативы!$L$53,"II",IF(L56&lt;=Нормативы!$L$54,"III",IF(L56&lt;=Нормативы!$L$55,"I юн",IF(L56&lt;=Нормативы!$L$56,"II юн",IF(L56&lt;=Нормативы!$L$57,"III юн","б/р")))))))))))</f>
        <v>II юн</v>
      </c>
      <c r="O56" s="59"/>
      <c r="Q56" s="59" t="str">
        <f t="shared" ref="Q56" si="43">IF(ISBLANK(P56)," ",IF(ISTEXT(P56)," ",IF(P56&lt;=$H$49,"МСМК",IF(P56&lt;=$H$50,"МС",IF(P56&lt;=$H$51,"КМС",IF(P56&lt;=$H$52,"I",IF(P56&lt;=$H$53,"II",IF(P56&lt;=$H$54,"III",IF(P56&lt;=$H$55,"I юн",IF(P56&lt;=$H$56,"II юн",IF(P56&lt;=$H$57,"III юн","б/р")))))))))))</f>
        <v xml:space="preserve"> </v>
      </c>
    </row>
    <row r="57" spans="3:33" x14ac:dyDescent="0.3">
      <c r="C57" s="86"/>
      <c r="D57" s="36"/>
      <c r="E57" s="36"/>
      <c r="F57" s="86"/>
      <c r="G57" s="86"/>
      <c r="H57" s="74">
        <v>110.6</v>
      </c>
      <c r="I57" s="59" t="str">
        <f>IF(ISBLANK(H57)," ",IF(ISTEXT(H57)," ",IF(H57&lt;=Нормативы!$H$49,"МСМК",IF(H57&lt;=Нормативы!$H$50,"МС",IF(H57&lt;=Нормативы!$H$51,"КМС",IF(H57&lt;=Нормативы!$H$52,"I",IF(H57&lt;=Нормативы!$H$53,"II",IF(H57&lt;=Нормативы!$H$54,"III",IF(H57&lt;=Нормативы!$H$55,"I юн",IF(H57&lt;=Нормативы!$H$56,"II юн",IF(H57&lt;=Нормативы!$H$57,"III юн","б/р")))))))))))</f>
        <v>III юн</v>
      </c>
      <c r="J57" s="59" t="str">
        <f>IF(ISBLANK(H57)," ",IF(ISTEXT(H57)," ",IF(H57&lt;=Нормативы!$H$49,"МСМК",IF(H57&lt;=Нормативы!$H$50,"МС",IF(H57&lt;=Нормативы!$H$51,"КМС",IF(H57&lt;=Нормативы!$H$52,"I",IF(H57&lt;=Нормативы!$H$53,"II",IF(H57&lt;=Нормативы!$H$54,"III",IF(H57&lt;=Нормативы!$H$55,"I юн",IF(H57&lt;=Нормативы!$H$56,"II юн",IF(H57&lt;=Нормативы!$H$57,"III юн","б/р")))))))))))</f>
        <v>III юн</v>
      </c>
      <c r="K57" s="75"/>
      <c r="L57" s="74">
        <f t="shared" si="37"/>
        <v>110.39999999999999</v>
      </c>
      <c r="M57" s="59" t="str">
        <f>IF(ISBLANK(L57)," ",IF(ISTEXT(L57)," ",IF(L57&lt;=Нормативы!$H$49,"КМС",IF(L57&lt;=Нормативы!$H$50,"КМС",IF(L57&lt;=Нормативы!$L$51,"КМС",IF(L57&lt;=Нормативы!$L$52,"I",IF(L57&lt;=Нормативы!$L$53,"II",IF(L57&lt;=Нормативы!$L$54,"III",IF(L57&lt;=Нормативы!$L$55,"I юн",IF(L57&lt;=Нормативы!$L$56,"II юн",IF(L57&lt;=Нормативы!$L$57,"III юн","б/р")))))))))))</f>
        <v>III юн</v>
      </c>
      <c r="N57" s="59" t="str">
        <f>IF(ISBLANK(L57)," ",IF(ISTEXT(L57)," ",IF(L57&lt;=Нормативы!$H$49,"КМС",IF(L57&lt;=Нормативы!$H$50,"КМС",IF(L57&lt;=Нормативы!$L$51,"КМС",IF(L57&lt;=Нормативы!$L$52,"I",IF(L57&lt;=Нормативы!$L$53,"II",IF(L57&lt;=Нормативы!$L$54,"III",IF(L57&lt;=Нормативы!$L$55,"I юн",IF(L57&lt;=Нормативы!$L$56,"II юн",IF(L57&lt;=Нормативы!$L$57,"III юн","б/р")))))))))))</f>
        <v>III юн</v>
      </c>
      <c r="O57" s="59"/>
      <c r="Q57" s="59" t="str">
        <f t="shared" ref="Q57" si="44">IF(ISBLANK(P57)," ",IF(ISTEXT(P57)," ",IF(P57&lt;=$H$49,"МСМК",IF(P57&lt;=$H$50,"МС",IF(P57&lt;=$H$51,"КМС",IF(P57&lt;=$H$52,"I",IF(P57&lt;=$H$53,"II",IF(P57&lt;=$H$54,"III",IF(P57&lt;=$H$55,"I юн",IF(P57&lt;=$H$56,"II юн",IF(P57&lt;=$H$57,"III юн","б/р")))))))))))</f>
        <v xml:space="preserve"> </v>
      </c>
    </row>
    <row r="58" spans="3:33" x14ac:dyDescent="0.3">
      <c r="C58" s="86"/>
      <c r="D58" s="36"/>
      <c r="E58" s="36"/>
      <c r="F58" s="86"/>
      <c r="G58" s="86"/>
      <c r="H58" s="74"/>
      <c r="I58" s="43"/>
      <c r="J58" s="43"/>
      <c r="K58" s="75"/>
      <c r="L58" s="43"/>
      <c r="M58" s="43"/>
      <c r="N58" s="43"/>
      <c r="P58" s="82"/>
      <c r="Q58" s="43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3"/>
      <c r="AC58" s="83"/>
      <c r="AD58" s="83"/>
      <c r="AE58" s="83"/>
      <c r="AF58" s="83"/>
      <c r="AG58" s="82"/>
    </row>
    <row r="59" spans="3:33" x14ac:dyDescent="0.3">
      <c r="C59" s="68" t="s">
        <v>44</v>
      </c>
      <c r="D59" s="69"/>
      <c r="E59" s="69"/>
      <c r="F59" s="68"/>
      <c r="G59" s="68"/>
      <c r="H59" s="70"/>
      <c r="I59" s="43"/>
      <c r="J59" s="43"/>
      <c r="K59" s="84"/>
      <c r="L59" s="43"/>
      <c r="M59" s="43"/>
      <c r="N59" s="43"/>
      <c r="P59" s="83"/>
      <c r="Q59" s="4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</row>
    <row r="60" spans="3:33" x14ac:dyDescent="0.3">
      <c r="C60" s="43"/>
      <c r="D60" s="43"/>
      <c r="E60" s="43"/>
      <c r="F60" s="43"/>
      <c r="G60" s="43"/>
      <c r="H60" s="88">
        <v>35.5</v>
      </c>
      <c r="I60" s="59" t="str">
        <f>IF(ISBLANK(H60)," ",IF(ISTEXT(H60)," ",IF(H60&lt;=Нормативы!$H$60,"МСМК",IF(H60&lt;=Нормативы!$H$61,"МС",IF(H60&lt;=Нормативы!$H$62,"КМС",IF(H60&lt;=Нормативы!$H$63,"I",IF(H60&lt;=Нормативы!$H$64,"II",IF(H60&lt;=Нормативы!$H$65,"III",IF(H60&lt;=Нормативы!$H$66,"I юн",IF(H60&lt;=Нормативы!$H$67,"II юн",IF(H60&lt;=Нормативы!$H$68,"III юн","б/р")))))))))))</f>
        <v>МСМК</v>
      </c>
      <c r="J60" s="59" t="str">
        <f>IF(ISBLANK(H60)," ",IF(ISTEXT(H60)," ",IF(H60&lt;=Нормативы!$H$60,"МСМК",IF(H60&lt;=Нормативы!$H$61,"МС",IF(H60&lt;=Нормативы!$H$62,"КМС",IF(H60&lt;=Нормативы!$H$63,"I",IF(H60&lt;=Нормативы!$H$64,"II",IF(H60&lt;=Нормативы!$H$65,"III",IF(H60&lt;=Нормативы!$H$66,"I юн",IF(H60&lt;=Нормативы!$H$67,"II юн",IF(H60&lt;=Нормативы!$H$68,"III юн","б/р")))))))))))</f>
        <v>МСМК</v>
      </c>
      <c r="K60" s="75"/>
      <c r="L60" s="89"/>
      <c r="M60" s="59" t="str">
        <f>IF(ISBLANK(L60)," ",IF(ISTEXT(L60)," ",IF(L60&lt;=Нормативы!$H$60,"КМС",IF(L60&lt;=Нормативы!$H$61,"КМС",IF(L60&lt;=Нормативы!$L$62,"КМС",IF(L60&lt;=Нормативы!$L$63,"I",IF(L60&lt;=Нормативы!$L$64,"II",IF(L60&lt;=Нормативы!$L$65,"III",IF(L60&lt;=Нормативы!$L$66,"I юн",IF(L60&lt;=Нормативы!$L$67,"II юн",IF(L60&lt;=Нормативы!$L$68,"III юн","б/р")))))))))))</f>
        <v xml:space="preserve"> </v>
      </c>
      <c r="N60" s="59" t="str">
        <f>IF(ISBLANK(L60)," ",IF(ISTEXT(L60)," ",IF(L60&lt;=36,"МСМК",IF(L60&lt;=37.8,"МС",IF(L60&lt;=39.4,"КМС",IF(L60&lt;=42.3,"I",IF(L60&lt;=45.9,"II",IF(L60&lt;=49.8,"III",IF(L60&lt;=54.6,"I юн",IF(L60&lt;=59.6,"II юн",IF(L60&lt;=104.6,"III юн","б/р")))))))))))</f>
        <v xml:space="preserve"> </v>
      </c>
      <c r="O60" s="77"/>
      <c r="Q60" s="59" t="str">
        <f>IF(ISBLANK(P60)," ",IF(ISTEXT(P60)," ",IF(P60&lt;=$H$60,"МСМК",IF(P60&lt;=$H$61,"МС",IF(P60&lt;=$H$62,"КМС",IF(P60&lt;=$H$63,"I",IF(P60&lt;=$H$64,"II",IF(P60&lt;=$H$65,"III",IF(P60&lt;=$H$66,"I юн",IF(P60&lt;=$H$67,"II юн",IF(P60&lt;=$H$68,"III юн","б/р")))))))))))</f>
        <v xml:space="preserve"> </v>
      </c>
    </row>
    <row r="61" spans="3:33" x14ac:dyDescent="0.3">
      <c r="C61" s="86"/>
      <c r="D61" s="36"/>
      <c r="E61" s="36"/>
      <c r="F61" s="86"/>
      <c r="G61" s="86"/>
      <c r="H61" s="74">
        <v>37.299999999999997</v>
      </c>
      <c r="I61" s="59" t="str">
        <f>IF(ISBLANK(H61)," ",IF(ISTEXT(H61)," ",IF(H61&lt;=Нормативы!$H$60,"МСМК",IF(H61&lt;=Нормативы!$H$61,"МС",IF(H61&lt;=Нормативы!$H$62,"КМС",IF(H61&lt;=Нормативы!$H$63,"I",IF(H61&lt;=Нормативы!$H$64,"II",IF(H61&lt;=Нормативы!$H$65,"III",IF(H61&lt;=Нормативы!$H$66,"I юн",IF(H61&lt;=Нормативы!$H$67,"II юн",IF(H61&lt;=Нормативы!$H$68,"III юн","б/р")))))))))))</f>
        <v>МС</v>
      </c>
      <c r="J61" s="59" t="str">
        <f>IF(ISBLANK(H61)," ",IF(ISTEXT(H61)," ",IF(H61&lt;=Нормативы!$H$60,"МСМК",IF(H61&lt;=Нормативы!$H$61,"МС",IF(H61&lt;=Нормативы!$H$62,"КМС",IF(H61&lt;=Нормативы!$H$63,"I",IF(H61&lt;=Нормативы!$H$64,"II",IF(H61&lt;=Нормативы!$H$65,"III",IF(H61&lt;=Нормативы!$H$66,"I юн",IF(H61&lt;=Нормативы!$H$67,"II юн",IF(H61&lt;=Нормативы!$H$68,"III юн","б/р")))))))))))</f>
        <v>МС</v>
      </c>
      <c r="K61" s="75"/>
      <c r="L61" s="74"/>
      <c r="M61" s="59" t="str">
        <f>IF(ISBLANK(L61)," ",IF(ISTEXT(L61)," ",IF(L61&lt;=Нормативы!$H$60,"КМС",IF(L61&lt;=Нормативы!$H$61,"КМС",IF(L61&lt;=Нормативы!$L$62,"КМС",IF(L61&lt;=Нормативы!$L$63,"I",IF(L61&lt;=Нормативы!$L$64,"II",IF(L61&lt;=Нормативы!$L$65,"III",IF(L61&lt;=Нормативы!$L$66,"I юн",IF(L61&lt;=Нормативы!$L$67,"II юн",IF(L61&lt;=Нормативы!$L$68,"III юн","б/р")))))))))))</f>
        <v xml:space="preserve"> </v>
      </c>
      <c r="N61" s="59" t="str">
        <f>IF(ISBLANK(L61)," ",IF(ISTEXT(L61)," ",IF(L61&lt;=36,"МСМК",IF(L61&lt;=37.8,"МС",IF(L61&lt;=39.4,"КМС",IF(L61&lt;=42.3,"I",IF(L61&lt;=45.9,"II",IF(L61&lt;=49.8,"III",IF(L61&lt;=54.6,"I юн",IF(L61&lt;=59.6,"II юн",IF(L61&lt;=104.6,"III юн","б/р")))))))))))</f>
        <v xml:space="preserve"> </v>
      </c>
      <c r="O61" s="77"/>
      <c r="Q61" s="59" t="str">
        <f t="shared" ref="Q61" si="45">IF(ISBLANK(P61)," ",IF(ISTEXT(P61)," ",IF(P61&lt;=$H$60,"МСМК",IF(P61&lt;=$H$61,"МС",IF(P61&lt;=$H$62,"КМС",IF(P61&lt;=$H$63,"I",IF(P61&lt;=$H$64,"II",IF(P61&lt;=$H$65,"III",IF(P61&lt;=$H$66,"I юн",IF(P61&lt;=$H$67,"II юн",IF(P61&lt;=$H$68,"III юн","б/р")))))))))))</f>
        <v xml:space="preserve"> </v>
      </c>
    </row>
    <row r="62" spans="3:33" x14ac:dyDescent="0.3">
      <c r="C62" s="86"/>
      <c r="D62" s="36"/>
      <c r="E62" s="36"/>
      <c r="F62" s="86"/>
      <c r="G62" s="86"/>
      <c r="H62" s="74">
        <v>39.200000000000003</v>
      </c>
      <c r="I62" s="59" t="str">
        <f>IF(ISBLANK(H62)," ",IF(ISTEXT(H62)," ",IF(H62&lt;=Нормативы!$H$60,"МСМК",IF(H62&lt;=Нормативы!$H$61,"МС",IF(H62&lt;=Нормативы!$H$62,"КМС",IF(H62&lt;=Нормативы!$H$63,"I",IF(H62&lt;=Нормативы!$H$64,"II",IF(H62&lt;=Нормативы!$H$65,"III",IF(H62&lt;=Нормативы!$H$66,"I юн",IF(H62&lt;=Нормативы!$H$67,"II юн",IF(H62&lt;=Нормативы!$H$68,"III юн","б/р")))))))))))</f>
        <v>КМС</v>
      </c>
      <c r="J62" s="59" t="str">
        <f>IF(ISBLANK(H62)," ",IF(ISTEXT(H62)," ",IF(H62&lt;=Нормативы!$H$60,"МСМК",IF(H62&lt;=Нормативы!$H$61,"МС",IF(H62&lt;=Нормативы!$H$62,"КМС",IF(H62&lt;=Нормативы!$H$63,"I",IF(H62&lt;=Нормативы!$H$64,"II",IF(H62&lt;=Нормативы!$H$65,"III",IF(H62&lt;=Нормативы!$H$66,"I юн",IF(H62&lt;=Нормативы!$H$67,"II юн",IF(H62&lt;=Нормативы!$H$68,"III юн","б/р")))))))))))</f>
        <v>КМС</v>
      </c>
      <c r="K62" s="75"/>
      <c r="L62" s="74">
        <f t="shared" ref="L62:L68" si="46">H62-0.2</f>
        <v>39</v>
      </c>
      <c r="M62" s="59" t="str">
        <f>IF(ISBLANK(L62)," ",IF(ISTEXT(L62)," ",IF(L62&lt;=Нормативы!$H$60,"КМС",IF(L62&lt;=Нормативы!$H$61,"КМС",IF(L62&lt;=Нормативы!$L$62,"КМС",IF(L62&lt;=Нормативы!$L$63,"I",IF(L62&lt;=Нормативы!$L$64,"II",IF(L62&lt;=Нормативы!$L$65,"III",IF(L62&lt;=Нормативы!$L$66,"I юн",IF(L62&lt;=Нормативы!$L$67,"II юн",IF(L62&lt;=Нормативы!$L$68,"III юн","б/р")))))))))))</f>
        <v>КМС</v>
      </c>
      <c r="N62" s="59" t="str">
        <f>IF(ISBLANK(L62)," ",IF(ISTEXT(L62)," ",IF(L62&lt;=Нормативы!$H$60,"КМС",IF(L62&lt;=Нормативы!$H$61,"КМС",IF(L62&lt;=Нормативы!$L$62,"КМС",IF(L62&lt;=Нормативы!$L$63,"I",IF(L62&lt;=Нормативы!$L$64,"II",IF(L62&lt;=Нормативы!$L$65,"III",IF(L62&lt;=Нормативы!$L$66,"I юн",IF(L62&lt;=Нормативы!$L$67,"II юн",IF(L62&lt;=Нормативы!$L$68,"III юн","б/р")))))))))))</f>
        <v>КМС</v>
      </c>
      <c r="O62" s="59"/>
      <c r="Q62" s="59" t="str">
        <f t="shared" ref="Q62" si="47">IF(ISBLANK(P62)," ",IF(ISTEXT(P62)," ",IF(P62&lt;=$H$60,"МСМК",IF(P62&lt;=$H$61,"МС",IF(P62&lt;=$H$62,"КМС",IF(P62&lt;=$H$63,"I",IF(P62&lt;=$H$64,"II",IF(P62&lt;=$H$65,"III",IF(P62&lt;=$H$66,"I юн",IF(P62&lt;=$H$67,"II юн",IF(P62&lt;=$H$68,"III юн","б/р")))))))))))</f>
        <v xml:space="preserve"> </v>
      </c>
    </row>
    <row r="63" spans="3:33" x14ac:dyDescent="0.3">
      <c r="C63" s="86"/>
      <c r="D63" s="36"/>
      <c r="E63" s="36"/>
      <c r="F63" s="86"/>
      <c r="G63" s="86"/>
      <c r="H63" s="74">
        <v>42</v>
      </c>
      <c r="I63" s="59" t="str">
        <f>IF(ISBLANK(H63)," ",IF(ISTEXT(H63)," ",IF(H63&lt;=Нормативы!$H$60,"МСМК",IF(H63&lt;=Нормативы!$H$61,"МС",IF(H63&lt;=Нормативы!$H$62,"КМС",IF(H63&lt;=Нормативы!$H$63,"I",IF(H63&lt;=Нормативы!$H$64,"II",IF(H63&lt;=Нормативы!$H$65,"III",IF(H63&lt;=Нормативы!$H$66,"I юн",IF(H63&lt;=Нормативы!$H$67,"II юн",IF(H63&lt;=Нормативы!$H$68,"III юн","б/р")))))))))))</f>
        <v>I</v>
      </c>
      <c r="J63" s="59" t="str">
        <f>IF(ISBLANK(H63)," ",IF(ISTEXT(H63)," ",IF(H63&lt;=Нормативы!$H$60,"МСМК",IF(H63&lt;=Нормативы!$H$61,"МС",IF(H63&lt;=Нормативы!$H$62,"КМС",IF(H63&lt;=Нормативы!$H$63,"I",IF(H63&lt;=Нормативы!$H$64,"II",IF(H63&lt;=Нормативы!$H$65,"III",IF(H63&lt;=Нормативы!$H$66,"I юн",IF(H63&lt;=Нормативы!$H$67,"II юн",IF(H63&lt;=Нормативы!$H$68,"III юн","б/р")))))))))))</f>
        <v>I</v>
      </c>
      <c r="K63" s="75"/>
      <c r="L63" s="74">
        <f t="shared" si="46"/>
        <v>41.8</v>
      </c>
      <c r="M63" s="59" t="str">
        <f>IF(ISBLANK(L63)," ",IF(ISTEXT(L63)," ",IF(L63&lt;=Нормативы!$H$60,"КМС",IF(L63&lt;=Нормативы!$H$61,"КМС",IF(L63&lt;=Нормативы!$L$62,"КМС",IF(L63&lt;=Нормативы!$L$63,"I",IF(L63&lt;=Нормативы!$L$64,"II",IF(L63&lt;=Нормативы!$L$65,"III",IF(L63&lt;=Нормативы!$L$66,"I юн",IF(L63&lt;=Нормативы!$L$67,"II юн",IF(L63&lt;=Нормативы!$L$68,"III юн","б/р")))))))))))</f>
        <v>I</v>
      </c>
      <c r="N63" s="59" t="str">
        <f>IF(ISBLANK(L63)," ",IF(ISTEXT(L63)," ",IF(L63&lt;=Нормативы!$H$60,"КМС",IF(L63&lt;=Нормативы!$H$61,"КМС",IF(L63&lt;=Нормативы!$L$62,"КМС",IF(L63&lt;=Нормативы!$L$63,"I",IF(L63&lt;=Нормативы!$L$64,"II",IF(L63&lt;=Нормативы!$L$65,"III",IF(L63&lt;=Нормативы!$L$66,"I юн",IF(L63&lt;=Нормативы!$L$67,"II юн",IF(L63&lt;=Нормативы!$L$68,"III юн","б/р")))))))))))</f>
        <v>I</v>
      </c>
      <c r="O63" s="59"/>
      <c r="Q63" s="59" t="str">
        <f t="shared" ref="Q63" si="48">IF(ISBLANK(P63)," ",IF(ISTEXT(P63)," ",IF(P63&lt;=$H$60,"МСМК",IF(P63&lt;=$H$61,"МС",IF(P63&lt;=$H$62,"КМС",IF(P63&lt;=$H$63,"I",IF(P63&lt;=$H$64,"II",IF(P63&lt;=$H$65,"III",IF(P63&lt;=$H$66,"I юн",IF(P63&lt;=$H$67,"II юн",IF(P63&lt;=$H$68,"III юн","б/р")))))))))))</f>
        <v xml:space="preserve"> </v>
      </c>
    </row>
    <row r="64" spans="3:33" x14ac:dyDescent="0.3">
      <c r="C64" s="86"/>
      <c r="D64" s="36"/>
      <c r="E64" s="36"/>
      <c r="F64" s="86"/>
      <c r="G64" s="86"/>
      <c r="H64" s="74">
        <v>45.7</v>
      </c>
      <c r="I64" s="59" t="str">
        <f>IF(ISBLANK(H64)," ",IF(ISTEXT(H64)," ",IF(H64&lt;=Нормативы!$H$60,"МСМК",IF(H64&lt;=Нормативы!$H$61,"МС",IF(H64&lt;=Нормативы!$H$62,"КМС",IF(H64&lt;=Нормативы!$H$63,"I",IF(H64&lt;=Нормативы!$H$64,"II",IF(H64&lt;=Нормативы!$H$65,"III",IF(H64&lt;=Нормативы!$H$66,"I юн",IF(H64&lt;=Нормативы!$H$67,"II юн",IF(H64&lt;=Нормативы!$H$68,"III юн","б/р")))))))))))</f>
        <v>II</v>
      </c>
      <c r="J64" s="59" t="str">
        <f>IF(ISBLANK(H64)," ",IF(ISTEXT(H64)," ",IF(H64&lt;=Нормативы!$H$60,"МСМК",IF(H64&lt;=Нормативы!$H$61,"МС",IF(H64&lt;=Нормативы!$H$62,"КМС",IF(H64&lt;=Нормативы!$H$63,"I",IF(H64&lt;=Нормативы!$H$64,"II",IF(H64&lt;=Нормативы!$H$65,"III",IF(H64&lt;=Нормативы!$H$66,"I юн",IF(H64&lt;=Нормативы!$H$67,"II юн",IF(H64&lt;=Нормативы!$H$68,"III юн","б/р")))))))))))</f>
        <v>II</v>
      </c>
      <c r="K64" s="75"/>
      <c r="L64" s="74">
        <f t="shared" si="46"/>
        <v>45.5</v>
      </c>
      <c r="M64" s="59" t="str">
        <f>IF(ISBLANK(L64)," ",IF(ISTEXT(L64)," ",IF(L64&lt;=Нормативы!$H$60,"КМС",IF(L64&lt;=Нормативы!$H$61,"КМС",IF(L64&lt;=Нормативы!$L$62,"КМС",IF(L64&lt;=Нормативы!$L$63,"I",IF(L64&lt;=Нормативы!$L$64,"II",IF(L64&lt;=Нормативы!$L$65,"III",IF(L64&lt;=Нормативы!$L$66,"I юн",IF(L64&lt;=Нормативы!$L$67,"II юн",IF(L64&lt;=Нормативы!$L$68,"III юн","б/р")))))))))))</f>
        <v>II</v>
      </c>
      <c r="N64" s="59" t="str">
        <f>IF(ISBLANK(L64)," ",IF(ISTEXT(L64)," ",IF(L64&lt;=Нормативы!$H$60,"КМС",IF(L64&lt;=Нормативы!$H$61,"КМС",IF(L64&lt;=Нормативы!$L$62,"КМС",IF(L64&lt;=Нормативы!$L$63,"I",IF(L64&lt;=Нормативы!$L$64,"II",IF(L64&lt;=Нормативы!$L$65,"III",IF(L64&lt;=Нормативы!$L$66,"I юн",IF(L64&lt;=Нормативы!$L$67,"II юн",IF(L64&lt;=Нормативы!$L$68,"III юн","б/р")))))))))))</f>
        <v>II</v>
      </c>
      <c r="O64" s="59"/>
      <c r="Q64" s="59" t="str">
        <f t="shared" ref="Q64" si="49">IF(ISBLANK(P64)," ",IF(ISTEXT(P64)," ",IF(P64&lt;=$H$60,"МСМК",IF(P64&lt;=$H$61,"МС",IF(P64&lt;=$H$62,"КМС",IF(P64&lt;=$H$63,"I",IF(P64&lt;=$H$64,"II",IF(P64&lt;=$H$65,"III",IF(P64&lt;=$H$66,"I юн",IF(P64&lt;=$H$67,"II юн",IF(P64&lt;=$H$68,"III юн","б/р")))))))))))</f>
        <v xml:space="preserve"> </v>
      </c>
    </row>
    <row r="65" spans="3:33" x14ac:dyDescent="0.3">
      <c r="C65" s="86"/>
      <c r="D65" s="36"/>
      <c r="E65" s="36"/>
      <c r="F65" s="86"/>
      <c r="G65" s="86"/>
      <c r="H65" s="74">
        <v>49.7</v>
      </c>
      <c r="I65" s="59" t="str">
        <f>IF(ISBLANK(H65)," ",IF(ISTEXT(H65)," ",IF(H65&lt;=Нормативы!$H$60,"МСМК",IF(H65&lt;=Нормативы!$H$61,"МС",IF(H65&lt;=Нормативы!$H$62,"КМС",IF(H65&lt;=Нормативы!$H$63,"I",IF(H65&lt;=Нормативы!$H$64,"II",IF(H65&lt;=Нормативы!$H$65,"III",IF(H65&lt;=Нормативы!$H$66,"I юн",IF(H65&lt;=Нормативы!$H$67,"II юн",IF(H65&lt;=Нормативы!$H$68,"III юн","б/р")))))))))))</f>
        <v>III</v>
      </c>
      <c r="J65" s="59" t="str">
        <f>IF(ISBLANK(H65)," ",IF(ISTEXT(H65)," ",IF(H65&lt;=Нормативы!$H$60,"МСМК",IF(H65&lt;=Нормативы!$H$61,"МС",IF(H65&lt;=Нормативы!$H$62,"КМС",IF(H65&lt;=Нормативы!$H$63,"I",IF(H65&lt;=Нормативы!$H$64,"II",IF(H65&lt;=Нормативы!$H$65,"III",IF(H65&lt;=Нормативы!$H$66,"I юн",IF(H65&lt;=Нормативы!$H$67,"II юн",IF(H65&lt;=Нормативы!$H$68,"III юн","б/р")))))))))))</f>
        <v>III</v>
      </c>
      <c r="K65" s="75"/>
      <c r="L65" s="74">
        <f t="shared" si="46"/>
        <v>49.5</v>
      </c>
      <c r="M65" s="59" t="str">
        <f>IF(ISBLANK(L65)," ",IF(ISTEXT(L65)," ",IF(L65&lt;=Нормативы!$H$60,"КМС",IF(L65&lt;=Нормативы!$H$61,"КМС",IF(L65&lt;=Нормативы!$L$62,"КМС",IF(L65&lt;=Нормативы!$L$63,"I",IF(L65&lt;=Нормативы!$L$64,"II",IF(L65&lt;=Нормативы!$L$65,"III",IF(L65&lt;=Нормативы!$L$66,"I юн",IF(L65&lt;=Нормативы!$L$67,"II юн",IF(L65&lt;=Нормативы!$L$68,"III юн","б/р")))))))))))</f>
        <v>III</v>
      </c>
      <c r="N65" s="59" t="str">
        <f>IF(ISBLANK(L65)," ",IF(ISTEXT(L65)," ",IF(L65&lt;=Нормативы!$H$60,"КМС",IF(L65&lt;=Нормативы!$H$61,"КМС",IF(L65&lt;=Нормативы!$L$62,"КМС",IF(L65&lt;=Нормативы!$L$63,"I",IF(L65&lt;=Нормативы!$L$64,"II",IF(L65&lt;=Нормативы!$L$65,"III",IF(L65&lt;=Нормативы!$L$66,"I юн",IF(L65&lt;=Нормативы!$L$67,"II юн",IF(L65&lt;=Нормативы!$L$68,"III юн","б/р")))))))))))</f>
        <v>III</v>
      </c>
      <c r="O65" s="59"/>
      <c r="Q65" s="59" t="str">
        <f t="shared" ref="Q65" si="50">IF(ISBLANK(P65)," ",IF(ISTEXT(P65)," ",IF(P65&lt;=$H$60,"МСМК",IF(P65&lt;=$H$61,"МС",IF(P65&lt;=$H$62,"КМС",IF(P65&lt;=$H$63,"I",IF(P65&lt;=$H$64,"II",IF(P65&lt;=$H$65,"III",IF(P65&lt;=$H$66,"I юн",IF(P65&lt;=$H$67,"II юн",IF(P65&lt;=$H$68,"III юн","б/р")))))))))))</f>
        <v xml:space="preserve"> </v>
      </c>
    </row>
    <row r="66" spans="3:33" x14ac:dyDescent="0.3">
      <c r="C66" s="86"/>
      <c r="D66" s="36"/>
      <c r="E66" s="36"/>
      <c r="F66" s="86"/>
      <c r="G66" s="86"/>
      <c r="H66" s="74">
        <v>54.300000000000004</v>
      </c>
      <c r="I66" s="59" t="str">
        <f>IF(ISBLANK(H66)," ",IF(ISTEXT(H66)," ",IF(H66&lt;=Нормативы!$H$60,"МСМК",IF(H66&lt;=Нормативы!$H$61,"МС",IF(H66&lt;=Нормативы!$H$62,"КМС",IF(H66&lt;=Нормативы!$H$63,"I",IF(H66&lt;=Нормативы!$H$64,"II",IF(H66&lt;=Нормативы!$H$65,"III",IF(H66&lt;=Нормативы!$H$66,"I юн",IF(H66&lt;=Нормативы!$H$67,"II юн",IF(H66&lt;=Нормативы!$H$68,"III юн","б/р")))))))))))</f>
        <v>I юн</v>
      </c>
      <c r="J66" s="59" t="str">
        <f>IF(ISBLANK(H66)," ",IF(ISTEXT(H66)," ",IF(H66&lt;=Нормативы!$H$60,"МСМК",IF(H66&lt;=Нормативы!$H$61,"МС",IF(H66&lt;=Нормативы!$H$62,"КМС",IF(H66&lt;=Нормативы!$H$63,"I",IF(H66&lt;=Нормативы!$H$64,"II",IF(H66&lt;=Нормативы!$H$65,"III",IF(H66&lt;=Нормативы!$H$66,"I юн",IF(H66&lt;=Нормативы!$H$67,"II юн",IF(H66&lt;=Нормативы!$H$68,"III юн","б/р")))))))))))</f>
        <v>I юн</v>
      </c>
      <c r="K66" s="75"/>
      <c r="L66" s="74">
        <f t="shared" si="46"/>
        <v>54.1</v>
      </c>
      <c r="M66" s="59" t="str">
        <f>IF(ISBLANK(L66)," ",IF(ISTEXT(L66)," ",IF(L66&lt;=Нормативы!$H$60,"КМС",IF(L66&lt;=Нормативы!$H$61,"КМС",IF(L66&lt;=Нормативы!$L$62,"КМС",IF(L66&lt;=Нормативы!$L$63,"I",IF(L66&lt;=Нормативы!$L$64,"II",IF(L66&lt;=Нормативы!$L$65,"III",IF(L66&lt;=Нормативы!$L$66,"I юн",IF(L66&lt;=Нормативы!$L$67,"II юн",IF(L66&lt;=Нормативы!$L$68,"III юн","б/р")))))))))))</f>
        <v>I юн</v>
      </c>
      <c r="N66" s="59" t="str">
        <f>IF(ISBLANK(L66)," ",IF(ISTEXT(L66)," ",IF(L66&lt;=Нормативы!$H$60,"КМС",IF(L66&lt;=Нормативы!$H$61,"КМС",IF(L66&lt;=Нормативы!$L$62,"КМС",IF(L66&lt;=Нормативы!$L$63,"I",IF(L66&lt;=Нормативы!$L$64,"II",IF(L66&lt;=Нормативы!$L$65,"III",IF(L66&lt;=Нормативы!$L$66,"I юн",IF(L66&lt;=Нормативы!$L$67,"II юн",IF(L66&lt;=Нормативы!$L$68,"III юн","б/р")))))))))))</f>
        <v>I юн</v>
      </c>
      <c r="O66" s="59"/>
      <c r="Q66" s="59" t="str">
        <f t="shared" ref="Q66" si="51">IF(ISBLANK(P66)," ",IF(ISTEXT(P66)," ",IF(P66&lt;=$H$60,"МСМК",IF(P66&lt;=$H$61,"МС",IF(P66&lt;=$H$62,"КМС",IF(P66&lt;=$H$63,"I",IF(P66&lt;=$H$64,"II",IF(P66&lt;=$H$65,"III",IF(P66&lt;=$H$66,"I юн",IF(P66&lt;=$H$67,"II юн",IF(P66&lt;=$H$68,"III юн","б/р")))))))))))</f>
        <v xml:space="preserve"> </v>
      </c>
    </row>
    <row r="67" spans="3:33" x14ac:dyDescent="0.3">
      <c r="C67" s="86"/>
      <c r="D67" s="36"/>
      <c r="E67" s="36"/>
      <c r="F67" s="86"/>
      <c r="G67" s="86"/>
      <c r="H67" s="74">
        <v>59.2</v>
      </c>
      <c r="I67" s="59" t="str">
        <f>IF(ISBLANK(H67)," ",IF(ISTEXT(H67)," ",IF(H67&lt;=Нормативы!$H$60,"МСМК",IF(H67&lt;=Нормативы!$H$61,"МС",IF(H67&lt;=Нормативы!$H$62,"КМС",IF(H67&lt;=Нормативы!$H$63,"I",IF(H67&lt;=Нормативы!$H$64,"II",IF(H67&lt;=Нормативы!$H$65,"III",IF(H67&lt;=Нормативы!$H$66,"I юн",IF(H67&lt;=Нормативы!$H$67,"II юн",IF(H67&lt;=Нормативы!$H$68,"III юн","б/р")))))))))))</f>
        <v>II юн</v>
      </c>
      <c r="J67" s="59" t="str">
        <f>IF(ISBLANK(H67)," ",IF(ISTEXT(H67)," ",IF(H67&lt;=Нормативы!$H$60,"МСМК",IF(H67&lt;=Нормативы!$H$61,"МС",IF(H67&lt;=Нормативы!$H$62,"КМС",IF(H67&lt;=Нормативы!$H$63,"I",IF(H67&lt;=Нормативы!$H$64,"II",IF(H67&lt;=Нормативы!$H$65,"III",IF(H67&lt;=Нормативы!$H$66,"I юн",IF(H67&lt;=Нормативы!$H$67,"II юн",IF(H67&lt;=Нормативы!$H$68,"III юн","б/р")))))))))))</f>
        <v>II юн</v>
      </c>
      <c r="K67" s="75"/>
      <c r="L67" s="74">
        <f t="shared" si="46"/>
        <v>59</v>
      </c>
      <c r="M67" s="59" t="str">
        <f>IF(ISBLANK(L67)," ",IF(ISTEXT(L67)," ",IF(L67&lt;=Нормативы!$H$60,"КМС",IF(L67&lt;=Нормативы!$H$61,"КМС",IF(L67&lt;=Нормативы!$L$62,"КМС",IF(L67&lt;=Нормативы!$L$63,"I",IF(L67&lt;=Нормативы!$L$64,"II",IF(L67&lt;=Нормативы!$L$65,"III",IF(L67&lt;=Нормативы!$L$66,"I юн",IF(L67&lt;=Нормативы!$L$67,"II юн",IF(L67&lt;=Нормативы!$L$68,"III юн","б/р")))))))))))</f>
        <v>II юн</v>
      </c>
      <c r="N67" s="59" t="str">
        <f>IF(ISBLANK(L67)," ",IF(ISTEXT(L67)," ",IF(L67&lt;=Нормативы!$H$60,"КМС",IF(L67&lt;=Нормативы!$H$61,"КМС",IF(L67&lt;=Нормативы!$L$62,"КМС",IF(L67&lt;=Нормативы!$L$63,"I",IF(L67&lt;=Нормативы!$L$64,"II",IF(L67&lt;=Нормативы!$L$65,"III",IF(L67&lt;=Нормативы!$L$66,"I юн",IF(L67&lt;=Нормативы!$L$67,"II юн",IF(L67&lt;=Нормативы!$L$68,"III юн","б/р")))))))))))</f>
        <v>II юн</v>
      </c>
      <c r="O67" s="59"/>
      <c r="Q67" s="59" t="str">
        <f t="shared" ref="Q67" si="52">IF(ISBLANK(P67)," ",IF(ISTEXT(P67)," ",IF(P67&lt;=$H$60,"МСМК",IF(P67&lt;=$H$61,"МС",IF(P67&lt;=$H$62,"КМС",IF(P67&lt;=$H$63,"I",IF(P67&lt;=$H$64,"II",IF(P67&lt;=$H$65,"III",IF(P67&lt;=$H$66,"I юн",IF(P67&lt;=$H$67,"II юн",IF(P67&lt;=$H$68,"III юн","б/р")))))))))))</f>
        <v xml:space="preserve"> </v>
      </c>
    </row>
    <row r="68" spans="3:33" x14ac:dyDescent="0.3">
      <c r="C68" s="86"/>
      <c r="D68" s="36"/>
      <c r="E68" s="36"/>
      <c r="F68" s="86"/>
      <c r="G68" s="86"/>
      <c r="H68" s="74">
        <v>104.2</v>
      </c>
      <c r="I68" s="59" t="str">
        <f>IF(ISBLANK(H68)," ",IF(ISTEXT(H68)," ",IF(H68&lt;=Нормативы!$H$60,"МСМК",IF(H68&lt;=Нормативы!$H$61,"МС",IF(H68&lt;=Нормативы!$H$62,"КМС",IF(H68&lt;=Нормативы!$H$63,"I",IF(H68&lt;=Нормативы!$H$64,"II",IF(H68&lt;=Нормативы!$H$65,"III",IF(H68&lt;=Нормативы!$H$66,"I юн",IF(H68&lt;=Нормативы!$H$67,"II юн",IF(H68&lt;=Нормативы!$H$68,"III юн","б/р")))))))))))</f>
        <v>III юн</v>
      </c>
      <c r="J68" s="59" t="str">
        <f>IF(ISBLANK(H68)," ",IF(ISTEXT(H68)," ",IF(H68&lt;=Нормативы!$H$60,"МСМК",IF(H68&lt;=Нормативы!$H$61,"МС",IF(H68&lt;=Нормативы!$H$62,"КМС",IF(H68&lt;=Нормативы!$H$63,"I",IF(H68&lt;=Нормативы!$H$64,"II",IF(H68&lt;=Нормативы!$H$65,"III",IF(H68&lt;=Нормативы!$H$66,"I юн",IF(H68&lt;=Нормативы!$H$67,"II юн",IF(H68&lt;=Нормативы!$H$68,"III юн","б/р")))))))))))</f>
        <v>III юн</v>
      </c>
      <c r="K68" s="75"/>
      <c r="L68" s="74">
        <f t="shared" si="46"/>
        <v>104</v>
      </c>
      <c r="M68" s="59" t="str">
        <f>IF(ISBLANK(L68)," ",IF(ISTEXT(L68)," ",IF(L68&lt;=Нормативы!$H$60,"КМС",IF(L68&lt;=Нормативы!$H$61,"КМС",IF(L68&lt;=Нормативы!$L$62,"КМС",IF(L68&lt;=Нормативы!$L$63,"I",IF(L68&lt;=Нормативы!$L$64,"II",IF(L68&lt;=Нормативы!$L$65,"III",IF(L68&lt;=Нормативы!$L$66,"I юн",IF(L68&lt;=Нормативы!$L$67,"II юн",IF(L68&lt;=Нормативы!$L$68,"III юн","б/р")))))))))))</f>
        <v>III юн</v>
      </c>
      <c r="N68" s="59" t="str">
        <f>IF(ISBLANK(L68)," ",IF(ISTEXT(L68)," ",IF(L68&lt;=Нормативы!$H$60,"КМС",IF(L68&lt;=Нормативы!$H$61,"КМС",IF(L68&lt;=Нормативы!$L$62,"КМС",IF(L68&lt;=Нормативы!$L$63,"I",IF(L68&lt;=Нормативы!$L$64,"II",IF(L68&lt;=Нормативы!$L$65,"III",IF(L68&lt;=Нормативы!$L$66,"I юн",IF(L68&lt;=Нормативы!$L$67,"II юн",IF(L68&lt;=Нормативы!$L$68,"III юн","б/р")))))))))))</f>
        <v>III юн</v>
      </c>
      <c r="O68" s="59"/>
      <c r="Q68" s="59" t="str">
        <f t="shared" ref="Q68" si="53">IF(ISBLANK(P68)," ",IF(ISTEXT(P68)," ",IF(P68&lt;=$H$60,"МСМК",IF(P68&lt;=$H$61,"МС",IF(P68&lt;=$H$62,"КМС",IF(P68&lt;=$H$63,"I",IF(P68&lt;=$H$64,"II",IF(P68&lt;=$H$65,"III",IF(P68&lt;=$H$66,"I юн",IF(P68&lt;=$H$67,"II юн",IF(P68&lt;=$H$68,"III юн","б/р")))))))))))</f>
        <v xml:space="preserve"> </v>
      </c>
    </row>
    <row r="69" spans="3:33" x14ac:dyDescent="0.3">
      <c r="C69" s="43"/>
      <c r="D69" s="43"/>
      <c r="E69" s="43"/>
      <c r="F69" s="43"/>
      <c r="G69" s="43"/>
      <c r="H69" s="74"/>
      <c r="I69" s="43"/>
      <c r="J69" s="43"/>
      <c r="K69" s="75"/>
      <c r="L69" s="43"/>
      <c r="M69" s="43"/>
      <c r="N69" s="43"/>
      <c r="O69" s="59"/>
      <c r="Q69" s="43"/>
    </row>
    <row r="70" spans="3:33" x14ac:dyDescent="0.3">
      <c r="C70" s="68" t="s">
        <v>62</v>
      </c>
      <c r="D70" s="43"/>
      <c r="E70" s="43"/>
      <c r="F70" s="43"/>
      <c r="G70" s="43"/>
      <c r="H70" s="42"/>
      <c r="I70" s="43"/>
      <c r="J70" s="43"/>
      <c r="K70" s="84"/>
      <c r="L70" s="43"/>
      <c r="M70" s="43"/>
      <c r="N70" s="43"/>
      <c r="Q70" s="43"/>
    </row>
    <row r="71" spans="3:33" x14ac:dyDescent="0.3">
      <c r="C71" s="43"/>
      <c r="D71" s="43"/>
      <c r="E71" s="43"/>
      <c r="F71" s="43"/>
      <c r="G71" s="43"/>
      <c r="H71" s="71">
        <v>47.9</v>
      </c>
      <c r="I71" s="59" t="str">
        <f>IF(ISBLANK(H71)," ",IF(ISTEXT(H71)," ",IF(H71&lt;=Нормативы!$H$71,"МСМК",IF(H71&lt;=Нормативы!$H$72,"МС",IF(H71&lt;=Нормативы!$H$73,"КМС",IF(H71&lt;=Нормативы!$H$74,"I",IF(H71&lt;=Нормативы!$H$75,"II",IF(H71&lt;=Нормативы!$H$76,"III",IF(H71&lt;=Нормативы!$H$77,"I юн",IF(H71&lt;=Нормативы!$H$78,"II юн",IF(H71&lt;=Нормативы!$H$79,"III юн","б/р")))))))))))</f>
        <v>МСМК</v>
      </c>
      <c r="J71" s="59" t="str">
        <f>IF(ISBLANK(H71)," ",IF(ISTEXT(H71)," ",IF(H71&lt;=Нормативы!$H$71,"МСМК",IF(H71&lt;=Нормативы!$H$72,"МС",IF(H71&lt;=Нормативы!$H$73,"КМС",IF(H71&lt;=Нормативы!$H$74,"I",IF(H71&lt;=Нормативы!$H$75,"II",IF(H71&lt;=Нормативы!$H$76,"III",IF(H71&lt;=Нормативы!$H$77,"I юн",IF(H71&lt;=Нормативы!$H$78,"II юн",IF(H71&lt;=Нормативы!$H$79,"III юн","б/р")))))))))))</f>
        <v>МСМК</v>
      </c>
      <c r="K71" s="75"/>
      <c r="L71" s="71"/>
      <c r="M71" s="59" t="str">
        <f>IF(ISBLANK(L71)," ",IF(ISTEXT(L71)," ",IF(L71&lt;=Нормативы!$H$71,"КМС",IF(L71&lt;=Нормативы!$H$72,"КМС",IF(L71&lt;=Нормативы!$L$73,"КМС",IF(L71&lt;=Нормативы!$L$74,"I",IF(L71&lt;=Нормативы!$L$75,"II",IF(L71&lt;=Нормативы!$L$76,"III",IF(L71&lt;=Нормативы!$L$77,"I юн",IF(L71&lt;=Нормативы!$L$78,"II юн",IF(L71&lt;=Нормативы!$L$79,"III юн","б/р")))))))))))</f>
        <v xml:space="preserve"> </v>
      </c>
      <c r="N71" s="59" t="str">
        <f>IF(ISBLANK(L71)," ",IF(ISTEXT(L71)," ",IF(L71&lt;=48.1,"МСМК",IF(L71&lt;=51,"МС",IF(L71&lt;=53.3,"КМС",IF(L71&lt;=57.3,"I",IF(L71&lt;=101.9,"II",IF(L71&lt;=107.8,"III",IF(L71&lt;=113.5,"I юн",IF(L71&lt;=119.6,"II юн",IF(L71&lt;=126,"III юн","б/р")))))))))))</f>
        <v xml:space="preserve"> </v>
      </c>
      <c r="O71" s="77"/>
      <c r="Q71" s="59" t="str">
        <f>IF(ISBLANK(P71)," ",IF(ISTEXT(P71)," ",IF(P71&lt;=$H$71,"МСМК",IF(P71&lt;=$H$72,"МС",IF(P71&lt;=$H$73,"КМС",IF(P71&lt;=$H$74,"I",IF(P71&lt;=$H$75,"II",IF(P71&lt;=$H$76,"III",IF(P71&lt;=$H$77,"I юн",IF(P71&lt;=$H$78,"II юн",IF(P71&lt;=$H$79,"III юн","б/р")))))))))))</f>
        <v xml:space="preserve"> </v>
      </c>
    </row>
    <row r="72" spans="3:33" x14ac:dyDescent="0.3">
      <c r="C72" s="43"/>
      <c r="D72" s="43"/>
      <c r="E72" s="43"/>
      <c r="F72" s="43"/>
      <c r="G72" s="43"/>
      <c r="H72" s="71">
        <v>50</v>
      </c>
      <c r="I72" s="59" t="str">
        <f>IF(ISBLANK(H72)," ",IF(ISTEXT(H72)," ",IF(H72&lt;=Нормативы!$H$71,"МСМК",IF(H72&lt;=Нормативы!$H$72,"МС",IF(H72&lt;=Нормативы!$H$73,"КМС",IF(H72&lt;=Нормативы!$H$74,"I",IF(H72&lt;=Нормативы!$H$75,"II",IF(H72&lt;=Нормативы!$H$76,"III",IF(H72&lt;=Нормативы!$H$77,"I юн",IF(H72&lt;=Нормативы!$H$78,"II юн",IF(H72&lt;=Нормативы!$H$79,"III юн","б/р")))))))))))</f>
        <v>МС</v>
      </c>
      <c r="J72" s="59" t="str">
        <f>IF(ISBLANK(H72)," ",IF(ISTEXT(H72)," ",IF(H72&lt;=Нормативы!$H$71,"МСМК",IF(H72&lt;=Нормативы!$H$72,"МС",IF(H72&lt;=Нормативы!$H$73,"КМС",IF(H72&lt;=Нормативы!$H$74,"I",IF(H72&lt;=Нормативы!$H$75,"II",IF(H72&lt;=Нормативы!$H$76,"III",IF(H72&lt;=Нормативы!$H$77,"I юн",IF(H72&lt;=Нормативы!$H$78,"II юн",IF(H72&lt;=Нормативы!$H$79,"III юн","б/р")))))))))))</f>
        <v>МС</v>
      </c>
      <c r="K72" s="75"/>
      <c r="L72" s="71"/>
      <c r="M72" s="59" t="str">
        <f>IF(ISBLANK(L72)," ",IF(ISTEXT(L72)," ",IF(L72&lt;=Нормативы!$H$71,"КМС",IF(L72&lt;=Нормативы!$H$72,"КМС",IF(L72&lt;=Нормативы!$L$73,"КМС",IF(L72&lt;=Нормативы!$L$74,"I",IF(L72&lt;=Нормативы!$L$75,"II",IF(L72&lt;=Нормативы!$L$76,"III",IF(L72&lt;=Нормативы!$L$77,"I юн",IF(L72&lt;=Нормативы!$L$78,"II юн",IF(L72&lt;=Нормативы!$L$79,"III юн","б/р")))))))))))</f>
        <v xml:space="preserve"> </v>
      </c>
      <c r="N72" s="59" t="str">
        <f>IF(ISBLANK(L72)," ",IF(ISTEXT(L72)," ",IF(L72&lt;=48.1,"МСМК",IF(L72&lt;=51,"МС",IF(L72&lt;=53.3,"КМС",IF(L72&lt;=57.3,"I",IF(L72&lt;=101.9,"II",IF(L72&lt;=107.8,"III",IF(L72&lt;=113.5,"I юн",IF(L72&lt;=119.6,"II юн",IF(L72&lt;=126,"III юн","б/р")))))))))))</f>
        <v xml:space="preserve"> </v>
      </c>
      <c r="O72" s="77"/>
      <c r="Q72" s="59" t="str">
        <f t="shared" ref="Q72" si="54">IF(ISBLANK(P72)," ",IF(ISTEXT(P72)," ",IF(P72&lt;=$H$71,"МСМК",IF(P72&lt;=$H$72,"МС",IF(P72&lt;=$H$73,"КМС",IF(P72&lt;=$H$74,"I",IF(P72&lt;=$H$75,"II",IF(P72&lt;=$H$76,"III",IF(P72&lt;=$H$77,"I юн",IF(P72&lt;=$H$78,"II юн",IF(P72&lt;=$H$79,"III юн","б/р")))))))))))</f>
        <v xml:space="preserve"> </v>
      </c>
    </row>
    <row r="73" spans="3:33" x14ac:dyDescent="0.3">
      <c r="C73" s="43"/>
      <c r="D73" s="43"/>
      <c r="E73" s="43"/>
      <c r="F73" s="43"/>
      <c r="G73" s="43"/>
      <c r="H73" s="71">
        <v>53.2</v>
      </c>
      <c r="I73" s="59" t="str">
        <f>IF(ISBLANK(H73)," ",IF(ISTEXT(H73)," ",IF(H73&lt;=Нормативы!$H$71,"МСМК",IF(H73&lt;=Нормативы!$H$72,"МС",IF(H73&lt;=Нормативы!$H$73,"КМС",IF(H73&lt;=Нормативы!$H$74,"I",IF(H73&lt;=Нормативы!$H$75,"II",IF(H73&lt;=Нормативы!$H$76,"III",IF(H73&lt;=Нормативы!$H$77,"I юн",IF(H73&lt;=Нормативы!$H$78,"II юн",IF(H73&lt;=Нормативы!$H$79,"III юн","б/р")))))))))))</f>
        <v>КМС</v>
      </c>
      <c r="J73" s="59" t="str">
        <f>IF(ISBLANK(H73)," ",IF(ISTEXT(H73)," ",IF(H73&lt;=Нормативы!$H$71,"МСМК",IF(H73&lt;=Нормативы!$H$72,"МС",IF(H73&lt;=Нормативы!$H$73,"КМС",IF(H73&lt;=Нормативы!$H$74,"I",IF(H73&lt;=Нормативы!$H$75,"II",IF(H73&lt;=Нормативы!$H$76,"III",IF(H73&lt;=Нормативы!$H$77,"I юн",IF(H73&lt;=Нормативы!$H$78,"II юн",IF(H73&lt;=Нормативы!$H$79,"III юн","б/р")))))))))))</f>
        <v>КМС</v>
      </c>
      <c r="K73" s="75"/>
      <c r="L73" s="74">
        <f t="shared" ref="L73:L79" si="55">H73-0.2</f>
        <v>53</v>
      </c>
      <c r="M73" s="59" t="str">
        <f>IF(ISBLANK(L73)," ",IF(ISTEXT(L73)," ",IF(L73&lt;=Нормативы!$H$71,"КМС",IF(L73&lt;=Нормативы!$H$72,"КМС",IF(L73&lt;=Нормативы!$L$73,"КМС",IF(L73&lt;=Нормативы!$L$74,"I",IF(L73&lt;=Нормативы!$L$75,"II",IF(L73&lt;=Нормативы!$L$76,"III",IF(L73&lt;=Нормативы!$L$77,"I юн",IF(L73&lt;=Нормативы!$L$78,"II юн",IF(L73&lt;=Нормативы!$L$79,"III юн","б/р")))))))))))</f>
        <v>КМС</v>
      </c>
      <c r="N73" s="59" t="str">
        <f>IF(ISBLANK(L73)," ",IF(ISTEXT(L73)," ",IF(L73&lt;=Нормативы!$H$71,"КМС",IF(L73&lt;=Нормативы!$H$72,"КМС",IF(L73&lt;=Нормативы!$L$73,"КМС",IF(L73&lt;=Нормативы!$L$74,"I",IF(L73&lt;=Нормативы!$L$75,"II",IF(L73&lt;=Нормативы!$L$76,"III",IF(L73&lt;=Нормативы!$L$77,"I юн",IF(L73&lt;=Нормативы!$L$78,"II юн",IF(L73&lt;=Нормативы!$L$79,"III юн","б/р")))))))))))</f>
        <v>КМС</v>
      </c>
      <c r="O73" s="59"/>
      <c r="Q73" s="59" t="str">
        <f t="shared" ref="Q73" si="56">IF(ISBLANK(P73)," ",IF(ISTEXT(P73)," ",IF(P73&lt;=$H$71,"МСМК",IF(P73&lt;=$H$72,"МС",IF(P73&lt;=$H$73,"КМС",IF(P73&lt;=$H$74,"I",IF(P73&lt;=$H$75,"II",IF(P73&lt;=$H$76,"III",IF(P73&lt;=$H$77,"I юн",IF(P73&lt;=$H$78,"II юн",IF(P73&lt;=$H$79,"III юн","б/р")))))))))))</f>
        <v xml:space="preserve"> </v>
      </c>
    </row>
    <row r="74" spans="3:33" x14ac:dyDescent="0.3">
      <c r="C74" s="43"/>
      <c r="D74" s="43"/>
      <c r="E74" s="43"/>
      <c r="F74" s="43"/>
      <c r="G74" s="43"/>
      <c r="H74" s="71">
        <v>57</v>
      </c>
      <c r="I74" s="59" t="str">
        <f>IF(ISBLANK(H74)," ",IF(ISTEXT(H74)," ",IF(H74&lt;=Нормативы!$H$71,"МСМК",IF(H74&lt;=Нормативы!$H$72,"МС",IF(H74&lt;=Нормативы!$H$73,"КМС",IF(H74&lt;=Нормативы!$H$74,"I",IF(H74&lt;=Нормативы!$H$75,"II",IF(H74&lt;=Нормативы!$H$76,"III",IF(H74&lt;=Нормативы!$H$77,"I юн",IF(H74&lt;=Нормативы!$H$78,"II юн",IF(H74&lt;=Нормативы!$H$79,"III юн","б/р")))))))))))</f>
        <v>I</v>
      </c>
      <c r="J74" s="59" t="str">
        <f>IF(ISBLANK(H74)," ",IF(ISTEXT(H74)," ",IF(H74&lt;=Нормативы!$H$71,"МСМК",IF(H74&lt;=Нормативы!$H$72,"МС",IF(H74&lt;=Нормативы!$H$73,"КМС",IF(H74&lt;=Нормативы!$H$74,"I",IF(H74&lt;=Нормативы!$H$75,"II",IF(H74&lt;=Нормативы!$H$76,"III",IF(H74&lt;=Нормативы!$H$77,"I юн",IF(H74&lt;=Нормативы!$H$78,"II юн",IF(H74&lt;=Нормативы!$H$79,"III юн","б/р")))))))))))</f>
        <v>I</v>
      </c>
      <c r="K74" s="75"/>
      <c r="L74" s="74">
        <f t="shared" si="55"/>
        <v>56.8</v>
      </c>
      <c r="M74" s="59" t="str">
        <f>IF(ISBLANK(L74)," ",IF(ISTEXT(L74)," ",IF(L74&lt;=Нормативы!$H$71,"КМС",IF(L74&lt;=Нормативы!$H$72,"КМС",IF(L74&lt;=Нормативы!$L$73,"КМС",IF(L74&lt;=Нормативы!$L$74,"I",IF(L74&lt;=Нормативы!$L$75,"II",IF(L74&lt;=Нормативы!$L$76,"III",IF(L74&lt;=Нормативы!$L$77,"I юн",IF(L74&lt;=Нормативы!$L$78,"II юн",IF(L74&lt;=Нормативы!$L$79,"III юн","б/р")))))))))))</f>
        <v>I</v>
      </c>
      <c r="N74" s="59" t="str">
        <f>IF(ISBLANK(L74)," ",IF(ISTEXT(L74)," ",IF(L74&lt;=Нормативы!$H$71,"КМС",IF(L74&lt;=Нормативы!$H$72,"КМС",IF(L74&lt;=Нормативы!$L$73,"КМС",IF(L74&lt;=Нормативы!$L$74,"I",IF(L74&lt;=Нормативы!$L$75,"II",IF(L74&lt;=Нормативы!$L$76,"III",IF(L74&lt;=Нормативы!$L$77,"I юн",IF(L74&lt;=Нормативы!$L$78,"II юн",IF(L74&lt;=Нормативы!$L$79,"III юн","б/р")))))))))))</f>
        <v>I</v>
      </c>
      <c r="O74" s="59"/>
      <c r="Q74" s="59" t="str">
        <f t="shared" ref="Q74" si="57">IF(ISBLANK(P74)," ",IF(ISTEXT(P74)," ",IF(P74&lt;=$H$71,"МСМК",IF(P74&lt;=$H$72,"МС",IF(P74&lt;=$H$73,"КМС",IF(P74&lt;=$H$74,"I",IF(P74&lt;=$H$75,"II",IF(P74&lt;=$H$76,"III",IF(P74&lt;=$H$77,"I юн",IF(P74&lt;=$H$78,"II юн",IF(P74&lt;=$H$79,"III юн","б/р")))))))))))</f>
        <v xml:space="preserve"> </v>
      </c>
    </row>
    <row r="75" spans="3:33" x14ac:dyDescent="0.3">
      <c r="C75" s="43"/>
      <c r="D75" s="43"/>
      <c r="E75" s="43"/>
      <c r="F75" s="43"/>
      <c r="G75" s="43"/>
      <c r="H75" s="71">
        <v>101.60000000000001</v>
      </c>
      <c r="I75" s="59" t="str">
        <f>IF(ISBLANK(H75)," ",IF(ISTEXT(H75)," ",IF(H75&lt;=Нормативы!$H$71,"МСМК",IF(H75&lt;=Нормативы!$H$72,"МС",IF(H75&lt;=Нормативы!$H$73,"КМС",IF(H75&lt;=Нормативы!$H$74,"I",IF(H75&lt;=Нормативы!$H$75,"II",IF(H75&lt;=Нормативы!$H$76,"III",IF(H75&lt;=Нормативы!$H$77,"I юн",IF(H75&lt;=Нормативы!$H$78,"II юн",IF(H75&lt;=Нормативы!$H$79,"III юн","б/р")))))))))))</f>
        <v>II</v>
      </c>
      <c r="J75" s="59" t="str">
        <f>IF(ISBLANK(H75)," ",IF(ISTEXT(H75)," ",IF(H75&lt;=Нормативы!$H$71,"МСМК",IF(H75&lt;=Нормативы!$H$72,"МС",IF(H75&lt;=Нормативы!$H$73,"КМС",IF(H75&lt;=Нормативы!$H$74,"I",IF(H75&lt;=Нормативы!$H$75,"II",IF(H75&lt;=Нормативы!$H$76,"III",IF(H75&lt;=Нормативы!$H$77,"I юн",IF(H75&lt;=Нормативы!$H$78,"II юн",IF(H75&lt;=Нормативы!$H$79,"III юн","б/р")))))))))))</f>
        <v>II</v>
      </c>
      <c r="K75" s="75"/>
      <c r="L75" s="74">
        <f t="shared" si="55"/>
        <v>101.4</v>
      </c>
      <c r="M75" s="59" t="str">
        <f>IF(ISBLANK(L75)," ",IF(ISTEXT(L75)," ",IF(L75&lt;=Нормативы!$H$71,"КМС",IF(L75&lt;=Нормативы!$H$72,"КМС",IF(L75&lt;=Нормативы!$L$73,"КМС",IF(L75&lt;=Нормативы!$L$74,"I",IF(L75&lt;=Нормативы!$L$75,"II",IF(L75&lt;=Нормативы!$L$76,"III",IF(L75&lt;=Нормативы!$L$77,"I юн",IF(L75&lt;=Нормативы!$L$78,"II юн",IF(L75&lt;=Нормативы!$L$79,"III юн","б/р")))))))))))</f>
        <v>II</v>
      </c>
      <c r="N75" s="59" t="str">
        <f>IF(ISBLANK(L75)," ",IF(ISTEXT(L75)," ",IF(L75&lt;=Нормативы!$H$71,"КМС",IF(L75&lt;=Нормативы!$H$72,"КМС",IF(L75&lt;=Нормативы!$L$73,"КМС",IF(L75&lt;=Нормативы!$L$74,"I",IF(L75&lt;=Нормативы!$L$75,"II",IF(L75&lt;=Нормативы!$L$76,"III",IF(L75&lt;=Нормативы!$L$77,"I юн",IF(L75&lt;=Нормативы!$L$78,"II юн",IF(L75&lt;=Нормативы!$L$79,"III юн","б/р")))))))))))</f>
        <v>II</v>
      </c>
      <c r="O75" s="59"/>
      <c r="Q75" s="59" t="str">
        <f t="shared" ref="Q75" si="58">IF(ISBLANK(P75)," ",IF(ISTEXT(P75)," ",IF(P75&lt;=$H$71,"МСМК",IF(P75&lt;=$H$72,"МС",IF(P75&lt;=$H$73,"КМС",IF(P75&lt;=$H$74,"I",IF(P75&lt;=$H$75,"II",IF(P75&lt;=$H$76,"III",IF(P75&lt;=$H$77,"I юн",IF(P75&lt;=$H$78,"II юн",IF(P75&lt;=$H$79,"III юн","б/р")))))))))))</f>
        <v xml:space="preserve"> </v>
      </c>
    </row>
    <row r="76" spans="3:33" x14ac:dyDescent="0.3">
      <c r="C76" s="43"/>
      <c r="D76" s="43"/>
      <c r="E76" s="43"/>
      <c r="F76" s="43"/>
      <c r="G76" s="43"/>
      <c r="H76" s="71">
        <v>107.4</v>
      </c>
      <c r="I76" s="59" t="str">
        <f>IF(ISBLANK(H76)," ",IF(ISTEXT(H76)," ",IF(H76&lt;=Нормативы!$H$71,"МСМК",IF(H76&lt;=Нормативы!$H$72,"МС",IF(H76&lt;=Нормативы!$H$73,"КМС",IF(H76&lt;=Нормативы!$H$74,"I",IF(H76&lt;=Нормативы!$H$75,"II",IF(H76&lt;=Нормативы!$H$76,"III",IF(H76&lt;=Нормативы!$H$77,"I юн",IF(H76&lt;=Нормативы!$H$78,"II юн",IF(H76&lt;=Нормативы!$H$79,"III юн","б/р")))))))))))</f>
        <v>III</v>
      </c>
      <c r="J76" s="59" t="str">
        <f>IF(ISBLANK(H76)," ",IF(ISTEXT(H76)," ",IF(H76&lt;=Нормативы!$H$71,"МСМК",IF(H76&lt;=Нормативы!$H$72,"МС",IF(H76&lt;=Нормативы!$H$73,"КМС",IF(H76&lt;=Нормативы!$H$74,"I",IF(H76&lt;=Нормативы!$H$75,"II",IF(H76&lt;=Нормативы!$H$76,"III",IF(H76&lt;=Нормативы!$H$77,"I юн",IF(H76&lt;=Нормативы!$H$78,"II юн",IF(H76&lt;=Нормативы!$H$79,"III юн","б/р")))))))))))</f>
        <v>III</v>
      </c>
      <c r="K76" s="75"/>
      <c r="L76" s="74">
        <f t="shared" si="55"/>
        <v>107.2</v>
      </c>
      <c r="M76" s="59" t="str">
        <f>IF(ISBLANK(L76)," ",IF(ISTEXT(L76)," ",IF(L76&lt;=Нормативы!$H$71,"КМС",IF(L76&lt;=Нормативы!$H$72,"КМС",IF(L76&lt;=Нормативы!$L$73,"КМС",IF(L76&lt;=Нормативы!$L$74,"I",IF(L76&lt;=Нормативы!$L$75,"II",IF(L76&lt;=Нормативы!$L$76,"III",IF(L76&lt;=Нормативы!$L$77,"I юн",IF(L76&lt;=Нормативы!$L$78,"II юн",IF(L76&lt;=Нормативы!$L$79,"III юн","б/р")))))))))))</f>
        <v>III</v>
      </c>
      <c r="N76" s="59" t="str">
        <f>IF(ISBLANK(L76)," ",IF(ISTEXT(L76)," ",IF(L76&lt;=Нормативы!$H$71,"КМС",IF(L76&lt;=Нормативы!$H$72,"КМС",IF(L76&lt;=Нормативы!$L$73,"КМС",IF(L76&lt;=Нормативы!$L$74,"I",IF(L76&lt;=Нормативы!$L$75,"II",IF(L76&lt;=Нормативы!$L$76,"III",IF(L76&lt;=Нормативы!$L$77,"I юн",IF(L76&lt;=Нормативы!$L$78,"II юн",IF(L76&lt;=Нормативы!$L$79,"III юн","б/р")))))))))))</f>
        <v>III</v>
      </c>
      <c r="O76" s="59"/>
      <c r="Q76" s="59" t="str">
        <f t="shared" ref="Q76" si="59">IF(ISBLANK(P76)," ",IF(ISTEXT(P76)," ",IF(P76&lt;=$H$71,"МСМК",IF(P76&lt;=$H$72,"МС",IF(P76&lt;=$H$73,"КМС",IF(P76&lt;=$H$74,"I",IF(P76&lt;=$H$75,"II",IF(P76&lt;=$H$76,"III",IF(P76&lt;=$H$77,"I юн",IF(P76&lt;=$H$78,"II юн",IF(P76&lt;=$H$79,"III юн","б/р")))))))))))</f>
        <v xml:space="preserve"> </v>
      </c>
    </row>
    <row r="77" spans="3:33" x14ac:dyDescent="0.3">
      <c r="C77" s="43"/>
      <c r="D77" s="43"/>
      <c r="E77" s="43"/>
      <c r="F77" s="43"/>
      <c r="G77" s="43"/>
      <c r="H77" s="71">
        <v>113</v>
      </c>
      <c r="I77" s="59" t="str">
        <f>IF(ISBLANK(H77)," ",IF(ISTEXT(H77)," ",IF(H77&lt;=Нормативы!$H$71,"МСМК",IF(H77&lt;=Нормативы!$H$72,"МС",IF(H77&lt;=Нормативы!$H$73,"КМС",IF(H77&lt;=Нормативы!$H$74,"I",IF(H77&lt;=Нормативы!$H$75,"II",IF(H77&lt;=Нормативы!$H$76,"III",IF(H77&lt;=Нормативы!$H$77,"I юн",IF(H77&lt;=Нормативы!$H$78,"II юн",IF(H77&lt;=Нормативы!$H$79,"III юн","б/р")))))))))))</f>
        <v>I юн</v>
      </c>
      <c r="J77" s="59" t="str">
        <f>IF(ISBLANK(H77)," ",IF(ISTEXT(H77)," ",IF(H77&lt;=Нормативы!$H$71,"МСМК",IF(H77&lt;=Нормативы!$H$72,"МС",IF(H77&lt;=Нормативы!$H$73,"КМС",IF(H77&lt;=Нормативы!$H$74,"I",IF(H77&lt;=Нормативы!$H$75,"II",IF(H77&lt;=Нормативы!$H$76,"III",IF(H77&lt;=Нормативы!$H$77,"I юн",IF(H77&lt;=Нормативы!$H$78,"II юн",IF(H77&lt;=Нормативы!$H$79,"III юн","б/р")))))))))))</f>
        <v>I юн</v>
      </c>
      <c r="K77" s="75"/>
      <c r="L77" s="74">
        <f t="shared" si="55"/>
        <v>112.8</v>
      </c>
      <c r="M77" s="59" t="str">
        <f>IF(ISBLANK(L77)," ",IF(ISTEXT(L77)," ",IF(L77&lt;=Нормативы!$H$71,"КМС",IF(L77&lt;=Нормативы!$H$72,"КМС",IF(L77&lt;=Нормативы!$L$73,"КМС",IF(L77&lt;=Нормативы!$L$74,"I",IF(L77&lt;=Нормативы!$L$75,"II",IF(L77&lt;=Нормативы!$L$76,"III",IF(L77&lt;=Нормативы!$L$77,"I юн",IF(L77&lt;=Нормативы!$L$78,"II юн",IF(L77&lt;=Нормативы!$L$79,"III юн","б/р")))))))))))</f>
        <v>I юн</v>
      </c>
      <c r="N77" s="59" t="str">
        <f>IF(ISBLANK(L77)," ",IF(ISTEXT(L77)," ",IF(L77&lt;=Нормативы!$H$71,"КМС",IF(L77&lt;=Нормативы!$H$72,"КМС",IF(L77&lt;=Нормативы!$L$73,"КМС",IF(L77&lt;=Нормативы!$L$74,"I",IF(L77&lt;=Нормативы!$L$75,"II",IF(L77&lt;=Нормативы!$L$76,"III",IF(L77&lt;=Нормативы!$L$77,"I юн",IF(L77&lt;=Нормативы!$L$78,"II юн",IF(L77&lt;=Нормативы!$L$79,"III юн","б/р")))))))))))</f>
        <v>I юн</v>
      </c>
      <c r="O77" s="59"/>
      <c r="Q77" s="59" t="str">
        <f t="shared" ref="Q77" si="60">IF(ISBLANK(P77)," ",IF(ISTEXT(P77)," ",IF(P77&lt;=$H$71,"МСМК",IF(P77&lt;=$H$72,"МС",IF(P77&lt;=$H$73,"КМС",IF(P77&lt;=$H$74,"I",IF(P77&lt;=$H$75,"II",IF(P77&lt;=$H$76,"III",IF(P77&lt;=$H$77,"I юн",IF(P77&lt;=$H$78,"II юн",IF(P77&lt;=$H$79,"III юн","б/р")))))))))))</f>
        <v xml:space="preserve"> </v>
      </c>
    </row>
    <row r="78" spans="3:33" x14ac:dyDescent="0.3">
      <c r="C78" s="43"/>
      <c r="D78" s="43"/>
      <c r="E78" s="43"/>
      <c r="F78" s="43"/>
      <c r="G78" s="43"/>
      <c r="H78" s="71">
        <v>119</v>
      </c>
      <c r="I78" s="59" t="str">
        <f>IF(ISBLANK(H78)," ",IF(ISTEXT(H78)," ",IF(H78&lt;=Нормативы!$H$71,"МСМК",IF(H78&lt;=Нормативы!$H$72,"МС",IF(H78&lt;=Нормативы!$H$73,"КМС",IF(H78&lt;=Нормативы!$H$74,"I",IF(H78&lt;=Нормативы!$H$75,"II",IF(H78&lt;=Нормативы!$H$76,"III",IF(H78&lt;=Нормативы!$H$77,"I юн",IF(H78&lt;=Нормативы!$H$78,"II юн",IF(H78&lt;=Нормативы!$H$79,"III юн","б/р")))))))))))</f>
        <v>II юн</v>
      </c>
      <c r="J78" s="59" t="str">
        <f>IF(ISBLANK(H78)," ",IF(ISTEXT(H78)," ",IF(H78&lt;=Нормативы!$H$71,"МСМК",IF(H78&lt;=Нормативы!$H$72,"МС",IF(H78&lt;=Нормативы!$H$73,"КМС",IF(H78&lt;=Нормативы!$H$74,"I",IF(H78&lt;=Нормативы!$H$75,"II",IF(H78&lt;=Нормативы!$H$76,"III",IF(H78&lt;=Нормативы!$H$77,"I юн",IF(H78&lt;=Нормативы!$H$78,"II юн",IF(H78&lt;=Нормативы!$H$79,"III юн","б/р")))))))))))</f>
        <v>II юн</v>
      </c>
      <c r="K78" s="75"/>
      <c r="L78" s="74">
        <f t="shared" si="55"/>
        <v>118.8</v>
      </c>
      <c r="M78" s="59" t="str">
        <f>IF(ISBLANK(L78)," ",IF(ISTEXT(L78)," ",IF(L78&lt;=Нормативы!$H$71,"КМС",IF(L78&lt;=Нормативы!$H$72,"КМС",IF(L78&lt;=Нормативы!$L$73,"КМС",IF(L78&lt;=Нормативы!$L$74,"I",IF(L78&lt;=Нормативы!$L$75,"II",IF(L78&lt;=Нормативы!$L$76,"III",IF(L78&lt;=Нормативы!$L$77,"I юн",IF(L78&lt;=Нормативы!$L$78,"II юн",IF(L78&lt;=Нормативы!$L$79,"III юн","б/р")))))))))))</f>
        <v>II юн</v>
      </c>
      <c r="N78" s="59" t="str">
        <f>IF(ISBLANK(L78)," ",IF(ISTEXT(L78)," ",IF(L78&lt;=Нормативы!$H$71,"КМС",IF(L78&lt;=Нормативы!$H$72,"КМС",IF(L78&lt;=Нормативы!$L$73,"КМС",IF(L78&lt;=Нормативы!$L$74,"I",IF(L78&lt;=Нормативы!$L$75,"II",IF(L78&lt;=Нормативы!$L$76,"III",IF(L78&lt;=Нормативы!$L$77,"I юн",IF(L78&lt;=Нормативы!$L$78,"II юн",IF(L78&lt;=Нормативы!$L$79,"III юн","б/р")))))))))))</f>
        <v>II юн</v>
      </c>
      <c r="O78" s="59"/>
      <c r="Q78" s="59" t="str">
        <f t="shared" ref="Q78" si="61">IF(ISBLANK(P78)," ",IF(ISTEXT(P78)," ",IF(P78&lt;=$H$71,"МСМК",IF(P78&lt;=$H$72,"МС",IF(P78&lt;=$H$73,"КМС",IF(P78&lt;=$H$74,"I",IF(P78&lt;=$H$75,"II",IF(P78&lt;=$H$76,"III",IF(P78&lt;=$H$77,"I юн",IF(P78&lt;=$H$78,"II юн",IF(P78&lt;=$H$79,"III юн","б/р")))))))))))</f>
        <v xml:space="preserve"> </v>
      </c>
    </row>
    <row r="79" spans="3:33" x14ac:dyDescent="0.3">
      <c r="C79" s="43"/>
      <c r="D79" s="43"/>
      <c r="E79" s="43"/>
      <c r="F79" s="43"/>
      <c r="G79" s="43"/>
      <c r="H79" s="71">
        <v>125.2</v>
      </c>
      <c r="I79" s="59" t="str">
        <f>IF(ISBLANK(H79)," ",IF(ISTEXT(H79)," ",IF(H79&lt;=Нормативы!$H$71,"МСМК",IF(H79&lt;=Нормативы!$H$72,"МС",IF(H79&lt;=Нормативы!$H$73,"КМС",IF(H79&lt;=Нормативы!$H$74,"I",IF(H79&lt;=Нормативы!$H$75,"II",IF(H79&lt;=Нормативы!$H$76,"III",IF(H79&lt;=Нормативы!$H$77,"I юн",IF(H79&lt;=Нормативы!$H$78,"II юн",IF(H79&lt;=Нормативы!$H$79,"III юн","б/р")))))))))))</f>
        <v>III юн</v>
      </c>
      <c r="J79" s="59" t="str">
        <f>IF(ISBLANK(H79)," ",IF(ISTEXT(H79)," ",IF(H79&lt;=Нормативы!$H$71,"МСМК",IF(H79&lt;=Нормативы!$H$72,"МС",IF(H79&lt;=Нормативы!$H$73,"КМС",IF(H79&lt;=Нормативы!$H$74,"I",IF(H79&lt;=Нормативы!$H$75,"II",IF(H79&lt;=Нормативы!$H$76,"III",IF(H79&lt;=Нормативы!$H$77,"I юн",IF(H79&lt;=Нормативы!$H$78,"II юн",IF(H79&lt;=Нормативы!$H$79,"III юн","б/р")))))))))))</f>
        <v>III юн</v>
      </c>
      <c r="K79" s="75"/>
      <c r="L79" s="74">
        <f t="shared" si="55"/>
        <v>125</v>
      </c>
      <c r="M79" s="59" t="str">
        <f>IF(ISBLANK(L79)," ",IF(ISTEXT(L79)," ",IF(L79&lt;=Нормативы!$H$71,"КМС",IF(L79&lt;=Нормативы!$H$72,"КМС",IF(L79&lt;=Нормативы!$L$73,"КМС",IF(L79&lt;=Нормативы!$L$74,"I",IF(L79&lt;=Нормативы!$L$75,"II",IF(L79&lt;=Нормативы!$L$76,"III",IF(L79&lt;=Нормативы!$L$77,"I юн",IF(L79&lt;=Нормативы!$L$78,"II юн",IF(L79&lt;=Нормативы!$L$79,"III юн","б/р")))))))))))</f>
        <v>III юн</v>
      </c>
      <c r="N79" s="59" t="str">
        <f>IF(ISBLANK(L79)," ",IF(ISTEXT(L79)," ",IF(L79&lt;=Нормативы!$H$71,"КМС",IF(L79&lt;=Нормативы!$H$72,"КМС",IF(L79&lt;=Нормативы!$L$73,"КМС",IF(L79&lt;=Нормативы!$L$74,"I",IF(L79&lt;=Нормативы!$L$75,"II",IF(L79&lt;=Нормативы!$L$76,"III",IF(L79&lt;=Нормативы!$L$77,"I юн",IF(L79&lt;=Нормативы!$L$78,"II юн",IF(L79&lt;=Нормативы!$L$79,"III юн","б/р")))))))))))</f>
        <v>III юн</v>
      </c>
      <c r="O79" s="59"/>
      <c r="Q79" s="59" t="str">
        <f t="shared" ref="Q79" si="62">IF(ISBLANK(P79)," ",IF(ISTEXT(P79)," ",IF(P79&lt;=$H$71,"МСМК",IF(P79&lt;=$H$72,"МС",IF(P79&lt;=$H$73,"КМС",IF(P79&lt;=$H$74,"I",IF(P79&lt;=$H$75,"II",IF(P79&lt;=$H$76,"III",IF(P79&lt;=$H$77,"I юн",IF(P79&lt;=$H$78,"II юн",IF(P79&lt;=$H$79,"III юн","б/р")))))))))))</f>
        <v xml:space="preserve"> </v>
      </c>
    </row>
    <row r="80" spans="3:33" x14ac:dyDescent="0.3">
      <c r="C80" s="43"/>
      <c r="D80" s="43"/>
      <c r="E80" s="43"/>
      <c r="F80" s="43"/>
      <c r="G80" s="43"/>
      <c r="H80" s="74"/>
      <c r="I80" s="43"/>
      <c r="J80" s="43"/>
      <c r="K80" s="75"/>
      <c r="L80" s="43"/>
      <c r="M80" s="43"/>
      <c r="N80" s="43"/>
      <c r="P80" s="82"/>
      <c r="Q80" s="43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</row>
    <row r="81" spans="3:33" x14ac:dyDescent="0.3">
      <c r="C81" s="68" t="s">
        <v>63</v>
      </c>
      <c r="D81" s="43"/>
      <c r="E81" s="43"/>
      <c r="F81" s="43"/>
      <c r="G81" s="43"/>
      <c r="H81" s="70"/>
      <c r="I81" s="43"/>
      <c r="J81" s="43"/>
      <c r="K81" s="84"/>
      <c r="L81" s="43"/>
      <c r="M81" s="43"/>
      <c r="N81" s="43"/>
      <c r="P81" s="83"/>
      <c r="Q81" s="4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</row>
    <row r="82" spans="3:33" x14ac:dyDescent="0.3">
      <c r="C82" s="43"/>
      <c r="D82" s="43"/>
      <c r="E82" s="43"/>
      <c r="F82" s="43"/>
      <c r="G82" s="43"/>
      <c r="H82" s="71">
        <v>43</v>
      </c>
      <c r="I82" s="59" t="str">
        <f>IF(ISBLANK(H82)," ",IF(ISTEXT(H82)," ",IF(H82&lt;=Нормативы!$H$82,"МСМК",IF(H82&lt;=Нормативы!$H$83,"МС",IF(H82&lt;=Нормативы!$H$84,"КМС",IF(H82&lt;=Нормативы!$H$85,"I",IF(H82&lt;=Нормативы!$H$86,"II",IF(H82&lt;=Нормативы!$H$87,"III",IF(H82&lt;=Нормативы!$H$88,"I юн",IF(H82&lt;=Нормативы!$H$89,"II юн",IF(H82&lt;=Нормативы!$H$90,"III юн","б/р")))))))))))</f>
        <v>МСМК</v>
      </c>
      <c r="J82" s="59" t="str">
        <f>IF(ISBLANK(H82)," ",IF(ISTEXT(H82)," ",IF(H82&lt;=Нормативы!$H$82,"МСМК",IF(H82&lt;=Нормативы!$H$83,"МС",IF(H82&lt;=Нормативы!$H$84,"КМС",IF(H82&lt;=Нормативы!$H$85,"I",IF(H82&lt;=Нормативы!$H$86,"II",IF(H82&lt;=Нормативы!$H$87,"III",IF(H82&lt;=Нормативы!$H$88,"I юн",IF(H82&lt;=Нормативы!$H$89,"II юн",IF(H82&lt;=Нормативы!$H$90,"III юн","б/р")))))))))))</f>
        <v>МСМК</v>
      </c>
      <c r="K82" s="75"/>
      <c r="L82" s="71"/>
      <c r="M82" s="59" t="str">
        <f>IF(ISBLANK(L82)," ",IF(ISTEXT(L82)," ",IF(L82&lt;=Нормативы!$H$82,"КМС",IF(L82&lt;=Нормативы!$H$83,"КМС",IF(L82&lt;=Нормативы!$L$84,"КМС",IF(L82&lt;=Нормативы!$L$85,"I",IF(L82&lt;=Нормативы!$L$86,"II",IF(L82&lt;=Нормативы!$L$87,"III",IF(L82&lt;=Нормативы!$L$88,"I юн",IF(L82&lt;=Нормативы!$L$89,"II юн",IF(L82&lt;=Нормативы!$L$90,"III юн","б/р")))))))))))</f>
        <v xml:space="preserve"> </v>
      </c>
      <c r="N82" s="59" t="str">
        <f>IF(ISBLANK(L82)," ",IF(ISTEXT(L82)," ",IF(L82&lt;=43.3,"МСМК",IF(L82&lt;=45.1,"МС",IF(L82&lt;=47.3,"КМС",IF(L82&lt;=50.8,"I",IF(L82&lt;=55.9,"II",IF(L82&lt;=100.4,"III",IF(L82&lt;=106,"I юн",IF(L82&lt;=112,"II юн",IF(L82&lt;=118.5,"III юн","б/р")))))))))))</f>
        <v xml:space="preserve"> </v>
      </c>
      <c r="O82" s="59"/>
      <c r="Q82" s="59" t="str">
        <f>IF(ISBLANK(P82)," ",IF(ISTEXT(P82)," ",IF(P82&lt;=$H$82,"МСМК",IF(P82&lt;=$H$83,"МС",IF(P82&lt;=$H$84,"КМС",IF(P82&lt;=$H$85,"I",IF(P82&lt;=$H$86,"II",IF(P82&lt;=$H$87,"III",IF(P82&lt;=$H$88,"I юн",IF(P82&lt;=$H$89,"II юн",IF(P82&lt;=$H$90,"III юн","б/р")))))))))))</f>
        <v xml:space="preserve"> </v>
      </c>
    </row>
    <row r="83" spans="3:33" x14ac:dyDescent="0.3">
      <c r="C83" s="43"/>
      <c r="D83" s="43"/>
      <c r="E83" s="43"/>
      <c r="F83" s="43"/>
      <c r="G83" s="43"/>
      <c r="H83" s="71">
        <v>44.4</v>
      </c>
      <c r="I83" s="59" t="str">
        <f>IF(ISBLANK(H83)," ",IF(ISTEXT(H83)," ",IF(H83&lt;=Нормативы!$H$82,"МСМК",IF(H83&lt;=Нормативы!$H$83,"МС",IF(H83&lt;=Нормативы!$H$84,"КМС",IF(H83&lt;=Нормативы!$H$85,"I",IF(H83&lt;=Нормативы!$H$86,"II",IF(H83&lt;=Нормативы!$H$87,"III",IF(H83&lt;=Нормативы!$H$88,"I юн",IF(H83&lt;=Нормативы!$H$89,"II юн",IF(H83&lt;=Нормативы!$H$90,"III юн","б/р")))))))))))</f>
        <v>МС</v>
      </c>
      <c r="J83" s="59" t="str">
        <f>IF(ISBLANK(H83)," ",IF(ISTEXT(H83)," ",IF(H83&lt;=Нормативы!$H$82,"МСМК",IF(H83&lt;=Нормативы!$H$83,"МС",IF(H83&lt;=Нормативы!$H$84,"КМС",IF(H83&lt;=Нормативы!$H$85,"I",IF(H83&lt;=Нормативы!$H$86,"II",IF(H83&lt;=Нормативы!$H$87,"III",IF(H83&lt;=Нормативы!$H$88,"I юн",IF(H83&lt;=Нормативы!$H$89,"II юн",IF(H83&lt;=Нормативы!$H$90,"III юн","б/р")))))))))))</f>
        <v>МС</v>
      </c>
      <c r="K83" s="75"/>
      <c r="L83" s="71"/>
      <c r="M83" s="59" t="str">
        <f>IF(ISBLANK(L83)," ",IF(ISTEXT(L83)," ",IF(L83&lt;=Нормативы!$H$82,"КМС",IF(L83&lt;=Нормативы!$H$83,"КМС",IF(L83&lt;=Нормативы!$L$84,"КМС",IF(L83&lt;=Нормативы!$L$85,"I",IF(L83&lt;=Нормативы!$L$86,"II",IF(L83&lt;=Нормативы!$L$87,"III",IF(L83&lt;=Нормативы!$L$88,"I юн",IF(L83&lt;=Нормативы!$L$89,"II юн",IF(L83&lt;=Нормативы!$L$90,"III юн","б/р")))))))))))</f>
        <v xml:space="preserve"> </v>
      </c>
      <c r="N83" s="59" t="str">
        <f>IF(ISBLANK(L83)," ",IF(ISTEXT(L83)," ",IF(L83&lt;=43.3,"МСМК",IF(L83&lt;=45.1,"МС",IF(L83&lt;=47.3,"КМС",IF(L83&lt;=50.8,"I",IF(L83&lt;=55.9,"II",IF(L83&lt;=100.4,"III",IF(L83&lt;=106,"I юн",IF(L83&lt;=112,"II юн",IF(L83&lt;=118.5,"III юн","б/р")))))))))))</f>
        <v xml:space="preserve"> </v>
      </c>
      <c r="O83" s="59"/>
      <c r="Q83" s="59" t="str">
        <f t="shared" ref="Q83" si="63">IF(ISBLANK(P83)," ",IF(ISTEXT(P83)," ",IF(P83&lt;=$H$82,"МСМК",IF(P83&lt;=$H$83,"МС",IF(P83&lt;=$H$84,"КМС",IF(P83&lt;=$H$85,"I",IF(P83&lt;=$H$86,"II",IF(P83&lt;=$H$87,"III",IF(P83&lt;=$H$88,"I юн",IF(P83&lt;=$H$89,"II юн",IF(P83&lt;=$H$90,"III юн","б/р")))))))))))</f>
        <v xml:space="preserve"> </v>
      </c>
    </row>
    <row r="84" spans="3:33" x14ac:dyDescent="0.3">
      <c r="C84" s="43"/>
      <c r="D84" s="43"/>
      <c r="E84" s="43"/>
      <c r="F84" s="43"/>
      <c r="G84" s="43"/>
      <c r="H84" s="71">
        <v>47.1</v>
      </c>
      <c r="I84" s="59" t="str">
        <f>IF(ISBLANK(H84)," ",IF(ISTEXT(H84)," ",IF(H84&lt;=Нормативы!$H$82,"МСМК",IF(H84&lt;=Нормативы!$H$83,"МС",IF(H84&lt;=Нормативы!$H$84,"КМС",IF(H84&lt;=Нормативы!$H$85,"I",IF(H84&lt;=Нормативы!$H$86,"II",IF(H84&lt;=Нормативы!$H$87,"III",IF(H84&lt;=Нормативы!$H$88,"I юн",IF(H84&lt;=Нормативы!$H$89,"II юн",IF(H84&lt;=Нормативы!$H$90,"III юн","б/р")))))))))))</f>
        <v>КМС</v>
      </c>
      <c r="J84" s="59" t="str">
        <f>IF(ISBLANK(H84)," ",IF(ISTEXT(H84)," ",IF(H84&lt;=Нормативы!$H$82,"МСМК",IF(H84&lt;=Нормативы!$H$83,"МС",IF(H84&lt;=Нормативы!$H$84,"КМС",IF(H84&lt;=Нормативы!$H$85,"I",IF(H84&lt;=Нормативы!$H$86,"II",IF(H84&lt;=Нормативы!$H$87,"III",IF(H84&lt;=Нормативы!$H$88,"I юн",IF(H84&lt;=Нормативы!$H$89,"II юн",IF(H84&lt;=Нормативы!$H$90,"III юн","б/р")))))))))))</f>
        <v>КМС</v>
      </c>
      <c r="K84" s="75"/>
      <c r="L84" s="74">
        <f t="shared" ref="L84:L90" si="64">H84-0.2</f>
        <v>46.9</v>
      </c>
      <c r="M84" s="59" t="str">
        <f>IF(ISBLANK(L84)," ",IF(ISTEXT(L84)," ",IF(L84&lt;=Нормативы!$H$82,"КМС",IF(L84&lt;=Нормативы!$H$83,"КМС",IF(L84&lt;=Нормативы!$L$84,"КМС",IF(L84&lt;=Нормативы!$L$85,"I",IF(L84&lt;=Нормативы!$L$86,"II",IF(L84&lt;=Нормативы!$L$87,"III",IF(L84&lt;=Нормативы!$L$88,"I юн",IF(L84&lt;=Нормативы!$L$89,"II юн",IF(L84&lt;=Нормативы!$L$90,"III юн","б/р")))))))))))</f>
        <v>КМС</v>
      </c>
      <c r="N84" s="59" t="str">
        <f>IF(ISBLANK(L84)," ",IF(ISTEXT(L84)," ",IF(L84&lt;=Нормативы!$H$82,"КМС",IF(L84&lt;=Нормативы!$H$83,"КМС",IF(L84&lt;=Нормативы!$L$84,"КМС",IF(L84&lt;=Нормативы!$L$85,"I",IF(L84&lt;=Нормативы!$L$86,"II",IF(L84&lt;=Нормативы!$L$87,"III",IF(L84&lt;=Нормативы!$L$88,"I юн",IF(L84&lt;=Нормативы!$L$89,"II юн",IF(L84&lt;=Нормативы!$L$90,"III юн","б/р")))))))))))</f>
        <v>КМС</v>
      </c>
      <c r="O84" s="59"/>
      <c r="Q84" s="59" t="str">
        <f t="shared" ref="Q84" si="65">IF(ISBLANK(P84)," ",IF(ISTEXT(P84)," ",IF(P84&lt;=$H$82,"МСМК",IF(P84&lt;=$H$83,"МС",IF(P84&lt;=$H$84,"КМС",IF(P84&lt;=$H$85,"I",IF(P84&lt;=$H$86,"II",IF(P84&lt;=$H$87,"III",IF(P84&lt;=$H$88,"I юн",IF(P84&lt;=$H$89,"II юн",IF(P84&lt;=$H$90,"III юн","б/р")))))))))))</f>
        <v xml:space="preserve"> </v>
      </c>
    </row>
    <row r="85" spans="3:33" x14ac:dyDescent="0.3">
      <c r="C85" s="43"/>
      <c r="D85" s="43"/>
      <c r="E85" s="43"/>
      <c r="F85" s="43"/>
      <c r="G85" s="43"/>
      <c r="H85" s="71">
        <v>50.7</v>
      </c>
      <c r="I85" s="59" t="str">
        <f>IF(ISBLANK(H85)," ",IF(ISTEXT(H85)," ",IF(H85&lt;=Нормативы!$H$82,"МСМК",IF(H85&lt;=Нормативы!$H$83,"МС",IF(H85&lt;=Нормативы!$H$84,"КМС",IF(H85&lt;=Нормативы!$H$85,"I",IF(H85&lt;=Нормативы!$H$86,"II",IF(H85&lt;=Нормативы!$H$87,"III",IF(H85&lt;=Нормативы!$H$88,"I юн",IF(H85&lt;=Нормативы!$H$89,"II юн",IF(H85&lt;=Нормативы!$H$90,"III юн","б/р")))))))))))</f>
        <v>I</v>
      </c>
      <c r="J85" s="59" t="str">
        <f>IF(ISBLANK(H85)," ",IF(ISTEXT(H85)," ",IF(H85&lt;=Нормативы!$H$82,"МСМК",IF(H85&lt;=Нормативы!$H$83,"МС",IF(H85&lt;=Нормативы!$H$84,"КМС",IF(H85&lt;=Нормативы!$H$85,"I",IF(H85&lt;=Нормативы!$H$86,"II",IF(H85&lt;=Нормативы!$H$87,"III",IF(H85&lt;=Нормативы!$H$88,"I юн",IF(H85&lt;=Нормативы!$H$89,"II юн",IF(H85&lt;=Нормативы!$H$90,"III юн","б/р")))))))))))</f>
        <v>I</v>
      </c>
      <c r="K85" s="75"/>
      <c r="L85" s="74">
        <f t="shared" si="64"/>
        <v>50.5</v>
      </c>
      <c r="M85" s="59" t="str">
        <f>IF(ISBLANK(L85)," ",IF(ISTEXT(L85)," ",IF(L85&lt;=Нормативы!$H$82,"КМС",IF(L85&lt;=Нормативы!$H$83,"КМС",IF(L85&lt;=Нормативы!$L$84,"КМС",IF(L85&lt;=Нормативы!$L$85,"I",IF(L85&lt;=Нормативы!$L$86,"II",IF(L85&lt;=Нормативы!$L$87,"III",IF(L85&lt;=Нормативы!$L$88,"I юн",IF(L85&lt;=Нормативы!$L$89,"II юн",IF(L85&lt;=Нормативы!$L$90,"III юн","б/р")))))))))))</f>
        <v>I</v>
      </c>
      <c r="N85" s="59" t="str">
        <f>IF(ISBLANK(L85)," ",IF(ISTEXT(L85)," ",IF(L85&lt;=Нормативы!$H$82,"КМС",IF(L85&lt;=Нормативы!$H$83,"КМС",IF(L85&lt;=Нормативы!$L$84,"КМС",IF(L85&lt;=Нормативы!$L$85,"I",IF(L85&lt;=Нормативы!$L$86,"II",IF(L85&lt;=Нормативы!$L$87,"III",IF(L85&lt;=Нормативы!$L$88,"I юн",IF(L85&lt;=Нормативы!$L$89,"II юн",IF(L85&lt;=Нормативы!$L$90,"III юн","б/р")))))))))))</f>
        <v>I</v>
      </c>
      <c r="O85" s="59"/>
      <c r="Q85" s="59" t="str">
        <f t="shared" ref="Q85" si="66">IF(ISBLANK(P85)," ",IF(ISTEXT(P85)," ",IF(P85&lt;=$H$82,"МСМК",IF(P85&lt;=$H$83,"МС",IF(P85&lt;=$H$84,"КМС",IF(P85&lt;=$H$85,"I",IF(P85&lt;=$H$86,"II",IF(P85&lt;=$H$87,"III",IF(P85&lt;=$H$88,"I юн",IF(P85&lt;=$H$89,"II юн",IF(P85&lt;=$H$90,"III юн","б/р")))))))))))</f>
        <v xml:space="preserve"> </v>
      </c>
    </row>
    <row r="86" spans="3:33" x14ac:dyDescent="0.3">
      <c r="C86" s="43"/>
      <c r="D86" s="43"/>
      <c r="E86" s="43"/>
      <c r="F86" s="43"/>
      <c r="G86" s="43"/>
      <c r="H86" s="71">
        <v>55.7</v>
      </c>
      <c r="I86" s="59" t="str">
        <f>IF(ISBLANK(H86)," ",IF(ISTEXT(H86)," ",IF(H86&lt;=Нормативы!$H$82,"МСМК",IF(H86&lt;=Нормативы!$H$83,"МС",IF(H86&lt;=Нормативы!$H$84,"КМС",IF(H86&lt;=Нормативы!$H$85,"I",IF(H86&lt;=Нормативы!$H$86,"II",IF(H86&lt;=Нормативы!$H$87,"III",IF(H86&lt;=Нормативы!$H$88,"I юн",IF(H86&lt;=Нормативы!$H$89,"II юн",IF(H86&lt;=Нормативы!$H$90,"III юн","б/р")))))))))))</f>
        <v>II</v>
      </c>
      <c r="J86" s="59" t="str">
        <f>IF(ISBLANK(H86)," ",IF(ISTEXT(H86)," ",IF(H86&lt;=Нормативы!$H$82,"МСМК",IF(H86&lt;=Нормативы!$H$83,"МС",IF(H86&lt;=Нормативы!$H$84,"КМС",IF(H86&lt;=Нормативы!$H$85,"I",IF(H86&lt;=Нормативы!$H$86,"II",IF(H86&lt;=Нормативы!$H$87,"III",IF(H86&lt;=Нормативы!$H$88,"I юн",IF(H86&lt;=Нормативы!$H$89,"II юн",IF(H86&lt;=Нормативы!$H$90,"III юн","б/р")))))))))))</f>
        <v>II</v>
      </c>
      <c r="K86" s="75"/>
      <c r="L86" s="74">
        <f t="shared" si="64"/>
        <v>55.5</v>
      </c>
      <c r="M86" s="59" t="str">
        <f>IF(ISBLANK(L86)," ",IF(ISTEXT(L86)," ",IF(L86&lt;=Нормативы!$H$82,"КМС",IF(L86&lt;=Нормативы!$H$83,"КМС",IF(L86&lt;=Нормативы!$L$84,"КМС",IF(L86&lt;=Нормативы!$L$85,"I",IF(L86&lt;=Нормативы!$L$86,"II",IF(L86&lt;=Нормативы!$L$87,"III",IF(L86&lt;=Нормативы!$L$88,"I юн",IF(L86&lt;=Нормативы!$L$89,"II юн",IF(L86&lt;=Нормативы!$L$90,"III юн","б/р")))))))))))</f>
        <v>II</v>
      </c>
      <c r="N86" s="59" t="str">
        <f>IF(ISBLANK(L86)," ",IF(ISTEXT(L86)," ",IF(L86&lt;=Нормативы!$H$82,"КМС",IF(L86&lt;=Нормативы!$H$83,"КМС",IF(L86&lt;=Нормативы!$L$84,"КМС",IF(L86&lt;=Нормативы!$L$85,"I",IF(L86&lt;=Нормативы!$L$86,"II",IF(L86&lt;=Нормативы!$L$87,"III",IF(L86&lt;=Нормативы!$L$88,"I юн",IF(L86&lt;=Нормативы!$L$89,"II юн",IF(L86&lt;=Нормативы!$L$90,"III юн","б/р")))))))))))</f>
        <v>II</v>
      </c>
      <c r="O86" s="59"/>
      <c r="Q86" s="59" t="str">
        <f t="shared" ref="Q86" si="67">IF(ISBLANK(P86)," ",IF(ISTEXT(P86)," ",IF(P86&lt;=$H$82,"МСМК",IF(P86&lt;=$H$83,"МС",IF(P86&lt;=$H$84,"КМС",IF(P86&lt;=$H$85,"I",IF(P86&lt;=$H$86,"II",IF(P86&lt;=$H$87,"III",IF(P86&lt;=$H$88,"I юн",IF(P86&lt;=$H$89,"II юн",IF(P86&lt;=$H$90,"III юн","б/р")))))))))))</f>
        <v xml:space="preserve"> </v>
      </c>
    </row>
    <row r="87" spans="3:33" x14ac:dyDescent="0.3">
      <c r="C87" s="43"/>
      <c r="D87" s="43"/>
      <c r="E87" s="43"/>
      <c r="F87" s="43"/>
      <c r="G87" s="43"/>
      <c r="H87" s="71">
        <v>100.2</v>
      </c>
      <c r="I87" s="59" t="str">
        <f>IF(ISBLANK(H87)," ",IF(ISTEXT(H87)," ",IF(H87&lt;=Нормативы!$H$82,"МСМК",IF(H87&lt;=Нормативы!$H$83,"МС",IF(H87&lt;=Нормативы!$H$84,"КМС",IF(H87&lt;=Нормативы!$H$85,"I",IF(H87&lt;=Нормативы!$H$86,"II",IF(H87&lt;=Нормативы!$H$87,"III",IF(H87&lt;=Нормативы!$H$88,"I юн",IF(H87&lt;=Нормативы!$H$89,"II юн",IF(H87&lt;=Нормативы!$H$90,"III юн","б/р")))))))))))</f>
        <v>III</v>
      </c>
      <c r="J87" s="59" t="str">
        <f>IF(ISBLANK(H87)," ",IF(ISTEXT(H87)," ",IF(H87&lt;=Нормативы!$H$82,"МСМК",IF(H87&lt;=Нормативы!$H$83,"МС",IF(H87&lt;=Нормативы!$H$84,"КМС",IF(H87&lt;=Нормативы!$H$85,"I",IF(H87&lt;=Нормативы!$H$86,"II",IF(H87&lt;=Нормативы!$H$87,"III",IF(H87&lt;=Нормативы!$H$88,"I юн",IF(H87&lt;=Нормативы!$H$89,"II юн",IF(H87&lt;=Нормативы!$H$90,"III юн","б/р")))))))))))</f>
        <v>III</v>
      </c>
      <c r="K87" s="75"/>
      <c r="L87" s="74">
        <f t="shared" si="64"/>
        <v>100</v>
      </c>
      <c r="M87" s="59" t="str">
        <f>IF(ISBLANK(L87)," ",IF(ISTEXT(L87)," ",IF(L87&lt;=Нормативы!$H$82,"КМС",IF(L87&lt;=Нормативы!$H$83,"КМС",IF(L87&lt;=Нормативы!$L$84,"КМС",IF(L87&lt;=Нормативы!$L$85,"I",IF(L87&lt;=Нормативы!$L$86,"II",IF(L87&lt;=Нормативы!$L$87,"III",IF(L87&lt;=Нормативы!$L$88,"I юн",IF(L87&lt;=Нормативы!$L$89,"II юн",IF(L87&lt;=Нормативы!$L$90,"III юн","б/р")))))))))))</f>
        <v>III</v>
      </c>
      <c r="N87" s="59" t="str">
        <f>IF(ISBLANK(L87)," ",IF(ISTEXT(L87)," ",IF(L87&lt;=Нормативы!$H$82,"КМС",IF(L87&lt;=Нормативы!$H$83,"КМС",IF(L87&lt;=Нормативы!$L$84,"КМС",IF(L87&lt;=Нормативы!$L$85,"I",IF(L87&lt;=Нормативы!$L$86,"II",IF(L87&lt;=Нормативы!$L$87,"III",IF(L87&lt;=Нормативы!$L$88,"I юн",IF(L87&lt;=Нормативы!$L$89,"II юн",IF(L87&lt;=Нормативы!$L$90,"III юн","б/р")))))))))))</f>
        <v>III</v>
      </c>
      <c r="O87" s="59"/>
      <c r="Q87" s="59" t="str">
        <f t="shared" ref="Q87" si="68">IF(ISBLANK(P87)," ",IF(ISTEXT(P87)," ",IF(P87&lt;=$H$82,"МСМК",IF(P87&lt;=$H$83,"МС",IF(P87&lt;=$H$84,"КМС",IF(P87&lt;=$H$85,"I",IF(P87&lt;=$H$86,"II",IF(P87&lt;=$H$87,"III",IF(P87&lt;=$H$88,"I юн",IF(P87&lt;=$H$89,"II юн",IF(P87&lt;=$H$90,"III юн","б/р")))))))))))</f>
        <v xml:space="preserve"> </v>
      </c>
    </row>
    <row r="88" spans="3:33" x14ac:dyDescent="0.3">
      <c r="C88" s="43"/>
      <c r="D88" s="43"/>
      <c r="E88" s="43"/>
      <c r="F88" s="43"/>
      <c r="G88" s="43"/>
      <c r="H88" s="71">
        <v>105.5</v>
      </c>
      <c r="I88" s="59" t="str">
        <f>IF(ISBLANK(H88)," ",IF(ISTEXT(H88)," ",IF(H88&lt;=Нормативы!$H$82,"МСМК",IF(H88&lt;=Нормативы!$H$83,"МС",IF(H88&lt;=Нормативы!$H$84,"КМС",IF(H88&lt;=Нормативы!$H$85,"I",IF(H88&lt;=Нормативы!$H$86,"II",IF(H88&lt;=Нормативы!$H$87,"III",IF(H88&lt;=Нормативы!$H$88,"I юн",IF(H88&lt;=Нормативы!$H$89,"II юн",IF(H88&lt;=Нормативы!$H$90,"III юн","б/р")))))))))))</f>
        <v>I юн</v>
      </c>
      <c r="J88" s="59" t="str">
        <f>IF(ISBLANK(H88)," ",IF(ISTEXT(H88)," ",IF(H88&lt;=Нормативы!$H$82,"МСМК",IF(H88&lt;=Нормативы!$H$83,"МС",IF(H88&lt;=Нормативы!$H$84,"КМС",IF(H88&lt;=Нормативы!$H$85,"I",IF(H88&lt;=Нормативы!$H$86,"II",IF(H88&lt;=Нормативы!$H$87,"III",IF(H88&lt;=Нормативы!$H$88,"I юн",IF(H88&lt;=Нормативы!$H$89,"II юн",IF(H88&lt;=Нормативы!$H$90,"III юн","б/р")))))))))))</f>
        <v>I юн</v>
      </c>
      <c r="K88" s="75"/>
      <c r="L88" s="74">
        <f t="shared" si="64"/>
        <v>105.3</v>
      </c>
      <c r="M88" s="59" t="str">
        <f>IF(ISBLANK(L88)," ",IF(ISTEXT(L88)," ",IF(L88&lt;=Нормативы!$H$82,"КМС",IF(L88&lt;=Нормативы!$H$83,"КМС",IF(L88&lt;=Нормативы!$L$84,"КМС",IF(L88&lt;=Нормативы!$L$85,"I",IF(L88&lt;=Нормативы!$L$86,"II",IF(L88&lt;=Нормативы!$L$87,"III",IF(L88&lt;=Нормативы!$L$88,"I юн",IF(L88&lt;=Нормативы!$L$89,"II юн",IF(L88&lt;=Нормативы!$L$90,"III юн","б/р")))))))))))</f>
        <v>I юн</v>
      </c>
      <c r="N88" s="59" t="str">
        <f>IF(ISBLANK(L88)," ",IF(ISTEXT(L88)," ",IF(L88&lt;=Нормативы!$H$82,"КМС",IF(L88&lt;=Нормативы!$H$83,"КМС",IF(L88&lt;=Нормативы!$L$84,"КМС",IF(L88&lt;=Нормативы!$L$85,"I",IF(L88&lt;=Нормативы!$L$86,"II",IF(L88&lt;=Нормативы!$L$87,"III",IF(L88&lt;=Нормативы!$L$88,"I юн",IF(L88&lt;=Нормативы!$L$89,"II юн",IF(L88&lt;=Нормативы!$L$90,"III юн","б/р")))))))))))</f>
        <v>I юн</v>
      </c>
      <c r="O88" s="59"/>
      <c r="Q88" s="59" t="str">
        <f t="shared" ref="Q88" si="69">IF(ISBLANK(P88)," ",IF(ISTEXT(P88)," ",IF(P88&lt;=$H$82,"МСМК",IF(P88&lt;=$H$83,"МС",IF(P88&lt;=$H$84,"КМС",IF(P88&lt;=$H$85,"I",IF(P88&lt;=$H$86,"II",IF(P88&lt;=$H$87,"III",IF(P88&lt;=$H$88,"I юн",IF(P88&lt;=$H$89,"II юн",IF(P88&lt;=$H$90,"III юн","б/р")))))))))))</f>
        <v xml:space="preserve"> </v>
      </c>
    </row>
    <row r="89" spans="3:33" x14ac:dyDescent="0.3">
      <c r="C89" s="43"/>
      <c r="D89" s="43"/>
      <c r="E89" s="43"/>
      <c r="F89" s="43"/>
      <c r="G89" s="43"/>
      <c r="H89" s="71">
        <v>111.5</v>
      </c>
      <c r="I89" s="59" t="str">
        <f>IF(ISBLANK(H89)," ",IF(ISTEXT(H89)," ",IF(H89&lt;=Нормативы!$H$82,"МСМК",IF(H89&lt;=Нормативы!$H$83,"МС",IF(H89&lt;=Нормативы!$H$84,"КМС",IF(H89&lt;=Нормативы!$H$85,"I",IF(H89&lt;=Нормативы!$H$86,"II",IF(H89&lt;=Нормативы!$H$87,"III",IF(H89&lt;=Нормативы!$H$88,"I юн",IF(H89&lt;=Нормативы!$H$89,"II юн",IF(H89&lt;=Нормативы!$H$90,"III юн","б/р")))))))))))</f>
        <v>II юн</v>
      </c>
      <c r="J89" s="59" t="str">
        <f>IF(ISBLANK(H89)," ",IF(ISTEXT(H89)," ",IF(H89&lt;=Нормативы!$H$82,"МСМК",IF(H89&lt;=Нормативы!$H$83,"МС",IF(H89&lt;=Нормативы!$H$84,"КМС",IF(H89&lt;=Нормативы!$H$85,"I",IF(H89&lt;=Нормативы!$H$86,"II",IF(H89&lt;=Нормативы!$H$87,"III",IF(H89&lt;=Нормативы!$H$88,"I юн",IF(H89&lt;=Нормативы!$H$89,"II юн",IF(H89&lt;=Нормативы!$H$90,"III юн","б/р")))))))))))</f>
        <v>II юн</v>
      </c>
      <c r="K89" s="75"/>
      <c r="L89" s="74">
        <f t="shared" si="64"/>
        <v>111.3</v>
      </c>
      <c r="M89" s="59" t="str">
        <f>IF(ISBLANK(L89)," ",IF(ISTEXT(L89)," ",IF(L89&lt;=Нормативы!$H$82,"КМС",IF(L89&lt;=Нормативы!$H$83,"КМС",IF(L89&lt;=Нормативы!$L$84,"КМС",IF(L89&lt;=Нормативы!$L$85,"I",IF(L89&lt;=Нормативы!$L$86,"II",IF(L89&lt;=Нормативы!$L$87,"III",IF(L89&lt;=Нормативы!$L$88,"I юн",IF(L89&lt;=Нормативы!$L$89,"II юн",IF(L89&lt;=Нормативы!$L$90,"III юн","б/р")))))))))))</f>
        <v>II юн</v>
      </c>
      <c r="N89" s="59" t="str">
        <f>IF(ISBLANK(L89)," ",IF(ISTEXT(L89)," ",IF(L89&lt;=Нормативы!$H$82,"КМС",IF(L89&lt;=Нормативы!$H$83,"КМС",IF(L89&lt;=Нормативы!$L$84,"КМС",IF(L89&lt;=Нормативы!$L$85,"I",IF(L89&lt;=Нормативы!$L$86,"II",IF(L89&lt;=Нормативы!$L$87,"III",IF(L89&lt;=Нормативы!$L$88,"I юн",IF(L89&lt;=Нормативы!$L$89,"II юн",IF(L89&lt;=Нормативы!$L$90,"III юн","б/р")))))))))))</f>
        <v>II юн</v>
      </c>
      <c r="O89" s="59"/>
      <c r="Q89" s="59" t="str">
        <f t="shared" ref="Q89" si="70">IF(ISBLANK(P89)," ",IF(ISTEXT(P89)," ",IF(P89&lt;=$H$82,"МСМК",IF(P89&lt;=$H$83,"МС",IF(P89&lt;=$H$84,"КМС",IF(P89&lt;=$H$85,"I",IF(P89&lt;=$H$86,"II",IF(P89&lt;=$H$87,"III",IF(P89&lt;=$H$88,"I юн",IF(P89&lt;=$H$89,"II юн",IF(P89&lt;=$H$90,"III юн","б/р")))))))))))</f>
        <v xml:space="preserve"> </v>
      </c>
    </row>
    <row r="90" spans="3:33" x14ac:dyDescent="0.3">
      <c r="C90" s="43"/>
      <c r="D90" s="43"/>
      <c r="E90" s="43"/>
      <c r="F90" s="43"/>
      <c r="G90" s="43"/>
      <c r="H90" s="71">
        <v>118</v>
      </c>
      <c r="I90" s="59" t="str">
        <f>IF(ISBLANK(H90)," ",IF(ISTEXT(H90)," ",IF(H90&lt;=Нормативы!$H$82,"МСМК",IF(H90&lt;=Нормативы!$H$83,"МС",IF(H90&lt;=Нормативы!$H$84,"КМС",IF(H90&lt;=Нормативы!$H$85,"I",IF(H90&lt;=Нормативы!$H$86,"II",IF(H90&lt;=Нормативы!$H$87,"III",IF(H90&lt;=Нормативы!$H$88,"I юн",IF(H90&lt;=Нормативы!$H$89,"II юн",IF(H90&lt;=Нормативы!$H$90,"III юн","б/р")))))))))))</f>
        <v>III юн</v>
      </c>
      <c r="J90" s="59" t="str">
        <f>IF(ISBLANK(H90)," ",IF(ISTEXT(H90)," ",IF(H90&lt;=Нормативы!$H$82,"МСМК",IF(H90&lt;=Нормативы!$H$83,"МС",IF(H90&lt;=Нормативы!$H$84,"КМС",IF(H90&lt;=Нормативы!$H$85,"I",IF(H90&lt;=Нормативы!$H$86,"II",IF(H90&lt;=Нормативы!$H$87,"III",IF(H90&lt;=Нормативы!$H$88,"I юн",IF(H90&lt;=Нормативы!$H$89,"II юн",IF(H90&lt;=Нормативы!$H$90,"III юн","б/р")))))))))))</f>
        <v>III юн</v>
      </c>
      <c r="K90" s="75"/>
      <c r="L90" s="74">
        <f t="shared" si="64"/>
        <v>117.8</v>
      </c>
      <c r="M90" s="59" t="str">
        <f>IF(ISBLANK(L90)," ",IF(ISTEXT(L90)," ",IF(L90&lt;=Нормативы!$H$82,"КМС",IF(L90&lt;=Нормативы!$H$83,"КМС",IF(L90&lt;=Нормативы!$L$84,"КМС",IF(L90&lt;=Нормативы!$L$85,"I",IF(L90&lt;=Нормативы!$L$86,"II",IF(L90&lt;=Нормативы!$L$87,"III",IF(L90&lt;=Нормативы!$L$88,"I юн",IF(L90&lt;=Нормативы!$L$89,"II юн",IF(L90&lt;=Нормативы!$L$90,"III юн","б/р")))))))))))</f>
        <v>III юн</v>
      </c>
      <c r="N90" s="59" t="str">
        <f>IF(ISBLANK(L90)," ",IF(ISTEXT(L90)," ",IF(L90&lt;=Нормативы!$H$82,"КМС",IF(L90&lt;=Нормативы!$H$83,"КМС",IF(L90&lt;=Нормативы!$L$84,"КМС",IF(L90&lt;=Нормативы!$L$85,"I",IF(L90&lt;=Нормативы!$L$86,"II",IF(L90&lt;=Нормативы!$L$87,"III",IF(L90&lt;=Нормативы!$L$88,"I юн",IF(L90&lt;=Нормативы!$L$89,"II юн",IF(L90&lt;=Нормативы!$L$90,"III юн","б/р")))))))))))</f>
        <v>III юн</v>
      </c>
      <c r="O90" s="59"/>
      <c r="Q90" s="59" t="str">
        <f t="shared" ref="Q90" si="71">IF(ISBLANK(P90)," ",IF(ISTEXT(P90)," ",IF(P90&lt;=$H$82,"МСМК",IF(P90&lt;=$H$83,"МС",IF(P90&lt;=$H$84,"КМС",IF(P90&lt;=$H$85,"I",IF(P90&lt;=$H$86,"II",IF(P90&lt;=$H$87,"III",IF(P90&lt;=$H$88,"I юн",IF(P90&lt;=$H$89,"II юн",IF(P90&lt;=$H$90,"III юн","б/р")))))))))))</f>
        <v xml:space="preserve"> </v>
      </c>
    </row>
    <row r="91" spans="3:33" x14ac:dyDescent="0.3">
      <c r="C91" s="43"/>
      <c r="D91" s="43"/>
      <c r="E91" s="43"/>
      <c r="F91" s="43"/>
      <c r="G91" s="43"/>
      <c r="H91" s="74"/>
      <c r="I91" s="43"/>
      <c r="J91" s="43"/>
      <c r="K91" s="75"/>
      <c r="L91" s="43"/>
      <c r="M91" s="43"/>
      <c r="N91" s="43"/>
      <c r="Q91" s="43"/>
    </row>
    <row r="92" spans="3:33" x14ac:dyDescent="0.3">
      <c r="C92" s="68" t="s">
        <v>45</v>
      </c>
      <c r="D92" s="69"/>
      <c r="E92" s="69"/>
      <c r="F92" s="68"/>
      <c r="G92" s="68"/>
      <c r="H92" s="70"/>
      <c r="I92" s="43"/>
      <c r="J92" s="43"/>
      <c r="K92" s="87"/>
      <c r="L92" s="43"/>
      <c r="M92" s="43"/>
      <c r="N92" s="43"/>
      <c r="Q92" s="43"/>
    </row>
    <row r="93" spans="3:33" x14ac:dyDescent="0.3">
      <c r="C93" s="86"/>
      <c r="D93" s="36"/>
      <c r="E93" s="36"/>
      <c r="F93" s="86"/>
      <c r="G93" s="86"/>
      <c r="H93" s="74">
        <v>130.69999999999999</v>
      </c>
      <c r="I93" s="59" t="str">
        <f>IF(ISBLANK(H93)," ",IF(ISTEXT(H93)," ",IF(H93&lt;=Нормативы!$H$93,"МСМК",IF(H93&lt;=Нормативы!$H$94,"МС",IF(H93&lt;=Нормативы!$H$95,"КМС",IF(H93&lt;=Нормативы!$H$96,"I",IF(H93&lt;=Нормативы!$H$97,"II",IF(H93&lt;=Нормативы!$H$98,"III",IF(H93&lt;=Нормативы!$H$99,"I юн",IF(H93&lt;=Нормативы!$H$100,"II юн",IF(H93&lt;=Нормативы!$H$101,"III юн","б/р")))))))))))</f>
        <v>МСМК</v>
      </c>
      <c r="J93" s="59" t="str">
        <f>IF(ISBLANK(H93)," ",IF(ISTEXT(H93)," ",IF(H93&lt;=Нормативы!$H$93,"МСМК",IF(H93&lt;=Нормативы!$H$94,"МС",IF(H93&lt;=Нормативы!$H$95,"КМС",IF(H93&lt;=Нормативы!$H$96,"I",IF(H93&lt;=Нормативы!$H$97,"II",IF(H93&lt;=Нормативы!$H$98,"III",IF(H93&lt;=Нормативы!$H$99,"I юн",IF(H93&lt;=Нормативы!$H$100,"II юн",IF(H93&lt;=Нормативы!$H$101,"III юн","б/р")))))))))))</f>
        <v>МСМК</v>
      </c>
      <c r="K93" s="75"/>
      <c r="L93" s="74"/>
      <c r="M93" s="59" t="str">
        <f>IF(ISBLANK(L93)," ",IF(ISTEXT(L93)," ",IF(L93&lt;=Нормативы!$H$93,"КМС",IF(L93&lt;=Нормативы!$H$94,"КМС",IF(L93&lt;=Нормативы!$L$95,"КМС",IF(L93&lt;=Нормативы!$L$96,"I",IF(L93&lt;=Нормативы!$L$97,"II",IF(L93&lt;=Нормативы!$L$98,"III",IF(L93&lt;=Нормативы!$L$99,"I юн",IF(L93&lt;=Нормативы!$L$100,"II юн",IF(L93&lt;=Нормативы!$L$101,"III юн","б/р")))))))))))</f>
        <v xml:space="preserve"> </v>
      </c>
      <c r="N93" s="59" t="str">
        <f>IF(ISBLANK(L93)," ",IF(ISTEXT(L93)," ",IF(L93&lt;=130.8,"МСМК",IF(L93&lt;=136.2,"МС",IF(L93&lt;=141,"КМС",IF(L93&lt;=147.5,"I",IF(L93&lt;=157.5,"II",IF(L93&lt;=206.2,"III",IF(L93&lt;=220,"I юн",IF(L93&lt;=231.2,"II юн",IF(L93&lt;=242.2,"III юн","б/р")))))))))))</f>
        <v xml:space="preserve"> </v>
      </c>
      <c r="Q93" s="59" t="str">
        <f>IF(ISBLANK(P93)," ",IF(ISTEXT(P93)," ",IF(P93&lt;=$H$93,"МСМК",IF(P93&lt;=$H$94,"МС",IF(P93&lt;=$H$95,"КМС",IF(P93&lt;=$H$96,"I",IF(P93&lt;=$H$97,"II",IF(P93&lt;=$H$98,"III",IF(P93&lt;=$H$99,"I юн",IF(P93&lt;=$H$100,"II юн",IF(P93&lt;=$H$101,"III юн","б/р")))))))))))</f>
        <v xml:space="preserve"> </v>
      </c>
    </row>
    <row r="94" spans="3:33" x14ac:dyDescent="0.3">
      <c r="C94" s="86"/>
      <c r="D94" s="36"/>
      <c r="E94" s="36"/>
      <c r="F94" s="86"/>
      <c r="G94" s="86"/>
      <c r="H94" s="74">
        <v>133</v>
      </c>
      <c r="I94" s="59" t="str">
        <f>IF(ISBLANK(H94)," ",IF(ISTEXT(H94)," ",IF(H94&lt;=Нормативы!$H$93,"МСМК",IF(H94&lt;=Нормативы!$H$94,"МС",IF(H94&lt;=Нормативы!$H$95,"КМС",IF(H94&lt;=Нормативы!$H$96,"I",IF(H94&lt;=Нормативы!$H$97,"II",IF(H94&lt;=Нормативы!$H$98,"III",IF(H94&lt;=Нормативы!$H$99,"I юн",IF(H94&lt;=Нормативы!$H$100,"II юн",IF(H94&lt;=Нормативы!$H$101,"III юн","б/р")))))))))))</f>
        <v>МС</v>
      </c>
      <c r="J94" s="59" t="str">
        <f>IF(ISBLANK(H94)," ",IF(ISTEXT(H94)," ",IF(H94&lt;=Нормативы!$H$93,"МСМК",IF(H94&lt;=Нормативы!$H$94,"МС",IF(H94&lt;=Нормативы!$H$95,"КМС",IF(H94&lt;=Нормативы!$H$96,"I",IF(H94&lt;=Нормативы!$H$97,"II",IF(H94&lt;=Нормативы!$H$98,"III",IF(H94&lt;=Нормативы!$H$99,"I юн",IF(H94&lt;=Нормативы!$H$100,"II юн",IF(H94&lt;=Нормативы!$H$101,"III юн","б/р")))))))))))</f>
        <v>МС</v>
      </c>
      <c r="K94" s="75"/>
      <c r="L94" s="74"/>
      <c r="M94" s="59" t="str">
        <f>IF(ISBLANK(L94)," ",IF(ISTEXT(L94)," ",IF(L94&lt;=Нормативы!$H$93,"КМС",IF(L94&lt;=Нормативы!$H$94,"КМС",IF(L94&lt;=Нормативы!$L$95,"КМС",IF(L94&lt;=Нормативы!$L$96,"I",IF(L94&lt;=Нормативы!$L$97,"II",IF(L94&lt;=Нормативы!$L$98,"III",IF(L94&lt;=Нормативы!$L$99,"I юн",IF(L94&lt;=Нормативы!$L$100,"II юн",IF(L94&lt;=Нормативы!$L$101,"III юн","б/р")))))))))))</f>
        <v xml:space="preserve"> </v>
      </c>
      <c r="N94" s="59" t="str">
        <f>IF(ISBLANK(L94)," ",IF(ISTEXT(L94)," ",IF(L94&lt;=130.8,"МСМК",IF(L94&lt;=136.2,"МС",IF(L94&lt;=141,"КМС",IF(L94&lt;=147.5,"I",IF(L94&lt;=157.5,"II",IF(L94&lt;=206.2,"III",IF(L94&lt;=220,"I юн",IF(L94&lt;=231.2,"II юн",IF(L94&lt;=242.2,"III юн","б/р")))))))))))</f>
        <v xml:space="preserve"> </v>
      </c>
      <c r="Q94" s="59" t="str">
        <f t="shared" ref="Q94" si="72">IF(ISBLANK(P94)," ",IF(ISTEXT(P94)," ",IF(P94&lt;=$H$93,"МСМК",IF(P94&lt;=$H$94,"МС",IF(P94&lt;=$H$95,"КМС",IF(P94&lt;=$H$96,"I",IF(P94&lt;=$H$97,"II",IF(P94&lt;=$H$98,"III",IF(P94&lt;=$H$99,"I юн",IF(P94&lt;=$H$100,"II юн",IF(P94&lt;=$H$101,"III юн","б/р")))))))))))</f>
        <v xml:space="preserve"> </v>
      </c>
    </row>
    <row r="95" spans="3:33" x14ac:dyDescent="0.3">
      <c r="C95" s="86"/>
      <c r="D95" s="36"/>
      <c r="E95" s="36"/>
      <c r="F95" s="86"/>
      <c r="G95" s="86"/>
      <c r="H95" s="74">
        <v>140.5</v>
      </c>
      <c r="I95" s="59" t="str">
        <f>IF(ISBLANK(H95)," ",IF(ISTEXT(H95)," ",IF(H95&lt;=Нормативы!$H$93,"МСМК",IF(H95&lt;=Нормативы!$H$94,"МС",IF(H95&lt;=Нормативы!$H$95,"КМС",IF(H95&lt;=Нормативы!$H$96,"I",IF(H95&lt;=Нормативы!$H$97,"II",IF(H95&lt;=Нормативы!$H$98,"III",IF(H95&lt;=Нормативы!$H$99,"I юн",IF(H95&lt;=Нормативы!$H$100,"II юн",IF(H95&lt;=Нормативы!$H$101,"III юн","б/р")))))))))))</f>
        <v>КМС</v>
      </c>
      <c r="J95" s="59" t="str">
        <f>IF(ISBLANK(H95)," ",IF(ISTEXT(H95)," ",IF(H95&lt;=Нормативы!$H$93,"МСМК",IF(H95&lt;=Нормативы!$H$94,"МС",IF(H95&lt;=Нормативы!$H$95,"КМС",IF(H95&lt;=Нормативы!$H$96,"I",IF(H95&lt;=Нормативы!$H$97,"II",IF(H95&lt;=Нормативы!$H$98,"III",IF(H95&lt;=Нормативы!$H$99,"I юн",IF(H95&lt;=Нормативы!$H$100,"II юн",IF(H95&lt;=Нормативы!$H$101,"III юн","б/р")))))))))))</f>
        <v>КМС</v>
      </c>
      <c r="K95" s="75"/>
      <c r="L95" s="74">
        <f t="shared" ref="L95:L100" si="73">H95-0.2</f>
        <v>140.30000000000001</v>
      </c>
      <c r="M95" s="59" t="str">
        <f>IF(ISBLANK(L95)," ",IF(ISTEXT(L95)," ",IF(L95&lt;=Нормативы!$H$93,"КМС",IF(L95&lt;=Нормативы!$H$94,"КМС",IF(L95&lt;=Нормативы!$L$95,"КМС",IF(L95&lt;=Нормативы!$L$96,"I",IF(L95&lt;=Нормативы!$L$97,"II",IF(L95&lt;=Нормативы!$L$98,"III",IF(L95&lt;=Нормативы!$L$99,"I юн",IF(L95&lt;=Нормативы!$L$100,"II юн",IF(L95&lt;=Нормативы!$L$101,"III юн","б/р")))))))))))</f>
        <v>КМС</v>
      </c>
      <c r="N95" s="59" t="str">
        <f>IF(ISBLANK(L95)," ",IF(ISTEXT(L95)," ",IF(L95&lt;=Нормативы!$H$93,"КМС",IF(L95&lt;=Нормативы!$H$94,"КМС",IF(L95&lt;=Нормативы!$L$95,"КМС",IF(L95&lt;=Нормативы!$L$96,"I",IF(L95&lt;=Нормативы!$L$97,"II",IF(L95&lt;=Нормативы!$L$98,"III",IF(L95&lt;=Нормативы!$L$99,"I юн",IF(L95&lt;=Нормативы!$L$100,"II юн",IF(L95&lt;=Нормативы!$L$101,"III юн","б/р")))))))))))</f>
        <v>КМС</v>
      </c>
      <c r="Q95" s="59" t="str">
        <f t="shared" ref="Q95" si="74">IF(ISBLANK(P95)," ",IF(ISTEXT(P95)," ",IF(P95&lt;=$H$93,"МСМК",IF(P95&lt;=$H$94,"МС",IF(P95&lt;=$H$95,"КМС",IF(P95&lt;=$H$96,"I",IF(P95&lt;=$H$97,"II",IF(P95&lt;=$H$98,"III",IF(P95&lt;=$H$99,"I юн",IF(P95&lt;=$H$100,"II юн",IF(P95&lt;=$H$101,"III юн","б/р")))))))))))</f>
        <v xml:space="preserve"> </v>
      </c>
    </row>
    <row r="96" spans="3:33" x14ac:dyDescent="0.3">
      <c r="C96" s="86"/>
      <c r="D96" s="36"/>
      <c r="E96" s="36"/>
      <c r="F96" s="86"/>
      <c r="G96" s="86"/>
      <c r="H96" s="74">
        <v>146.69999999999999</v>
      </c>
      <c r="I96" s="59" t="str">
        <f>IF(ISBLANK(H96)," ",IF(ISTEXT(H96)," ",IF(H96&lt;=Нормативы!$H$93,"МСМК",IF(H96&lt;=Нормативы!$H$94,"МС",IF(H96&lt;=Нормативы!$H$95,"КМС",IF(H96&lt;=Нормативы!$H$96,"I",IF(H96&lt;=Нормативы!$H$97,"II",IF(H96&lt;=Нормативы!$H$98,"III",IF(H96&lt;=Нормативы!$H$99,"I юн",IF(H96&lt;=Нормативы!$H$100,"II юн",IF(H96&lt;=Нормативы!$H$101,"III юн","б/р")))))))))))</f>
        <v>I</v>
      </c>
      <c r="J96" s="59" t="str">
        <f>IF(ISBLANK(H96)," ",IF(ISTEXT(H96)," ",IF(H96&lt;=Нормативы!$H$93,"МСМК",IF(H96&lt;=Нормативы!$H$94,"МС",IF(H96&lt;=Нормативы!$H$95,"КМС",IF(H96&lt;=Нормативы!$H$96,"I",IF(H96&lt;=Нормативы!$H$97,"II",IF(H96&lt;=Нормативы!$H$98,"III",IF(H96&lt;=Нормативы!$H$99,"I юн",IF(H96&lt;=Нормативы!$H$100,"II юн",IF(H96&lt;=Нормативы!$H$101,"III юн","б/р")))))))))))</f>
        <v>I</v>
      </c>
      <c r="K96" s="75"/>
      <c r="L96" s="74">
        <f t="shared" si="73"/>
        <v>146.5</v>
      </c>
      <c r="M96" s="59" t="str">
        <f>IF(ISBLANK(L96)," ",IF(ISTEXT(L96)," ",IF(L96&lt;=Нормативы!$H$93,"КМС",IF(L96&lt;=Нормативы!$H$94,"КМС",IF(L96&lt;=Нормативы!$L$95,"КМС",IF(L96&lt;=Нормативы!$L$96,"I",IF(L96&lt;=Нормативы!$L$97,"II",IF(L96&lt;=Нормативы!$L$98,"III",IF(L96&lt;=Нормативы!$L$99,"I юн",IF(L96&lt;=Нормативы!$L$100,"II юн",IF(L96&lt;=Нормативы!$L$101,"III юн","б/р")))))))))))</f>
        <v>I</v>
      </c>
      <c r="N96" s="59" t="str">
        <f>IF(ISBLANK(L96)," ",IF(ISTEXT(L96)," ",IF(L96&lt;=Нормативы!$H$93,"КМС",IF(L96&lt;=Нормативы!$H$94,"КМС",IF(L96&lt;=Нормативы!$L$95,"КМС",IF(L96&lt;=Нормативы!$L$96,"I",IF(L96&lt;=Нормативы!$L$97,"II",IF(L96&lt;=Нормативы!$L$98,"III",IF(L96&lt;=Нормативы!$L$99,"I юн",IF(L96&lt;=Нормативы!$L$100,"II юн",IF(L96&lt;=Нормативы!$L$101,"III юн","б/р")))))))))))</f>
        <v>I</v>
      </c>
      <c r="Q96" s="59" t="str">
        <f t="shared" ref="Q96" si="75">IF(ISBLANK(P96)," ",IF(ISTEXT(P96)," ",IF(P96&lt;=$H$93,"МСМК",IF(P96&lt;=$H$94,"МС",IF(P96&lt;=$H$95,"КМС",IF(P96&lt;=$H$96,"I",IF(P96&lt;=$H$97,"II",IF(P96&lt;=$H$98,"III",IF(P96&lt;=$H$99,"I юн",IF(P96&lt;=$H$100,"II юн",IF(P96&lt;=$H$101,"III юн","б/р")))))))))))</f>
        <v xml:space="preserve"> </v>
      </c>
    </row>
    <row r="97" spans="3:33" x14ac:dyDescent="0.3">
      <c r="C97" s="86"/>
      <c r="D97" s="36"/>
      <c r="E97" s="36"/>
      <c r="F97" s="86"/>
      <c r="G97" s="86"/>
      <c r="H97" s="74">
        <v>155.19999999999999</v>
      </c>
      <c r="I97" s="59" t="str">
        <f>IF(ISBLANK(H97)," ",IF(ISTEXT(H97)," ",IF(H97&lt;=Нормативы!$H$93,"МСМК",IF(H97&lt;=Нормативы!$H$94,"МС",IF(H97&lt;=Нормативы!$H$95,"КМС",IF(H97&lt;=Нормативы!$H$96,"I",IF(H97&lt;=Нормативы!$H$97,"II",IF(H97&lt;=Нормативы!$H$98,"III",IF(H97&lt;=Нормативы!$H$99,"I юн",IF(H97&lt;=Нормативы!$H$100,"II юн",IF(H97&lt;=Нормативы!$H$101,"III юн","б/р")))))))))))</f>
        <v>II</v>
      </c>
      <c r="J97" s="59" t="str">
        <f>IF(ISBLANK(H97)," ",IF(ISTEXT(H97)," ",IF(H97&lt;=Нормативы!$H$93,"МСМК",IF(H97&lt;=Нормативы!$H$94,"МС",IF(H97&lt;=Нормативы!$H$95,"КМС",IF(H97&lt;=Нормативы!$H$96,"I",IF(H97&lt;=Нормативы!$H$97,"II",IF(H97&lt;=Нормативы!$H$98,"III",IF(H97&lt;=Нормативы!$H$99,"I юн",IF(H97&lt;=Нормативы!$H$100,"II юн",IF(H97&lt;=Нормативы!$H$101,"III юн","б/р")))))))))))</f>
        <v>II</v>
      </c>
      <c r="K97" s="75"/>
      <c r="L97" s="74">
        <f t="shared" si="73"/>
        <v>155</v>
      </c>
      <c r="M97" s="59" t="str">
        <f>IF(ISBLANK(L97)," ",IF(ISTEXT(L97)," ",IF(L97&lt;=Нормативы!$H$93,"КМС",IF(L97&lt;=Нормативы!$H$94,"КМС",IF(L97&lt;=Нормативы!$L$95,"КМС",IF(L97&lt;=Нормативы!$L$96,"I",IF(L97&lt;=Нормативы!$L$97,"II",IF(L97&lt;=Нормативы!$L$98,"III",IF(L97&lt;=Нормативы!$L$99,"I юн",IF(L97&lt;=Нормативы!$L$100,"II юн",IF(L97&lt;=Нормативы!$L$101,"III юн","б/р")))))))))))</f>
        <v>II</v>
      </c>
      <c r="N97" s="59" t="str">
        <f>IF(ISBLANK(L97)," ",IF(ISTEXT(L97)," ",IF(L97&lt;=Нормативы!$H$93,"КМС",IF(L97&lt;=Нормативы!$H$94,"КМС",IF(L97&lt;=Нормативы!$L$95,"КМС",IF(L97&lt;=Нормативы!$L$96,"I",IF(L97&lt;=Нормативы!$L$97,"II",IF(L97&lt;=Нормативы!$L$98,"III",IF(L97&lt;=Нормативы!$L$99,"I юн",IF(L97&lt;=Нормативы!$L$100,"II юн",IF(L97&lt;=Нормативы!$L$101,"III юн","б/р")))))))))))</f>
        <v>II</v>
      </c>
      <c r="Q97" s="59" t="str">
        <f t="shared" ref="Q97" si="76">IF(ISBLANK(P97)," ",IF(ISTEXT(P97)," ",IF(P97&lt;=$H$93,"МСМК",IF(P97&lt;=$H$94,"МС",IF(P97&lt;=$H$95,"КМС",IF(P97&lt;=$H$96,"I",IF(P97&lt;=$H$97,"II",IF(P97&lt;=$H$98,"III",IF(P97&lt;=$H$99,"I юн",IF(P97&lt;=$H$100,"II юн",IF(P97&lt;=$H$101,"III юн","б/р")))))))))))</f>
        <v xml:space="preserve"> </v>
      </c>
    </row>
    <row r="98" spans="3:33" x14ac:dyDescent="0.3">
      <c r="C98" s="86"/>
      <c r="D98" s="36"/>
      <c r="E98" s="36"/>
      <c r="F98" s="86"/>
      <c r="G98" s="86"/>
      <c r="H98" s="74">
        <v>205.2</v>
      </c>
      <c r="I98" s="59" t="str">
        <f>IF(ISBLANK(H98)," ",IF(ISTEXT(H98)," ",IF(H98&lt;=Нормативы!$H$93,"МСМК",IF(H98&lt;=Нормативы!$H$94,"МС",IF(H98&lt;=Нормативы!$H$95,"КМС",IF(H98&lt;=Нормативы!$H$96,"I",IF(H98&lt;=Нормативы!$H$97,"II",IF(H98&lt;=Нормативы!$H$98,"III",IF(H98&lt;=Нормативы!$H$99,"I юн",IF(H98&lt;=Нормативы!$H$100,"II юн",IF(H98&lt;=Нормативы!$H$101,"III юн","б/р")))))))))))</f>
        <v>III</v>
      </c>
      <c r="J98" s="59" t="str">
        <f>IF(ISBLANK(H98)," ",IF(ISTEXT(H98)," ",IF(H98&lt;=Нормативы!$H$93,"МСМК",IF(H98&lt;=Нормативы!$H$94,"МС",IF(H98&lt;=Нормативы!$H$95,"КМС",IF(H98&lt;=Нормативы!$H$96,"I",IF(H98&lt;=Нормативы!$H$97,"II",IF(H98&lt;=Нормативы!$H$98,"III",IF(H98&lt;=Нормативы!$H$99,"I юн",IF(H98&lt;=Нормативы!$H$100,"II юн",IF(H98&lt;=Нормативы!$H$101,"III юн","б/р")))))))))))</f>
        <v>III</v>
      </c>
      <c r="K98" s="75"/>
      <c r="L98" s="74">
        <f t="shared" si="73"/>
        <v>205</v>
      </c>
      <c r="M98" s="59" t="str">
        <f>IF(ISBLANK(L98)," ",IF(ISTEXT(L98)," ",IF(L98&lt;=Нормативы!$H$93,"КМС",IF(L98&lt;=Нормативы!$H$94,"КМС",IF(L98&lt;=Нормативы!$L$95,"КМС",IF(L98&lt;=Нормативы!$L$96,"I",IF(L98&lt;=Нормативы!$L$97,"II",IF(L98&lt;=Нормативы!$L$98,"III",IF(L98&lt;=Нормативы!$L$99,"I юн",IF(L98&lt;=Нормативы!$L$100,"II юн",IF(L98&lt;=Нормативы!$L$101,"III юн","б/р")))))))))))</f>
        <v>III</v>
      </c>
      <c r="N98" s="59" t="str">
        <f>IF(ISBLANK(L98)," ",IF(ISTEXT(L98)," ",IF(L98&lt;=Нормативы!$H$93,"КМС",IF(L98&lt;=Нормативы!$H$94,"КМС",IF(L98&lt;=Нормативы!$L$95,"КМС",IF(L98&lt;=Нормативы!$L$96,"I",IF(L98&lt;=Нормативы!$L$97,"II",IF(L98&lt;=Нормативы!$L$98,"III",IF(L98&lt;=Нормативы!$L$99,"I юн",IF(L98&lt;=Нормативы!$L$100,"II юн",IF(L98&lt;=Нормативы!$L$101,"III юн","б/р")))))))))))</f>
        <v>III</v>
      </c>
      <c r="Q98" s="59" t="str">
        <f t="shared" ref="Q98" si="77">IF(ISBLANK(P98)," ",IF(ISTEXT(P98)," ",IF(P98&lt;=$H$93,"МСМК",IF(P98&lt;=$H$94,"МС",IF(P98&lt;=$H$95,"КМС",IF(P98&lt;=$H$96,"I",IF(P98&lt;=$H$97,"II",IF(P98&lt;=$H$98,"III",IF(P98&lt;=$H$99,"I юн",IF(P98&lt;=$H$100,"II юн",IF(P98&lt;=$H$101,"III юн","б/р")))))))))))</f>
        <v xml:space="preserve"> </v>
      </c>
    </row>
    <row r="99" spans="3:33" x14ac:dyDescent="0.3">
      <c r="C99" s="86"/>
      <c r="D99" s="36"/>
      <c r="E99" s="36"/>
      <c r="F99" s="86"/>
      <c r="G99" s="86"/>
      <c r="H99" s="74">
        <v>219</v>
      </c>
      <c r="I99" s="59" t="str">
        <f>IF(ISBLANK(H99)," ",IF(ISTEXT(H99)," ",IF(H99&lt;=Нормативы!$H$93,"МСМК",IF(H99&lt;=Нормативы!$H$94,"МС",IF(H99&lt;=Нормативы!$H$95,"КМС",IF(H99&lt;=Нормативы!$H$96,"I",IF(H99&lt;=Нормативы!$H$97,"II",IF(H99&lt;=Нормативы!$H$98,"III",IF(H99&lt;=Нормативы!$H$99,"I юн",IF(H99&lt;=Нормативы!$H$100,"II юн",IF(H99&lt;=Нормативы!$H$101,"III юн","б/р")))))))))))</f>
        <v>I юн</v>
      </c>
      <c r="J99" s="59" t="str">
        <f>IF(ISBLANK(H99)," ",IF(ISTEXT(H99)," ",IF(H99&lt;=Нормативы!$H$93,"МСМК",IF(H99&lt;=Нормативы!$H$94,"МС",IF(H99&lt;=Нормативы!$H$95,"КМС",IF(H99&lt;=Нормативы!$H$96,"I",IF(H99&lt;=Нормативы!$H$97,"II",IF(H99&lt;=Нормативы!$H$98,"III",IF(H99&lt;=Нормативы!$H$99,"I юн",IF(H99&lt;=Нормативы!$H$100,"II юн",IF(H99&lt;=Нормативы!$H$101,"III юн","б/р")))))))))))</f>
        <v>I юн</v>
      </c>
      <c r="K99" s="75"/>
      <c r="L99" s="74">
        <f t="shared" si="73"/>
        <v>218.8</v>
      </c>
      <c r="M99" s="59" t="str">
        <f>IF(ISBLANK(L99)," ",IF(ISTEXT(L99)," ",IF(L99&lt;=Нормативы!$H$93,"КМС",IF(L99&lt;=Нормативы!$H$94,"КМС",IF(L99&lt;=Нормативы!$L$95,"КМС",IF(L99&lt;=Нормативы!$L$96,"I",IF(L99&lt;=Нормативы!$L$97,"II",IF(L99&lt;=Нормативы!$L$98,"III",IF(L99&lt;=Нормативы!$L$99,"I юн",IF(L99&lt;=Нормативы!$L$100,"II юн",IF(L99&lt;=Нормативы!$L$101,"III юн","б/р")))))))))))</f>
        <v>I юн</v>
      </c>
      <c r="N99" s="59" t="str">
        <f>IF(ISBLANK(L99)," ",IF(ISTEXT(L99)," ",IF(L99&lt;=Нормативы!$H$93,"КМС",IF(L99&lt;=Нормативы!$H$94,"КМС",IF(L99&lt;=Нормативы!$L$95,"КМС",IF(L99&lt;=Нормативы!$L$96,"I",IF(L99&lt;=Нормативы!$L$97,"II",IF(L99&lt;=Нормативы!$L$98,"III",IF(L99&lt;=Нормативы!$L$99,"I юн",IF(L99&lt;=Нормативы!$L$100,"II юн",IF(L99&lt;=Нормативы!$L$101,"III юн","б/р")))))))))))</f>
        <v>I юн</v>
      </c>
      <c r="Q99" s="59" t="str">
        <f t="shared" ref="Q99" si="78">IF(ISBLANK(P99)," ",IF(ISTEXT(P99)," ",IF(P99&lt;=$H$93,"МСМК",IF(P99&lt;=$H$94,"МС",IF(P99&lt;=$H$95,"КМС",IF(P99&lt;=$H$96,"I",IF(P99&lt;=$H$97,"II",IF(P99&lt;=$H$98,"III",IF(P99&lt;=$H$99,"I юн",IF(P99&lt;=$H$100,"II юн",IF(P99&lt;=$H$101,"III юн","б/р")))))))))))</f>
        <v xml:space="preserve"> </v>
      </c>
    </row>
    <row r="100" spans="3:33" x14ac:dyDescent="0.3">
      <c r="C100" s="86"/>
      <c r="D100" s="36"/>
      <c r="E100" s="36"/>
      <c r="F100" s="86"/>
      <c r="G100" s="86"/>
      <c r="H100" s="74">
        <v>230</v>
      </c>
      <c r="I100" s="59" t="str">
        <f>IF(ISBLANK(H100)," ",IF(ISTEXT(H100)," ",IF(H100&lt;=Нормативы!$H$93,"МСМК",IF(H100&lt;=Нормативы!$H$94,"МС",IF(H100&lt;=Нормативы!$H$95,"КМС",IF(H100&lt;=Нормативы!$H$96,"I",IF(H100&lt;=Нормативы!$H$97,"II",IF(H100&lt;=Нормативы!$H$98,"III",IF(H100&lt;=Нормативы!$H$99,"I юн",IF(H100&lt;=Нормативы!$H$100,"II юн",IF(H100&lt;=Нормативы!$H$101,"III юн","б/р")))))))))))</f>
        <v>II юн</v>
      </c>
      <c r="J100" s="59" t="str">
        <f>IF(ISBLANK(H100)," ",IF(ISTEXT(H100)," ",IF(H100&lt;=Нормативы!$H$93,"МСМК",IF(H100&lt;=Нормативы!$H$94,"МС",IF(H100&lt;=Нормативы!$H$95,"КМС",IF(H100&lt;=Нормативы!$H$96,"I",IF(H100&lt;=Нормативы!$H$97,"II",IF(H100&lt;=Нормативы!$H$98,"III",IF(H100&lt;=Нормативы!$H$99,"I юн",IF(H100&lt;=Нормативы!$H$100,"II юн",IF(H100&lt;=Нормативы!$H$101,"III юн","б/р")))))))))))</f>
        <v>II юн</v>
      </c>
      <c r="K100" s="75"/>
      <c r="L100" s="74">
        <f t="shared" si="73"/>
        <v>229.8</v>
      </c>
      <c r="M100" s="59" t="str">
        <f>IF(ISBLANK(L100)," ",IF(ISTEXT(L100)," ",IF(L100&lt;=Нормативы!$H$93,"КМС",IF(L100&lt;=Нормативы!$H$94,"КМС",IF(L100&lt;=Нормативы!$L$95,"КМС",IF(L100&lt;=Нормативы!$L$96,"I",IF(L100&lt;=Нормативы!$L$97,"II",IF(L100&lt;=Нормативы!$L$98,"III",IF(L100&lt;=Нормативы!$L$99,"I юн",IF(L100&lt;=Нормативы!$L$100,"II юн",IF(L100&lt;=Нормативы!$L$101,"III юн","б/р")))))))))))</f>
        <v>II юн</v>
      </c>
      <c r="N100" s="59" t="str">
        <f>IF(ISBLANK(L100)," ",IF(ISTEXT(L100)," ",IF(L100&lt;=Нормативы!$H$93,"КМС",IF(L100&lt;=Нормативы!$H$94,"КМС",IF(L100&lt;=Нормативы!$L$95,"КМС",IF(L100&lt;=Нормативы!$L$96,"I",IF(L100&lt;=Нормативы!$L$97,"II",IF(L100&lt;=Нормативы!$L$98,"III",IF(L100&lt;=Нормативы!$L$99,"I юн",IF(L100&lt;=Нормативы!$L$100,"II юн",IF(L100&lt;=Нормативы!$L$101,"III юн","б/р")))))))))))</f>
        <v>II юн</v>
      </c>
      <c r="Q100" s="59" t="str">
        <f t="shared" ref="Q100" si="79">IF(ISBLANK(P100)," ",IF(ISTEXT(P100)," ",IF(P100&lt;=$H$93,"МСМК",IF(P100&lt;=$H$94,"МС",IF(P100&lt;=$H$95,"КМС",IF(P100&lt;=$H$96,"I",IF(P100&lt;=$H$97,"II",IF(P100&lt;=$H$98,"III",IF(P100&lt;=$H$99,"I юн",IF(P100&lt;=$H$100,"II юн",IF(P100&lt;=$H$101,"III юн","б/р")))))))))))</f>
        <v xml:space="preserve"> </v>
      </c>
    </row>
    <row r="101" spans="3:33" x14ac:dyDescent="0.3">
      <c r="C101" s="86"/>
      <c r="D101" s="36"/>
      <c r="E101" s="36"/>
      <c r="F101" s="86"/>
      <c r="G101" s="86"/>
      <c r="H101" s="74">
        <v>240.20000000000002</v>
      </c>
      <c r="I101" s="59" t="str">
        <f>IF(ISBLANK(H101)," ",IF(ISTEXT(H101)," ",IF(H101&lt;=Нормативы!$H$93,"МСМК",IF(H101&lt;=Нормативы!$H$94,"МС",IF(H101&lt;=Нормативы!$H$95,"КМС",IF(H101&lt;=Нормативы!$H$96,"I",IF(H101&lt;=Нормативы!$H$97,"II",IF(H101&lt;=Нормативы!$H$98,"III",IF(H101&lt;=Нормативы!$H$99,"I юн",IF(H101&lt;=Нормативы!$H$100,"II юн",IF(H101&lt;=Нормативы!$H$101,"III юн","б/р")))))))))))</f>
        <v>III юн</v>
      </c>
      <c r="J101" s="59" t="str">
        <f>IF(ISBLANK(H101)," ",IF(ISTEXT(H101)," ",IF(H101&lt;=Нормативы!$H$93,"МСМК",IF(H101&lt;=Нормативы!$H$94,"МС",IF(H101&lt;=Нормативы!$H$95,"КМС",IF(H101&lt;=Нормативы!$H$96,"I",IF(H101&lt;=Нормативы!$H$97,"II",IF(H101&lt;=Нормативы!$H$98,"III",IF(H101&lt;=Нормативы!$H$99,"I юн",IF(H101&lt;=Нормативы!$H$100,"II юн",IF(H101&lt;=Нормативы!$H$101,"III юн","б/р")))))))))))</f>
        <v>III юн</v>
      </c>
      <c r="K101" s="75"/>
      <c r="L101" s="74">
        <f>H101-0.4</f>
        <v>239.8</v>
      </c>
      <c r="M101" s="59" t="str">
        <f>IF(ISBLANK(L101)," ",IF(ISTEXT(L101)," ",IF(L101&lt;=Нормативы!$H$93,"КМС",IF(L101&lt;=Нормативы!$H$94,"КМС",IF(L101&lt;=Нормативы!$L$95,"КМС",IF(L101&lt;=Нормативы!$L$96,"I",IF(L101&lt;=Нормативы!$L$97,"II",IF(L101&lt;=Нормативы!$L$98,"III",IF(L101&lt;=Нормативы!$L$99,"I юн",IF(L101&lt;=Нормативы!$L$100,"II юн",IF(L101&lt;=Нормативы!$L$101,"III юн","б/р")))))))))))</f>
        <v>III юн</v>
      </c>
      <c r="N101" s="59" t="str">
        <f>IF(ISBLANK(L101)," ",IF(ISTEXT(L101)," ",IF(L101&lt;=Нормативы!$H$93,"КМС",IF(L101&lt;=Нормативы!$H$94,"КМС",IF(L101&lt;=Нормативы!$L$95,"КМС",IF(L101&lt;=Нормативы!$L$96,"I",IF(L101&lt;=Нормативы!$L$97,"II",IF(L101&lt;=Нормативы!$L$98,"III",IF(L101&lt;=Нормативы!$L$99,"I юн",IF(L101&lt;=Нормативы!$L$100,"II юн",IF(L101&lt;=Нормативы!$L$101,"III юн","б/р")))))))))))</f>
        <v>III юн</v>
      </c>
      <c r="Q101" s="59" t="str">
        <f t="shared" ref="Q101" si="80">IF(ISBLANK(P101)," ",IF(ISTEXT(P101)," ",IF(P101&lt;=$H$93,"МСМК",IF(P101&lt;=$H$94,"МС",IF(P101&lt;=$H$95,"КМС",IF(P101&lt;=$H$96,"I",IF(P101&lt;=$H$97,"II",IF(P101&lt;=$H$98,"III",IF(P101&lt;=$H$99,"I юн",IF(P101&lt;=$H$100,"II юн",IF(P101&lt;=$H$101,"III юн","б/р")))))))))))</f>
        <v xml:space="preserve"> </v>
      </c>
    </row>
    <row r="102" spans="3:33" x14ac:dyDescent="0.3">
      <c r="C102" s="43"/>
      <c r="D102" s="43"/>
      <c r="E102" s="43"/>
      <c r="F102" s="43"/>
      <c r="G102" s="43"/>
      <c r="H102" s="74"/>
      <c r="I102" s="59" t="str">
        <f>IF(ISBLANK(H102)," ",IF(ISTEXT(H102)," ",IF(H102&lt;=132.9,"МСМК",IF(H102&lt;=137.5,"МС",IF(H102&lt;=142.2,"КМС",IF(H102&lt;=149.6,"I",IF(H102&lt;=158.9,"II",IF(H102&lt;=209.1,"III",IF(H102&lt;=221.2,"I юн",IF(H102&lt;=234.2,"II юн",IF(H102&lt;=247.2,"III юн","б/р")))))))))))</f>
        <v xml:space="preserve"> </v>
      </c>
      <c r="J102" s="59" t="str">
        <f>IF(ISBLANK(H102)," ",IF(ISTEXT(H102)," ",IF(H102&lt;=132.9,"МСМК",IF(H102&lt;=137.5,"МС",IF(H102&lt;=142.2,"КМС",IF(H102&lt;=149.6,"I",IF(H102&lt;=158.9,"II",IF(H102&lt;=209.1,"III",IF(H102&lt;=221.2,"I юн",IF(H102&lt;=234.2,"II юн",IF(H102&lt;=247.2,"III юн","б/р")))))))))))</f>
        <v xml:space="preserve"> </v>
      </c>
      <c r="K102" s="75"/>
      <c r="L102" s="42"/>
      <c r="M102" s="59" t="str">
        <f>IF(ISBLANK(L102)," ",IF(ISTEXT(L102)," ",IF(L102&lt;=132.9,"МСМК",IF(L102&lt;=137.5,"МС",IF(L102&lt;=142.2,"КМС",IF(L102&lt;=149.6,"I",IF(L102&lt;=158.9,"II",IF(L102&lt;=209.1,"III",IF(L102&lt;=221.2,"I юн",IF(L102&lt;=234.2,"II юн",IF(L102&lt;=247.2,"III юн","б/р")))))))))))</f>
        <v xml:space="preserve"> </v>
      </c>
      <c r="N102" s="59" t="str">
        <f>IF(ISBLANK(L102)," ",IF(ISTEXT(L102)," ",IF(L102&lt;=132.9,"МСМК",IF(L102&lt;=137.5,"МС",IF(L102&lt;=142.2,"КМС",IF(L102&lt;=149.6,"I",IF(L102&lt;=158.9,"II",IF(L102&lt;=209.1,"III",IF(L102&lt;=221.2,"I юн",IF(L102&lt;=234.2,"II юн",IF(L102&lt;=247.2,"III юн","б/р")))))))))))</f>
        <v xml:space="preserve"> </v>
      </c>
      <c r="P102" s="82"/>
      <c r="Q102" s="59" t="str">
        <f>IF(ISBLANK(P102)," ",IF(ISTEXT(P102)," ",IF(P102&lt;=132.9,"МСМК",IF(P102&lt;=137.5,"МС",IF(P102&lt;=142.2,"КМС",IF(P102&lt;=149.6,"I",IF(P102&lt;=158.9,"II",IF(P102&lt;=209.1,"III",IF(P102&lt;=221.2,"I юн",IF(P102&lt;=234.2,"II юн",IF(P102&lt;=247.2,"III юн","б/р")))))))))))</f>
        <v xml:space="preserve"> </v>
      </c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3"/>
      <c r="AC102" s="83"/>
      <c r="AD102" s="83"/>
      <c r="AE102" s="83"/>
      <c r="AF102" s="83"/>
      <c r="AG102" s="83"/>
    </row>
    <row r="103" spans="3:33" x14ac:dyDescent="0.3">
      <c r="C103" s="68" t="s">
        <v>46</v>
      </c>
      <c r="D103" s="69"/>
      <c r="E103" s="69"/>
      <c r="F103" s="68"/>
      <c r="G103" s="68"/>
      <c r="H103" s="74"/>
      <c r="I103" s="43"/>
      <c r="J103" s="43"/>
      <c r="K103" s="84"/>
      <c r="L103" s="43"/>
      <c r="M103" s="43"/>
      <c r="N103" s="43"/>
      <c r="P103" s="83"/>
      <c r="Q103" s="4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</row>
    <row r="104" spans="3:33" x14ac:dyDescent="0.3">
      <c r="C104" s="86"/>
      <c r="D104" s="36"/>
      <c r="E104" s="36"/>
      <c r="F104" s="86"/>
      <c r="G104" s="86"/>
      <c r="H104" s="74">
        <v>122.5</v>
      </c>
      <c r="I104" s="59" t="str">
        <f>IF(ISBLANK(H104)," ",IF(ISTEXT(H104)," ",IF(H104&lt;=Нормативы!$H$104,"МСМК",IF(H104&lt;=Нормативы!$H$105,"МС",IF(H104&lt;=Нормативы!$H$106,"КМС",IF(H104&lt;=Нормативы!$H$107,"I",IF(H104&lt;=Нормативы!$H$108,"II",IF(H104&lt;=Нормативы!$H$109,"III",IF(H104&lt;=Нормативы!$H$110,"I юн",IF(H104&lt;=Нормативы!$H$111,"II юн",IF(H104&lt;=Нормативы!$H$112,"III юн","б/р")))))))))))</f>
        <v>МСМК</v>
      </c>
      <c r="J104" s="59" t="str">
        <f>IF(ISBLANK(H104)," ",IF(ISTEXT(H104)," ",IF(H104&lt;=Нормативы!$H$104,"МСМК",IF(H104&lt;=Нормативы!$H$105,"МС",IF(H104&lt;=Нормативы!$H$106,"КМС",IF(H104&lt;=Нормативы!$H$107,"I",IF(H104&lt;=Нормативы!$H$108,"II",IF(H104&lt;=Нормативы!$H$109,"III",IF(H104&lt;=Нормативы!$H$110,"I юн",IF(H104&lt;=Нормативы!$H$111,"II юн",IF(H104&lt;=Нормативы!$H$112,"III юн","б/р")))))))))))</f>
        <v>МСМК</v>
      </c>
      <c r="K104" s="75"/>
      <c r="L104" s="74"/>
      <c r="M104" s="59" t="str">
        <f>IF(ISBLANK(L104)," ",IF(ISTEXT(L104)," ",IF(L104&lt;=Нормативы!$H$104,"КМС",IF(L104&lt;=Нормативы!$H$105,"КМС",IF(L104&lt;=Нормативы!$L$106,"КМС",IF(L104&lt;=Нормативы!$L$107,"I",IF(L104&lt;=Нормативы!$L$108,"II",IF(L104&lt;=Нормативы!$L$109,"III",IF(L104&lt;=Нормативы!$L$110,"I юн",IF(L104&lt;=Нормативы!$L$111,"II юн",IF(L104&lt;=Нормативы!$L$112,"III юн","б/р")))))))))))</f>
        <v xml:space="preserve"> </v>
      </c>
      <c r="N104" s="59" t="str">
        <f>IF(ISBLANK(L104)," ",IF(ISTEXT(L104)," ",IF(L104&lt;=123.2,"МСМК",IF(L104&lt;=127.4,"МС",IF(L104&lt;=131.5,"КМС",IF(L104&lt;=138,"I",IF(L104&lt;=147,"II",IF(L104&lt;=155.5,"III",IF(L104&lt;=207.5,"I юн",IF(L104&lt;=219.3,"II юн",IF(L104&lt;=231,"III юн","б/р")))))))))))</f>
        <v xml:space="preserve"> </v>
      </c>
      <c r="Q104" s="59" t="str">
        <f>IF(ISBLANK(P104)," ",IF(ISTEXT(P104)," ",IF(P104&lt;=$H$104,"МСМК",IF(P104&lt;=$H$105,"МС",IF(P104&lt;=$H$106,"КМС",IF(P104&lt;=$H$107,"I",IF(P104&lt;=$H$108,"II",IF(P104&lt;=$H$109,"III",IF(P104&lt;=$H$110,"I юн",IF(P104&lt;=$H$111,"II юн",IF(P104&lt;=$H$112,"III юн","б/р")))))))))))</f>
        <v xml:space="preserve"> </v>
      </c>
    </row>
    <row r="105" spans="3:33" x14ac:dyDescent="0.3">
      <c r="C105" s="86"/>
      <c r="D105" s="36"/>
      <c r="E105" s="36"/>
      <c r="F105" s="86"/>
      <c r="G105" s="86"/>
      <c r="H105" s="74">
        <v>126</v>
      </c>
      <c r="I105" s="59" t="str">
        <f>IF(ISBLANK(H105)," ",IF(ISTEXT(H105)," ",IF(H105&lt;=Нормативы!$H$104,"МСМК",IF(H105&lt;=Нормативы!$H$105,"МС",IF(H105&lt;=Нормативы!$H$106,"КМС",IF(H105&lt;=Нормативы!$H$107,"I",IF(H105&lt;=Нормативы!$H$108,"II",IF(H105&lt;=Нормативы!$H$109,"III",IF(H105&lt;=Нормативы!$H$110,"I юн",IF(H105&lt;=Нормативы!$H$111,"II юн",IF(H105&lt;=Нормативы!$H$112,"III юн","б/р")))))))))))</f>
        <v>МС</v>
      </c>
      <c r="J105" s="59" t="str">
        <f>IF(ISBLANK(H105)," ",IF(ISTEXT(H105)," ",IF(H105&lt;=Нормативы!$H$104,"МСМК",IF(H105&lt;=Нормативы!$H$105,"МС",IF(H105&lt;=Нормативы!$H$106,"КМС",IF(H105&lt;=Нормативы!$H$107,"I",IF(H105&lt;=Нормативы!$H$108,"II",IF(H105&lt;=Нормативы!$H$109,"III",IF(H105&lt;=Нормативы!$H$110,"I юн",IF(H105&lt;=Нормативы!$H$111,"II юн",IF(H105&lt;=Нормативы!$H$112,"III юн","б/р")))))))))))</f>
        <v>МС</v>
      </c>
      <c r="K105" s="75"/>
      <c r="L105" s="74"/>
      <c r="M105" s="59" t="str">
        <f>IF(ISBLANK(L105)," ",IF(ISTEXT(L105)," ",IF(L105&lt;=Нормативы!$H$104,"КМС",IF(L105&lt;=Нормативы!$H$105,"КМС",IF(L105&lt;=Нормативы!$L$106,"КМС",IF(L105&lt;=Нормативы!$L$107,"I",IF(L105&lt;=Нормативы!$L$108,"II",IF(L105&lt;=Нормативы!$L$109,"III",IF(L105&lt;=Нормативы!$L$110,"I юн",IF(L105&lt;=Нормативы!$L$111,"II юн",IF(L105&lt;=Нормативы!$L$112,"III юн","б/р")))))))))))</f>
        <v xml:space="preserve"> </v>
      </c>
      <c r="N105" s="59" t="str">
        <f>IF(ISBLANK(L105)," ",IF(ISTEXT(L105)," ",IF(L105&lt;=123.2,"МСМК",IF(L105&lt;=127.4,"МС",IF(L105&lt;=131.5,"КМС",IF(L105&lt;=138,"I",IF(L105&lt;=147,"II",IF(L105&lt;=155.5,"III",IF(L105&lt;=207.5,"I юн",IF(L105&lt;=219.3,"II юн",IF(L105&lt;=231,"III юн","б/р")))))))))))</f>
        <v xml:space="preserve"> </v>
      </c>
      <c r="Q105" s="59" t="str">
        <f t="shared" ref="Q105" si="81">IF(ISBLANK(P105)," ",IF(ISTEXT(P105)," ",IF(P105&lt;=$H$104,"МСМК",IF(P105&lt;=$H$105,"МС",IF(P105&lt;=$H$106,"КМС",IF(P105&lt;=$H$107,"I",IF(P105&lt;=$H$108,"II",IF(P105&lt;=$H$109,"III",IF(P105&lt;=$H$110,"I юн",IF(P105&lt;=$H$111,"II юн",IF(P105&lt;=$H$112,"III юн","б/р")))))))))))</f>
        <v xml:space="preserve"> </v>
      </c>
    </row>
    <row r="106" spans="3:33" x14ac:dyDescent="0.3">
      <c r="C106" s="86"/>
      <c r="D106" s="36"/>
      <c r="E106" s="36"/>
      <c r="F106" s="86"/>
      <c r="G106" s="86"/>
      <c r="H106" s="74">
        <v>130.69999999999999</v>
      </c>
      <c r="I106" s="59" t="str">
        <f>IF(ISBLANK(H106)," ",IF(ISTEXT(H106)," ",IF(H106&lt;=Нормативы!$H$104,"МСМК",IF(H106&lt;=Нормативы!$H$105,"МС",IF(H106&lt;=Нормативы!$H$106,"КМС",IF(H106&lt;=Нормативы!$H$107,"I",IF(H106&lt;=Нормативы!$H$108,"II",IF(H106&lt;=Нормативы!$H$109,"III",IF(H106&lt;=Нормативы!$H$110,"I юн",IF(H106&lt;=Нормативы!$H$111,"II юн",IF(H106&lt;=Нормативы!$H$112,"III юн","б/р")))))))))))</f>
        <v>КМС</v>
      </c>
      <c r="J106" s="59" t="str">
        <f>IF(ISBLANK(H106)," ",IF(ISTEXT(H106)," ",IF(H106&lt;=Нормативы!$H$104,"МСМК",IF(H106&lt;=Нормативы!$H$105,"МС",IF(H106&lt;=Нормативы!$H$106,"КМС",IF(H106&lt;=Нормативы!$H$107,"I",IF(H106&lt;=Нормативы!$H$108,"II",IF(H106&lt;=Нормативы!$H$109,"III",IF(H106&lt;=Нормативы!$H$110,"I юн",IF(H106&lt;=Нормативы!$H$111,"II юн",IF(H106&lt;=Нормативы!$H$112,"III юн","б/р")))))))))))</f>
        <v>КМС</v>
      </c>
      <c r="K106" s="75"/>
      <c r="L106" s="74">
        <f t="shared" ref="L106:L112" si="82">H106-0.2</f>
        <v>130.5</v>
      </c>
      <c r="M106" s="59" t="str">
        <f>IF(ISBLANK(L106)," ",IF(ISTEXT(L106)," ",IF(L106&lt;=Нормативы!$H$104,"КМС",IF(L106&lt;=Нормативы!$H$105,"КМС",IF(L106&lt;=Нормативы!$L$106,"КМС",IF(L106&lt;=Нормативы!$L$107,"I",IF(L106&lt;=Нормативы!$L$108,"II",IF(L106&lt;=Нормативы!$L$109,"III",IF(L106&lt;=Нормативы!$L$110,"I юн",IF(L106&lt;=Нормативы!$L$111,"II юн",IF(L106&lt;=Нормативы!$L$112,"III юн","б/р")))))))))))</f>
        <v>КМС</v>
      </c>
      <c r="N106" s="59" t="str">
        <f>IF(ISBLANK(L106)," ",IF(ISTEXT(L106)," ",IF(L106&lt;=Нормативы!$H$104,"КМС",IF(L106&lt;=Нормативы!$H$105,"КМС",IF(L106&lt;=Нормативы!$L$106,"КМС",IF(L106&lt;=Нормативы!$L$107,"I",IF(L106&lt;=Нормативы!$L$108,"II",IF(L106&lt;=Нормативы!$L$109,"III",IF(L106&lt;=Нормативы!$L$110,"I юн",IF(L106&lt;=Нормативы!$L$111,"II юн",IF(L106&lt;=Нормативы!$L$112,"III юн","б/р")))))))))))</f>
        <v>КМС</v>
      </c>
      <c r="Q106" s="59" t="str">
        <f t="shared" ref="Q106" si="83">IF(ISBLANK(P106)," ",IF(ISTEXT(P106)," ",IF(P106&lt;=$H$104,"МСМК",IF(P106&lt;=$H$105,"МС",IF(P106&lt;=$H$106,"КМС",IF(P106&lt;=$H$107,"I",IF(P106&lt;=$H$108,"II",IF(P106&lt;=$H$109,"III",IF(P106&lt;=$H$110,"I юн",IF(P106&lt;=$H$111,"II юн",IF(P106&lt;=$H$112,"III юн","б/р")))))))))))</f>
        <v xml:space="preserve"> </v>
      </c>
    </row>
    <row r="107" spans="3:33" x14ac:dyDescent="0.3">
      <c r="C107" s="86"/>
      <c r="D107" s="36"/>
      <c r="E107" s="36"/>
      <c r="F107" s="86"/>
      <c r="G107" s="86"/>
      <c r="H107" s="74">
        <v>137.19999999999999</v>
      </c>
      <c r="I107" s="59" t="str">
        <f>IF(ISBLANK(H107)," ",IF(ISTEXT(H107)," ",IF(H107&lt;=Нормативы!$H$104,"МСМК",IF(H107&lt;=Нормативы!$H$105,"МС",IF(H107&lt;=Нормативы!$H$106,"КМС",IF(H107&lt;=Нормативы!$H$107,"I",IF(H107&lt;=Нормативы!$H$108,"II",IF(H107&lt;=Нормативы!$H$109,"III",IF(H107&lt;=Нормативы!$H$110,"I юн",IF(H107&lt;=Нормативы!$H$111,"II юн",IF(H107&lt;=Нормативы!$H$112,"III юн","б/р")))))))))))</f>
        <v>I</v>
      </c>
      <c r="J107" s="59" t="str">
        <f>IF(ISBLANK(H107)," ",IF(ISTEXT(H107)," ",IF(H107&lt;=Нормативы!$H$104,"МСМК",IF(H107&lt;=Нормативы!$H$105,"МС",IF(H107&lt;=Нормативы!$H$106,"КМС",IF(H107&lt;=Нормативы!$H$107,"I",IF(H107&lt;=Нормативы!$H$108,"II",IF(H107&lt;=Нормативы!$H$109,"III",IF(H107&lt;=Нормативы!$H$110,"I юн",IF(H107&lt;=Нормативы!$H$111,"II юн",IF(H107&lt;=Нормативы!$H$112,"III юн","б/р")))))))))))</f>
        <v>I</v>
      </c>
      <c r="K107" s="75"/>
      <c r="L107" s="74">
        <f t="shared" si="82"/>
        <v>137</v>
      </c>
      <c r="M107" s="59" t="str">
        <f>IF(ISBLANK(L107)," ",IF(ISTEXT(L107)," ",IF(L107&lt;=Нормативы!$H$104,"КМС",IF(L107&lt;=Нормативы!$H$105,"КМС",IF(L107&lt;=Нормативы!$L$106,"КМС",IF(L107&lt;=Нормативы!$L$107,"I",IF(L107&lt;=Нормативы!$L$108,"II",IF(L107&lt;=Нормативы!$L$109,"III",IF(L107&lt;=Нормативы!$L$110,"I юн",IF(L107&lt;=Нормативы!$L$111,"II юн",IF(L107&lt;=Нормативы!$L$112,"III юн","б/р")))))))))))</f>
        <v>I</v>
      </c>
      <c r="N107" s="59" t="str">
        <f>IF(ISBLANK(L107)," ",IF(ISTEXT(L107)," ",IF(L107&lt;=Нормативы!$H$104,"КМС",IF(L107&lt;=Нормативы!$H$105,"КМС",IF(L107&lt;=Нормативы!$L$106,"КМС",IF(L107&lt;=Нормативы!$L$107,"I",IF(L107&lt;=Нормативы!$L$108,"II",IF(L107&lt;=Нормативы!$L$109,"III",IF(L107&lt;=Нормативы!$L$110,"I юн",IF(L107&lt;=Нормативы!$L$111,"II юн",IF(L107&lt;=Нормативы!$L$112,"III юн","б/р")))))))))))</f>
        <v>I</v>
      </c>
      <c r="Q107" s="59" t="str">
        <f t="shared" ref="Q107" si="84">IF(ISBLANK(P107)," ",IF(ISTEXT(P107)," ",IF(P107&lt;=$H$104,"МСМК",IF(P107&lt;=$H$105,"МС",IF(P107&lt;=$H$106,"КМС",IF(P107&lt;=$H$107,"I",IF(P107&lt;=$H$108,"II",IF(P107&lt;=$H$109,"III",IF(P107&lt;=$H$110,"I юн",IF(P107&lt;=$H$111,"II юн",IF(P107&lt;=$H$112,"III юн","б/р")))))))))))</f>
        <v xml:space="preserve"> </v>
      </c>
    </row>
    <row r="108" spans="3:33" x14ac:dyDescent="0.3">
      <c r="C108" s="86"/>
      <c r="D108" s="36"/>
      <c r="E108" s="36"/>
      <c r="F108" s="86"/>
      <c r="G108" s="86"/>
      <c r="H108" s="74">
        <v>146.19999999999999</v>
      </c>
      <c r="I108" s="59" t="str">
        <f>IF(ISBLANK(H108)," ",IF(ISTEXT(H108)," ",IF(H108&lt;=Нормативы!$H$104,"МСМК",IF(H108&lt;=Нормативы!$H$105,"МС",IF(H108&lt;=Нормативы!$H$106,"КМС",IF(H108&lt;=Нормативы!$H$107,"I",IF(H108&lt;=Нормативы!$H$108,"II",IF(H108&lt;=Нормативы!$H$109,"III",IF(H108&lt;=Нормативы!$H$110,"I юн",IF(H108&lt;=Нормативы!$H$111,"II юн",IF(H108&lt;=Нормативы!$H$112,"III юн","б/р")))))))))))</f>
        <v>II</v>
      </c>
      <c r="J108" s="59" t="str">
        <f>IF(ISBLANK(H108)," ",IF(ISTEXT(H108)," ",IF(H108&lt;=Нормативы!$H$104,"МСМК",IF(H108&lt;=Нормативы!$H$105,"МС",IF(H108&lt;=Нормативы!$H$106,"КМС",IF(H108&lt;=Нормативы!$H$107,"I",IF(H108&lt;=Нормативы!$H$108,"II",IF(H108&lt;=Нормативы!$H$109,"III",IF(H108&lt;=Нормативы!$H$110,"I юн",IF(H108&lt;=Нормативы!$H$111,"II юн",IF(H108&lt;=Нормативы!$H$112,"III юн","б/р")))))))))))</f>
        <v>II</v>
      </c>
      <c r="K108" s="75"/>
      <c r="L108" s="74">
        <f t="shared" si="82"/>
        <v>146</v>
      </c>
      <c r="M108" s="59" t="str">
        <f>IF(ISBLANK(L108)," ",IF(ISTEXT(L108)," ",IF(L108&lt;=Нормативы!$H$104,"КМС",IF(L108&lt;=Нормативы!$H$105,"КМС",IF(L108&lt;=Нормативы!$L$106,"КМС",IF(L108&lt;=Нормативы!$L$107,"I",IF(L108&lt;=Нормативы!$L$108,"II",IF(L108&lt;=Нормативы!$L$109,"III",IF(L108&lt;=Нормативы!$L$110,"I юн",IF(L108&lt;=Нормативы!$L$111,"II юн",IF(L108&lt;=Нормативы!$L$112,"III юн","б/р")))))))))))</f>
        <v>II</v>
      </c>
      <c r="N108" s="59" t="str">
        <f>IF(ISBLANK(L108)," ",IF(ISTEXT(L108)," ",IF(L108&lt;=Нормативы!$H$104,"КМС",IF(L108&lt;=Нормативы!$H$105,"КМС",IF(L108&lt;=Нормативы!$L$106,"КМС",IF(L108&lt;=Нормативы!$L$107,"I",IF(L108&lt;=Нормативы!$L$108,"II",IF(L108&lt;=Нормативы!$L$109,"III",IF(L108&lt;=Нормативы!$L$110,"I юн",IF(L108&lt;=Нормативы!$L$111,"II юн",IF(L108&lt;=Нормативы!$L$112,"III юн","б/р")))))))))))</f>
        <v>II</v>
      </c>
      <c r="Q108" s="59" t="str">
        <f t="shared" ref="Q108" si="85">IF(ISBLANK(P108)," ",IF(ISTEXT(P108)," ",IF(P108&lt;=$H$104,"МСМК",IF(P108&lt;=$H$105,"МС",IF(P108&lt;=$H$106,"КМС",IF(P108&lt;=$H$107,"I",IF(P108&lt;=$H$108,"II",IF(P108&lt;=$H$109,"III",IF(P108&lt;=$H$110,"I юн",IF(P108&lt;=$H$111,"II юн",IF(P108&lt;=$H$112,"III юн","б/р")))))))))))</f>
        <v xml:space="preserve"> </v>
      </c>
    </row>
    <row r="109" spans="3:33" x14ac:dyDescent="0.3">
      <c r="C109" s="86"/>
      <c r="D109" s="36"/>
      <c r="E109" s="36"/>
      <c r="F109" s="86"/>
      <c r="G109" s="86"/>
      <c r="H109" s="74">
        <v>154.79999999999998</v>
      </c>
      <c r="I109" s="59" t="str">
        <f>IF(ISBLANK(H109)," ",IF(ISTEXT(H109)," ",IF(H109&lt;=Нормативы!$H$104,"МСМК",IF(H109&lt;=Нормативы!$H$105,"МС",IF(H109&lt;=Нормативы!$H$106,"КМС",IF(H109&lt;=Нормативы!$H$107,"I",IF(H109&lt;=Нормативы!$H$108,"II",IF(H109&lt;=Нормативы!$H$109,"III",IF(H109&lt;=Нормативы!$H$110,"I юн",IF(H109&lt;=Нормативы!$H$111,"II юн",IF(H109&lt;=Нормативы!$H$112,"III юн","б/р")))))))))))</f>
        <v>III</v>
      </c>
      <c r="J109" s="59" t="str">
        <f>IF(ISBLANK(H109)," ",IF(ISTEXT(H109)," ",IF(H109&lt;=Нормативы!$H$104,"МСМК",IF(H109&lt;=Нормативы!$H$105,"МС",IF(H109&lt;=Нормативы!$H$106,"КМС",IF(H109&lt;=Нормативы!$H$107,"I",IF(H109&lt;=Нормативы!$H$108,"II",IF(H109&lt;=Нормативы!$H$109,"III",IF(H109&lt;=Нормативы!$H$110,"I юн",IF(H109&lt;=Нормативы!$H$111,"II юн",IF(H109&lt;=Нормативы!$H$112,"III юн","б/р")))))))))))</f>
        <v>III</v>
      </c>
      <c r="K109" s="75"/>
      <c r="L109" s="74">
        <f t="shared" si="82"/>
        <v>154.6</v>
      </c>
      <c r="M109" s="59" t="str">
        <f>IF(ISBLANK(L109)," ",IF(ISTEXT(L109)," ",IF(L109&lt;=Нормативы!$H$104,"КМС",IF(L109&lt;=Нормативы!$H$105,"КМС",IF(L109&lt;=Нормативы!$L$106,"КМС",IF(L109&lt;=Нормативы!$L$107,"I",IF(L109&lt;=Нормативы!$L$108,"II",IF(L109&lt;=Нормативы!$L$109,"III",IF(L109&lt;=Нормативы!$L$110,"I юн",IF(L109&lt;=Нормативы!$L$111,"II юн",IF(L109&lt;=Нормативы!$L$112,"III юн","б/р")))))))))))</f>
        <v>III</v>
      </c>
      <c r="N109" s="59" t="str">
        <f>IF(ISBLANK(L109)," ",IF(ISTEXT(L109)," ",IF(L109&lt;=Нормативы!$H$104,"КМС",IF(L109&lt;=Нормативы!$H$105,"КМС",IF(L109&lt;=Нормативы!$L$106,"КМС",IF(L109&lt;=Нормативы!$L$107,"I",IF(L109&lt;=Нормативы!$L$108,"II",IF(L109&lt;=Нормативы!$L$109,"III",IF(L109&lt;=Нормативы!$L$110,"I юн",IF(L109&lt;=Нормативы!$L$111,"II юн",IF(L109&lt;=Нормативы!$L$112,"III юн","б/р")))))))))))</f>
        <v>III</v>
      </c>
      <c r="Q109" s="59" t="str">
        <f t="shared" ref="Q109" si="86">IF(ISBLANK(P109)," ",IF(ISTEXT(P109)," ",IF(P109&lt;=$H$104,"МСМК",IF(P109&lt;=$H$105,"МС",IF(P109&lt;=$H$106,"КМС",IF(P109&lt;=$H$107,"I",IF(P109&lt;=$H$108,"II",IF(P109&lt;=$H$109,"III",IF(P109&lt;=$H$110,"I юн",IF(P109&lt;=$H$111,"II юн",IF(P109&lt;=$H$112,"III юн","б/р")))))))))))</f>
        <v xml:space="preserve"> </v>
      </c>
    </row>
    <row r="110" spans="3:33" x14ac:dyDescent="0.3">
      <c r="C110" s="86"/>
      <c r="D110" s="36"/>
      <c r="E110" s="36"/>
      <c r="F110" s="86"/>
      <c r="G110" s="86"/>
      <c r="H110" s="74">
        <v>206.7</v>
      </c>
      <c r="I110" s="59" t="str">
        <f>IF(ISBLANK(H110)," ",IF(ISTEXT(H110)," ",IF(H110&lt;=Нормативы!$H$104,"МСМК",IF(H110&lt;=Нормативы!$H$105,"МС",IF(H110&lt;=Нормативы!$H$106,"КМС",IF(H110&lt;=Нормативы!$H$107,"I",IF(H110&lt;=Нормативы!$H$108,"II",IF(H110&lt;=Нормативы!$H$109,"III",IF(H110&lt;=Нормативы!$H$110,"I юн",IF(H110&lt;=Нормативы!$H$111,"II юн",IF(H110&lt;=Нормативы!$H$112,"III юн","б/р")))))))))))</f>
        <v>I юн</v>
      </c>
      <c r="J110" s="59" t="str">
        <f>IF(ISBLANK(H110)," ",IF(ISTEXT(H110)," ",IF(H110&lt;=Нормативы!$H$104,"МСМК",IF(H110&lt;=Нормативы!$H$105,"МС",IF(H110&lt;=Нормативы!$H$106,"КМС",IF(H110&lt;=Нормативы!$H$107,"I",IF(H110&lt;=Нормативы!$H$108,"II",IF(H110&lt;=Нормативы!$H$109,"III",IF(H110&lt;=Нормативы!$H$110,"I юн",IF(H110&lt;=Нормативы!$H$111,"II юн",IF(H110&lt;=Нормативы!$H$112,"III юн","б/р")))))))))))</f>
        <v>I юн</v>
      </c>
      <c r="K110" s="75"/>
      <c r="L110" s="74">
        <f t="shared" si="82"/>
        <v>206.5</v>
      </c>
      <c r="M110" s="59" t="str">
        <f>IF(ISBLANK(L110)," ",IF(ISTEXT(L110)," ",IF(L110&lt;=Нормативы!$H$104,"КМС",IF(L110&lt;=Нормативы!$H$105,"КМС",IF(L110&lt;=Нормативы!$L$106,"КМС",IF(L110&lt;=Нормативы!$L$107,"I",IF(L110&lt;=Нормативы!$L$108,"II",IF(L110&lt;=Нормативы!$L$109,"III",IF(L110&lt;=Нормативы!$L$110,"I юн",IF(L110&lt;=Нормативы!$L$111,"II юн",IF(L110&lt;=Нормативы!$L$112,"III юн","б/р")))))))))))</f>
        <v>I юн</v>
      </c>
      <c r="N110" s="59" t="str">
        <f>IF(ISBLANK(L110)," ",IF(ISTEXT(L110)," ",IF(L110&lt;=Нормативы!$H$104,"КМС",IF(L110&lt;=Нормативы!$H$105,"КМС",IF(L110&lt;=Нормативы!$L$106,"КМС",IF(L110&lt;=Нормативы!$L$107,"I",IF(L110&lt;=Нормативы!$L$108,"II",IF(L110&lt;=Нормативы!$L$109,"III",IF(L110&lt;=Нормативы!$L$110,"I юн",IF(L110&lt;=Нормативы!$L$111,"II юн",IF(L110&lt;=Нормативы!$L$112,"III юн","б/р")))))))))))</f>
        <v>I юн</v>
      </c>
      <c r="Q110" s="59" t="str">
        <f t="shared" ref="Q110" si="87">IF(ISBLANK(P110)," ",IF(ISTEXT(P110)," ",IF(P110&lt;=$H$104,"МСМК",IF(P110&lt;=$H$105,"МС",IF(P110&lt;=$H$106,"КМС",IF(P110&lt;=$H$107,"I",IF(P110&lt;=$H$108,"II",IF(P110&lt;=$H$109,"III",IF(P110&lt;=$H$110,"I юн",IF(P110&lt;=$H$111,"II юн",IF(P110&lt;=$H$112,"III юн","б/р")))))))))))</f>
        <v xml:space="preserve"> </v>
      </c>
    </row>
    <row r="111" spans="3:33" x14ac:dyDescent="0.3">
      <c r="C111" s="86"/>
      <c r="D111" s="36"/>
      <c r="E111" s="36"/>
      <c r="F111" s="86"/>
      <c r="G111" s="86"/>
      <c r="H111" s="74">
        <v>218.5</v>
      </c>
      <c r="I111" s="59" t="str">
        <f>IF(ISBLANK(H111)," ",IF(ISTEXT(H111)," ",IF(H111&lt;=Нормативы!$H$104,"МСМК",IF(H111&lt;=Нормативы!$H$105,"МС",IF(H111&lt;=Нормативы!$H$106,"КМС",IF(H111&lt;=Нормативы!$H$107,"I",IF(H111&lt;=Нормативы!$H$108,"II",IF(H111&lt;=Нормативы!$H$109,"III",IF(H111&lt;=Нормативы!$H$110,"I юн",IF(H111&lt;=Нормативы!$H$111,"II юн",IF(H111&lt;=Нормативы!$H$112,"III юн","б/р")))))))))))</f>
        <v>II юн</v>
      </c>
      <c r="J111" s="59" t="str">
        <f>IF(ISBLANK(H111)," ",IF(ISTEXT(H111)," ",IF(H111&lt;=Нормативы!$H$104,"МСМК",IF(H111&lt;=Нормативы!$H$105,"МС",IF(H111&lt;=Нормативы!$H$106,"КМС",IF(H111&lt;=Нормативы!$H$107,"I",IF(H111&lt;=Нормативы!$H$108,"II",IF(H111&lt;=Нормативы!$H$109,"III",IF(H111&lt;=Нормативы!$H$110,"I юн",IF(H111&lt;=Нормативы!$H$111,"II юн",IF(H111&lt;=Нормативы!$H$112,"III юн","б/р")))))))))))</f>
        <v>II юн</v>
      </c>
      <c r="K111" s="75"/>
      <c r="L111" s="74">
        <f t="shared" si="82"/>
        <v>218.3</v>
      </c>
      <c r="M111" s="59" t="str">
        <f>IF(ISBLANK(L111)," ",IF(ISTEXT(L111)," ",IF(L111&lt;=Нормативы!$H$104,"КМС",IF(L111&lt;=Нормативы!$H$105,"КМС",IF(L111&lt;=Нормативы!$L$106,"КМС",IF(L111&lt;=Нормативы!$L$107,"I",IF(L111&lt;=Нормативы!$L$108,"II",IF(L111&lt;=Нормативы!$L$109,"III",IF(L111&lt;=Нормативы!$L$110,"I юн",IF(L111&lt;=Нормативы!$L$111,"II юн",IF(L111&lt;=Нормативы!$L$112,"III юн","б/р")))))))))))</f>
        <v>II юн</v>
      </c>
      <c r="N111" s="59" t="str">
        <f>IF(ISBLANK(L111)," ",IF(ISTEXT(L111)," ",IF(L111&lt;=Нормативы!$H$104,"КМС",IF(L111&lt;=Нормативы!$H$105,"КМС",IF(L111&lt;=Нормативы!$L$106,"КМС",IF(L111&lt;=Нормативы!$L$107,"I",IF(L111&lt;=Нормативы!$L$108,"II",IF(L111&lt;=Нормативы!$L$109,"III",IF(L111&lt;=Нормативы!$L$110,"I юн",IF(L111&lt;=Нормативы!$L$111,"II юн",IF(L111&lt;=Нормативы!$L$112,"III юн","б/р")))))))))))</f>
        <v>II юн</v>
      </c>
      <c r="Q111" s="59" t="str">
        <f t="shared" ref="Q111" si="88">IF(ISBLANK(P111)," ",IF(ISTEXT(P111)," ",IF(P111&lt;=$H$104,"МСМК",IF(P111&lt;=$H$105,"МС",IF(P111&lt;=$H$106,"КМС",IF(P111&lt;=$H$107,"I",IF(P111&lt;=$H$108,"II",IF(P111&lt;=$H$109,"III",IF(P111&lt;=$H$110,"I юн",IF(P111&lt;=$H$111,"II юн",IF(P111&lt;=$H$112,"III юн","б/р")))))))))))</f>
        <v xml:space="preserve"> </v>
      </c>
    </row>
    <row r="112" spans="3:33" x14ac:dyDescent="0.3">
      <c r="C112" s="86"/>
      <c r="D112" s="36"/>
      <c r="E112" s="36"/>
      <c r="F112" s="86"/>
      <c r="G112" s="86"/>
      <c r="H112" s="74">
        <v>229.2</v>
      </c>
      <c r="I112" s="59" t="str">
        <f>IF(ISBLANK(H112)," ",IF(ISTEXT(H112)," ",IF(H112&lt;=Нормативы!$H$104,"МСМК",IF(H112&lt;=Нормативы!$H$105,"МС",IF(H112&lt;=Нормативы!$H$106,"КМС",IF(H112&lt;=Нормативы!$H$107,"I",IF(H112&lt;=Нормативы!$H$108,"II",IF(H112&lt;=Нормативы!$H$109,"III",IF(H112&lt;=Нормативы!$H$110,"I юн",IF(H112&lt;=Нормативы!$H$111,"II юн",IF(H112&lt;=Нормативы!$H$112,"III юн","б/р")))))))))))</f>
        <v>III юн</v>
      </c>
      <c r="J112" s="59" t="str">
        <f>IF(ISBLANK(H112)," ",IF(ISTEXT(H112)," ",IF(H112&lt;=Нормативы!$H$104,"МСМК",IF(H112&lt;=Нормативы!$H$105,"МС",IF(H112&lt;=Нормативы!$H$106,"КМС",IF(H112&lt;=Нормативы!$H$107,"I",IF(H112&lt;=Нормативы!$H$108,"II",IF(H112&lt;=Нормативы!$H$109,"III",IF(H112&lt;=Нормативы!$H$110,"I юн",IF(H112&lt;=Нормативы!$H$111,"II юн",IF(H112&lt;=Нормативы!$H$112,"III юн","б/р")))))))))))</f>
        <v>III юн</v>
      </c>
      <c r="K112" s="75"/>
      <c r="L112" s="74">
        <f t="shared" si="82"/>
        <v>229</v>
      </c>
      <c r="M112" s="59" t="str">
        <f>IF(ISBLANK(L112)," ",IF(ISTEXT(L112)," ",IF(L112&lt;=Нормативы!$H$104,"КМС",IF(L112&lt;=Нормативы!$H$105,"КМС",IF(L112&lt;=Нормативы!$L$106,"КМС",IF(L112&lt;=Нормативы!$L$107,"I",IF(L112&lt;=Нормативы!$L$108,"II",IF(L112&lt;=Нормативы!$L$109,"III",IF(L112&lt;=Нормативы!$L$110,"I юн",IF(L112&lt;=Нормативы!$L$111,"II юн",IF(L112&lt;=Нормативы!$L$112,"III юн","б/р")))))))))))</f>
        <v>III юн</v>
      </c>
      <c r="N112" s="59" t="str">
        <f>IF(ISBLANK(L112)," ",IF(ISTEXT(L112)," ",IF(L112&lt;=Нормативы!$H$104,"КМС",IF(L112&lt;=Нормативы!$H$105,"КМС",IF(L112&lt;=Нормативы!$L$106,"КМС",IF(L112&lt;=Нормативы!$L$107,"I",IF(L112&lt;=Нормативы!$L$108,"II",IF(L112&lt;=Нормативы!$L$109,"III",IF(L112&lt;=Нормативы!$L$110,"I юн",IF(L112&lt;=Нормативы!$L$111,"II юн",IF(L112&lt;=Нормативы!$L$112,"III юн","б/р")))))))))))</f>
        <v>III юн</v>
      </c>
      <c r="Q112" s="59" t="str">
        <f t="shared" ref="Q112" si="89">IF(ISBLANK(P112)," ",IF(ISTEXT(P112)," ",IF(P112&lt;=$H$104,"МСМК",IF(P112&lt;=$H$105,"МС",IF(P112&lt;=$H$106,"КМС",IF(P112&lt;=$H$107,"I",IF(P112&lt;=$H$108,"II",IF(P112&lt;=$H$109,"III",IF(P112&lt;=$H$110,"I юн",IF(P112&lt;=$H$111,"II юн",IF(P112&lt;=$H$112,"III юн","б/р")))))))))))</f>
        <v xml:space="preserve"> </v>
      </c>
    </row>
    <row r="113" spans="3:33" x14ac:dyDescent="0.3">
      <c r="C113" s="86"/>
      <c r="D113" s="36"/>
      <c r="E113" s="36"/>
      <c r="F113" s="86"/>
      <c r="G113" s="86"/>
      <c r="H113" s="74"/>
      <c r="I113" s="59"/>
      <c r="J113" s="59"/>
      <c r="K113" s="75"/>
      <c r="L113" s="74"/>
      <c r="M113" s="59"/>
      <c r="N113" s="59"/>
      <c r="Q113" s="59"/>
    </row>
    <row r="114" spans="3:33" x14ac:dyDescent="0.3">
      <c r="C114" s="68" t="s">
        <v>64</v>
      </c>
      <c r="D114" s="43"/>
      <c r="E114" s="43"/>
      <c r="F114" s="43"/>
      <c r="G114" s="43"/>
      <c r="H114" s="42"/>
      <c r="I114" s="43"/>
      <c r="J114" s="43"/>
      <c r="K114" s="84"/>
      <c r="L114" s="43"/>
      <c r="M114" s="43"/>
      <c r="N114" s="43"/>
      <c r="Q114" s="43"/>
    </row>
    <row r="115" spans="3:33" x14ac:dyDescent="0.3">
      <c r="C115" s="43"/>
      <c r="D115" s="43"/>
      <c r="E115" s="43"/>
      <c r="F115" s="43"/>
      <c r="G115" s="43"/>
      <c r="H115" s="71">
        <v>147</v>
      </c>
      <c r="I115" s="59" t="str">
        <f>IF(ISBLANK(H115)," ",IF(ISTEXT(H115)," ",IF(H115&lt;=Нормативы!$H$115,"МСМК",IF(H115&lt;=Нормативы!$H$116,"МС",IF(H115&lt;=Нормативы!$H$117,"КМС",IF(H115&lt;=Нормативы!$H$118,"I",IF(H115&lt;=Нормативы!$H$119,"II",IF(H115&lt;=Нормативы!$H$120,"III",IF(H115&lt;=Нормативы!$H$121,"I юн",IF(H115&lt;=Нормативы!$H$122,"II юн",IF(H115&lt;=Нормативы!$H$123,"III юн","б/р")))))))))))</f>
        <v>МСМК</v>
      </c>
      <c r="J115" s="59" t="str">
        <f>IF(ISBLANK(H115)," ",IF(ISTEXT(H115)," ",IF(H115&lt;=Нормативы!$H$115,"МСМК",IF(H115&lt;=Нормативы!$H$116,"МС",IF(H115&lt;=Нормативы!$H$117,"КМС",IF(H115&lt;=Нормативы!$H$118,"I",IF(H115&lt;=Нормативы!$H$119,"II",IF(H115&lt;=Нормативы!$H$120,"III",IF(H115&lt;=Нормативы!$H$121,"I юн",IF(H115&lt;=Нормативы!$H$122,"II юн",IF(H115&lt;=Нормативы!$H$123,"III юн","б/р")))))))))))</f>
        <v>МСМК</v>
      </c>
      <c r="K115" s="75"/>
      <c r="L115" s="71"/>
      <c r="M115" s="59" t="str">
        <f>IF(ISBLANK(L115)," ",IF(ISTEXT(L115)," ",IF(L115&lt;=Нормативы!$H$115,"КМС",IF(L115&lt;=Нормативы!$H$116,"КМС",IF(L115&lt;=Нормативы!$L$117,"КМС",IF(L115&lt;=Нормативы!$L$118,"I",IF(L115&lt;=Нормативы!$L$119,"II",IF(L115&lt;=Нормативы!$L$120,"III",IF(L115&lt;=Нормативы!$L$121,"I юн",IF(L115&lt;=Нормативы!$L$122,"II юн",IF(L115&lt;=Нормативы!$L$123,"III юн","б/р")))))))))))</f>
        <v xml:space="preserve"> </v>
      </c>
      <c r="N115" s="59" t="str">
        <f>IF(ISBLANK(L115)," ",IF(ISTEXT(L115)," ",IF(L115&lt;=147.5,"МСМК",IF(L115&lt;=152.6,"МС",IF(L115&lt;=157.6,"КМС",IF(L115&lt;=207.3,"I",IF(L115&lt;=216.3,"II",IF(L115&lt;=228,"III",IF(L115&lt;=244,"I юн",IF(L115&lt;=258.5,"II юн",IF(L115&lt;=312,"III юн","б/р")))))))))))</f>
        <v xml:space="preserve"> </v>
      </c>
      <c r="O115" s="59"/>
      <c r="Q115" s="59" t="str">
        <f>IF(ISBLANK(P115)," ",IF(ISTEXT(P115)," ",IF(P115&lt;=$H$115,"МСМК",IF(P115&lt;=$H$116,"МС",IF(P115&lt;=$H$117,"КМС",IF(P115&lt;=$H$118,"I",IF(P115&lt;=$H$119,"II",IF(P115&lt;=$H$120,"III",IF(P115&lt;=$H$121,"I юн",IF(P115&lt;=$H$122,"II юн",IF(P115&lt;=$H$123,"III юн","б/р")))))))))))</f>
        <v xml:space="preserve"> </v>
      </c>
    </row>
    <row r="116" spans="3:33" x14ac:dyDescent="0.3">
      <c r="C116" s="43"/>
      <c r="D116" s="43"/>
      <c r="E116" s="43"/>
      <c r="F116" s="43"/>
      <c r="G116" s="43"/>
      <c r="H116" s="71">
        <v>151</v>
      </c>
      <c r="I116" s="59" t="str">
        <f>IF(ISBLANK(H116)," ",IF(ISTEXT(H116)," ",IF(H116&lt;=Нормативы!$H$115,"МСМК",IF(H116&lt;=Нормативы!$H$116,"МС",IF(H116&lt;=Нормативы!$H$117,"КМС",IF(H116&lt;=Нормативы!$H$118,"I",IF(H116&lt;=Нормативы!$H$119,"II",IF(H116&lt;=Нормативы!$H$120,"III",IF(H116&lt;=Нормативы!$H$121,"I юн",IF(H116&lt;=Нормативы!$H$122,"II юн",IF(H116&lt;=Нормативы!$H$123,"III юн","б/р")))))))))))</f>
        <v>МС</v>
      </c>
      <c r="J116" s="59" t="str">
        <f>IF(ISBLANK(H116)," ",IF(ISTEXT(H116)," ",IF(H116&lt;=Нормативы!$H$115,"МСМК",IF(H116&lt;=Нормативы!$H$116,"МС",IF(H116&lt;=Нормативы!$H$117,"КМС",IF(H116&lt;=Нормативы!$H$118,"I",IF(H116&lt;=Нормативы!$H$119,"II",IF(H116&lt;=Нормативы!$H$120,"III",IF(H116&lt;=Нормативы!$H$121,"I юн",IF(H116&lt;=Нормативы!$H$122,"II юн",IF(H116&lt;=Нормативы!$H$123,"III юн","б/р")))))))))))</f>
        <v>МС</v>
      </c>
      <c r="K116" s="75"/>
      <c r="L116" s="71"/>
      <c r="M116" s="59" t="str">
        <f>IF(ISBLANK(L116)," ",IF(ISTEXT(L116)," ",IF(L116&lt;=Нормативы!$H$115,"КМС",IF(L116&lt;=Нормативы!$H$116,"КМС",IF(L116&lt;=Нормативы!$L$117,"КМС",IF(L116&lt;=Нормативы!$L$118,"I",IF(L116&lt;=Нормативы!$L$119,"II",IF(L116&lt;=Нормативы!$L$120,"III",IF(L116&lt;=Нормативы!$L$121,"I юн",IF(L116&lt;=Нормативы!$L$122,"II юн",IF(L116&lt;=Нормативы!$L$123,"III юн","б/р")))))))))))</f>
        <v xml:space="preserve"> </v>
      </c>
      <c r="N116" s="59" t="str">
        <f>IF(ISBLANK(L116)," ",IF(ISTEXT(L116)," ",IF(L116&lt;=147.5,"МСМК",IF(L116&lt;=152.6,"МС",IF(L116&lt;=157.6,"КМС",IF(L116&lt;=207.3,"I",IF(L116&lt;=216.3,"II",IF(L116&lt;=228,"III",IF(L116&lt;=244,"I юн",IF(L116&lt;=258.5,"II юн",IF(L116&lt;=312,"III юн","б/р")))))))))))</f>
        <v xml:space="preserve"> </v>
      </c>
      <c r="O116" s="59"/>
      <c r="Q116" s="59" t="str">
        <f t="shared" ref="Q116" si="90">IF(ISBLANK(P116)," ",IF(ISTEXT(P116)," ",IF(P116&lt;=$H$115,"МСМК",IF(P116&lt;=$H$116,"МС",IF(P116&lt;=$H$117,"КМС",IF(P116&lt;=$H$118,"I",IF(P116&lt;=$H$119,"II",IF(P116&lt;=$H$120,"III",IF(P116&lt;=$H$121,"I юн",IF(P116&lt;=$H$122,"II юн",IF(P116&lt;=$H$123,"III юн","б/р")))))))))))</f>
        <v xml:space="preserve"> </v>
      </c>
    </row>
    <row r="117" spans="3:33" x14ac:dyDescent="0.3">
      <c r="C117" s="43"/>
      <c r="D117" s="43"/>
      <c r="E117" s="43"/>
      <c r="F117" s="43"/>
      <c r="G117" s="43"/>
      <c r="H117" s="71">
        <v>157.19999999999999</v>
      </c>
      <c r="I117" s="59" t="str">
        <f>IF(ISBLANK(H117)," ",IF(ISTEXT(H117)," ",IF(H117&lt;=Нормативы!$H$115,"МСМК",IF(H117&lt;=Нормативы!$H$116,"МС",IF(H117&lt;=Нормативы!$H$117,"КМС",IF(H117&lt;=Нормативы!$H$118,"I",IF(H117&lt;=Нормативы!$H$119,"II",IF(H117&lt;=Нормативы!$H$120,"III",IF(H117&lt;=Нормативы!$H$121,"I юн",IF(H117&lt;=Нормативы!$H$122,"II юн",IF(H117&lt;=Нормативы!$H$123,"III юн","б/р")))))))))))</f>
        <v>КМС</v>
      </c>
      <c r="J117" s="59" t="str">
        <f>IF(ISBLANK(H117)," ",IF(ISTEXT(H117)," ",IF(H117&lt;=Нормативы!$H$115,"МСМК",IF(H117&lt;=Нормативы!$H$116,"МС",IF(H117&lt;=Нормативы!$H$117,"КМС",IF(H117&lt;=Нормативы!$H$118,"I",IF(H117&lt;=Нормативы!$H$119,"II",IF(H117&lt;=Нормативы!$H$120,"III",IF(H117&lt;=Нормативы!$H$121,"I юн",IF(H117&lt;=Нормативы!$H$122,"II юн",IF(H117&lt;=Нормативы!$H$123,"III юн","б/р")))))))))))</f>
        <v>КМС</v>
      </c>
      <c r="K117" s="75"/>
      <c r="L117" s="74">
        <f t="shared" ref="L117:L123" si="91">H117-0.2</f>
        <v>157</v>
      </c>
      <c r="M117" s="59" t="str">
        <f>IF(ISBLANK(L117)," ",IF(ISTEXT(L117)," ",IF(L117&lt;=Нормативы!$H$115,"КМС",IF(L117&lt;=Нормативы!$H$116,"КМС",IF(L117&lt;=Нормативы!$L$117,"КМС",IF(L117&lt;=Нормативы!$L$118,"I",IF(L117&lt;=Нормативы!$L$119,"II",IF(L117&lt;=Нормативы!$L$120,"III",IF(L117&lt;=Нормативы!$L$121,"I юн",IF(L117&lt;=Нормативы!$L$122,"II юн",IF(L117&lt;=Нормативы!$L$123,"III юн","б/р")))))))))))</f>
        <v>КМС</v>
      </c>
      <c r="N117" s="59" t="str">
        <f>IF(ISBLANK(L117)," ",IF(ISTEXT(L117)," ",IF(L117&lt;=Нормативы!$H$115,"КМС",IF(L117&lt;=Нормативы!$H$116,"КМС",IF(L117&lt;=Нормативы!$L$117,"КМС",IF(L117&lt;=Нормативы!$L$118,"I",IF(L117&lt;=Нормативы!$L$119,"II",IF(L117&lt;=Нормативы!$L$120,"III",IF(L117&lt;=Нормативы!$L$121,"I юн",IF(L117&lt;=Нормативы!$L$122,"II юн",IF(L117&lt;=Нормативы!$L$123,"III юн","б/р")))))))))))</f>
        <v>КМС</v>
      </c>
      <c r="O117" s="59"/>
      <c r="Q117" s="59" t="str">
        <f t="shared" ref="Q117" si="92">IF(ISBLANK(P117)," ",IF(ISTEXT(P117)," ",IF(P117&lt;=$H$115,"МСМК",IF(P117&lt;=$H$116,"МС",IF(P117&lt;=$H$117,"КМС",IF(P117&lt;=$H$118,"I",IF(P117&lt;=$H$119,"II",IF(P117&lt;=$H$120,"III",IF(P117&lt;=$H$121,"I юн",IF(P117&lt;=$H$122,"II юн",IF(P117&lt;=$H$123,"III юн","б/р")))))))))))</f>
        <v xml:space="preserve"> </v>
      </c>
    </row>
    <row r="118" spans="3:33" x14ac:dyDescent="0.3">
      <c r="C118" s="43"/>
      <c r="D118" s="43"/>
      <c r="E118" s="43"/>
      <c r="F118" s="43"/>
      <c r="G118" s="43"/>
      <c r="H118" s="71">
        <v>206.7</v>
      </c>
      <c r="I118" s="59" t="str">
        <f>IF(ISBLANK(H118)," ",IF(ISTEXT(H118)," ",IF(H118&lt;=Нормативы!$H$115,"МСМК",IF(H118&lt;=Нормативы!$H$116,"МС",IF(H118&lt;=Нормативы!$H$117,"КМС",IF(H118&lt;=Нормативы!$H$118,"I",IF(H118&lt;=Нормативы!$H$119,"II",IF(H118&lt;=Нормативы!$H$120,"III",IF(H118&lt;=Нормативы!$H$121,"I юн",IF(H118&lt;=Нормативы!$H$122,"II юн",IF(H118&lt;=Нормативы!$H$123,"III юн","б/р")))))))))))</f>
        <v>I</v>
      </c>
      <c r="J118" s="59" t="str">
        <f>IF(ISBLANK(H118)," ",IF(ISTEXT(H118)," ",IF(H118&lt;=Нормативы!$H$115,"МСМК",IF(H118&lt;=Нормативы!$H$116,"МС",IF(H118&lt;=Нормативы!$H$117,"КМС",IF(H118&lt;=Нормативы!$H$118,"I",IF(H118&lt;=Нормативы!$H$119,"II",IF(H118&lt;=Нормативы!$H$120,"III",IF(H118&lt;=Нормативы!$H$121,"I юн",IF(H118&lt;=Нормативы!$H$122,"II юн",IF(H118&lt;=Нормативы!$H$123,"III юн","б/р")))))))))))</f>
        <v>I</v>
      </c>
      <c r="K118" s="75"/>
      <c r="L118" s="74">
        <f t="shared" si="91"/>
        <v>206.5</v>
      </c>
      <c r="M118" s="59" t="str">
        <f>IF(ISBLANK(L118)," ",IF(ISTEXT(L118)," ",IF(L118&lt;=Нормативы!$H$115,"КМС",IF(L118&lt;=Нормативы!$H$116,"КМС",IF(L118&lt;=Нормативы!$L$117,"КМС",IF(L118&lt;=Нормативы!$L$118,"I",IF(L118&lt;=Нормативы!$L$119,"II",IF(L118&lt;=Нормативы!$L$120,"III",IF(L118&lt;=Нормативы!$L$121,"I юн",IF(L118&lt;=Нормативы!$L$122,"II юн",IF(L118&lt;=Нормативы!$L$123,"III юн","б/р")))))))))))</f>
        <v>I</v>
      </c>
      <c r="N118" s="59" t="str">
        <f>IF(ISBLANK(L118)," ",IF(ISTEXT(L118)," ",IF(L118&lt;=Нормативы!$H$115,"КМС",IF(L118&lt;=Нормативы!$H$116,"КМС",IF(L118&lt;=Нормативы!$L$117,"КМС",IF(L118&lt;=Нормативы!$L$118,"I",IF(L118&lt;=Нормативы!$L$119,"II",IF(L118&lt;=Нормативы!$L$120,"III",IF(L118&lt;=Нормативы!$L$121,"I юн",IF(L118&lt;=Нормативы!$L$122,"II юн",IF(L118&lt;=Нормативы!$L$123,"III юн","б/р")))))))))))</f>
        <v>I</v>
      </c>
      <c r="O118" s="59"/>
      <c r="Q118" s="59" t="str">
        <f t="shared" ref="Q118" si="93">IF(ISBLANK(P118)," ",IF(ISTEXT(P118)," ",IF(P118&lt;=$H$115,"МСМК",IF(P118&lt;=$H$116,"МС",IF(P118&lt;=$H$117,"КМС",IF(P118&lt;=$H$118,"I",IF(P118&lt;=$H$119,"II",IF(P118&lt;=$H$120,"III",IF(P118&lt;=$H$121,"I юн",IF(P118&lt;=$H$122,"II юн",IF(P118&lt;=$H$123,"III юн","б/р")))))))))))</f>
        <v xml:space="preserve"> </v>
      </c>
    </row>
    <row r="119" spans="3:33" x14ac:dyDescent="0.3">
      <c r="C119" s="43"/>
      <c r="D119" s="43"/>
      <c r="E119" s="43"/>
      <c r="F119" s="43"/>
      <c r="G119" s="43"/>
      <c r="H119" s="71">
        <v>215.7</v>
      </c>
      <c r="I119" s="59" t="str">
        <f>IF(ISBLANK(H119)," ",IF(ISTEXT(H119)," ",IF(H119&lt;=Нормативы!$H$115,"МСМК",IF(H119&lt;=Нормативы!$H$116,"МС",IF(H119&lt;=Нормативы!$H$117,"КМС",IF(H119&lt;=Нормативы!$H$118,"I",IF(H119&lt;=Нормативы!$H$119,"II",IF(H119&lt;=Нормативы!$H$120,"III",IF(H119&lt;=Нормативы!$H$121,"I юн",IF(H119&lt;=Нормативы!$H$122,"II юн",IF(H119&lt;=Нормативы!$H$123,"III юн","б/р")))))))))))</f>
        <v>II</v>
      </c>
      <c r="J119" s="59" t="str">
        <f>IF(ISBLANK(H119)," ",IF(ISTEXT(H119)," ",IF(H119&lt;=Нормативы!$H$115,"МСМК",IF(H119&lt;=Нормативы!$H$116,"МС",IF(H119&lt;=Нормативы!$H$117,"КМС",IF(H119&lt;=Нормативы!$H$118,"I",IF(H119&lt;=Нормативы!$H$119,"II",IF(H119&lt;=Нормативы!$H$120,"III",IF(H119&lt;=Нормативы!$H$121,"I юн",IF(H119&lt;=Нормативы!$H$122,"II юн",IF(H119&lt;=Нормативы!$H$123,"III юн","б/р")))))))))))</f>
        <v>II</v>
      </c>
      <c r="K119" s="75"/>
      <c r="L119" s="74">
        <f t="shared" si="91"/>
        <v>215.5</v>
      </c>
      <c r="M119" s="59" t="str">
        <f>IF(ISBLANK(L119)," ",IF(ISTEXT(L119)," ",IF(L119&lt;=Нормативы!$H$115,"КМС",IF(L119&lt;=Нормативы!$H$116,"КМС",IF(L119&lt;=Нормативы!$L$117,"КМС",IF(L119&lt;=Нормативы!$L$118,"I",IF(L119&lt;=Нормативы!$L$119,"II",IF(L119&lt;=Нормативы!$L$120,"III",IF(L119&lt;=Нормативы!$L$121,"I юн",IF(L119&lt;=Нормативы!$L$122,"II юн",IF(L119&lt;=Нормативы!$L$123,"III юн","б/р")))))))))))</f>
        <v>II</v>
      </c>
      <c r="N119" s="59" t="str">
        <f>IF(ISBLANK(L119)," ",IF(ISTEXT(L119)," ",IF(L119&lt;=Нормативы!$H$115,"КМС",IF(L119&lt;=Нормативы!$H$116,"КМС",IF(L119&lt;=Нормативы!$L$117,"КМС",IF(L119&lt;=Нормативы!$L$118,"I",IF(L119&lt;=Нормативы!$L$119,"II",IF(L119&lt;=Нормативы!$L$120,"III",IF(L119&lt;=Нормативы!$L$121,"I юн",IF(L119&lt;=Нормативы!$L$122,"II юн",IF(L119&lt;=Нормативы!$L$123,"III юн","б/р")))))))))))</f>
        <v>II</v>
      </c>
      <c r="O119" s="59"/>
      <c r="Q119" s="59" t="str">
        <f t="shared" ref="Q119" si="94">IF(ISBLANK(P119)," ",IF(ISTEXT(P119)," ",IF(P119&lt;=$H$115,"МСМК",IF(P119&lt;=$H$116,"МС",IF(P119&lt;=$H$117,"КМС",IF(P119&lt;=$H$118,"I",IF(P119&lt;=$H$119,"II",IF(P119&lt;=$H$120,"III",IF(P119&lt;=$H$121,"I юн",IF(P119&lt;=$H$122,"II юн",IF(P119&lt;=$H$123,"III юн","б/р")))))))))))</f>
        <v xml:space="preserve"> </v>
      </c>
    </row>
    <row r="120" spans="3:33" x14ac:dyDescent="0.3">
      <c r="C120" s="43"/>
      <c r="D120" s="43"/>
      <c r="E120" s="43"/>
      <c r="F120" s="43"/>
      <c r="G120" s="43"/>
      <c r="H120" s="71">
        <v>227</v>
      </c>
      <c r="I120" s="59" t="str">
        <f>IF(ISBLANK(H120)," ",IF(ISTEXT(H120)," ",IF(H120&lt;=Нормативы!$H$115,"МСМК",IF(H120&lt;=Нормативы!$H$116,"МС",IF(H120&lt;=Нормативы!$H$117,"КМС",IF(H120&lt;=Нормативы!$H$118,"I",IF(H120&lt;=Нормативы!$H$119,"II",IF(H120&lt;=Нормативы!$H$120,"III",IF(H120&lt;=Нормативы!$H$121,"I юн",IF(H120&lt;=Нормативы!$H$122,"II юн",IF(H120&lt;=Нормативы!$H$123,"III юн","б/р")))))))))))</f>
        <v>III</v>
      </c>
      <c r="J120" s="59" t="str">
        <f>IF(ISBLANK(H120)," ",IF(ISTEXT(H120)," ",IF(H120&lt;=Нормативы!$H$115,"МСМК",IF(H120&lt;=Нормативы!$H$116,"МС",IF(H120&lt;=Нормативы!$H$117,"КМС",IF(H120&lt;=Нормативы!$H$118,"I",IF(H120&lt;=Нормативы!$H$119,"II",IF(H120&lt;=Нормативы!$H$120,"III",IF(H120&lt;=Нормативы!$H$121,"I юн",IF(H120&lt;=Нормативы!$H$122,"II юн",IF(H120&lt;=Нормативы!$H$123,"III юн","б/р")))))))))))</f>
        <v>III</v>
      </c>
      <c r="K120" s="75"/>
      <c r="L120" s="74">
        <f t="shared" si="91"/>
        <v>226.8</v>
      </c>
      <c r="M120" s="59" t="str">
        <f>IF(ISBLANK(L120)," ",IF(ISTEXT(L120)," ",IF(L120&lt;=Нормативы!$H$115,"КМС",IF(L120&lt;=Нормативы!$H$116,"КМС",IF(L120&lt;=Нормативы!$L$117,"КМС",IF(L120&lt;=Нормативы!$L$118,"I",IF(L120&lt;=Нормативы!$L$119,"II",IF(L120&lt;=Нормативы!$L$120,"III",IF(L120&lt;=Нормативы!$L$121,"I юн",IF(L120&lt;=Нормативы!$L$122,"II юн",IF(L120&lt;=Нормативы!$L$123,"III юн","б/р")))))))))))</f>
        <v>III</v>
      </c>
      <c r="N120" s="59" t="str">
        <f>IF(ISBLANK(L120)," ",IF(ISTEXT(L120)," ",IF(L120&lt;=Нормативы!$H$115,"КМС",IF(L120&lt;=Нормативы!$H$116,"КМС",IF(L120&lt;=Нормативы!$L$117,"КМС",IF(L120&lt;=Нормативы!$L$118,"I",IF(L120&lt;=Нормативы!$L$119,"II",IF(L120&lt;=Нормативы!$L$120,"III",IF(L120&lt;=Нормативы!$L$121,"I юн",IF(L120&lt;=Нормативы!$L$122,"II юн",IF(L120&lt;=Нормативы!$L$123,"III юн","б/р")))))))))))</f>
        <v>III</v>
      </c>
      <c r="O120" s="59"/>
      <c r="Q120" s="59" t="str">
        <f t="shared" ref="Q120" si="95">IF(ISBLANK(P120)," ",IF(ISTEXT(P120)," ",IF(P120&lt;=$H$115,"МСМК",IF(P120&lt;=$H$116,"МС",IF(P120&lt;=$H$117,"КМС",IF(P120&lt;=$H$118,"I",IF(P120&lt;=$H$119,"II",IF(P120&lt;=$H$120,"III",IF(P120&lt;=$H$121,"I юн",IF(P120&lt;=$H$122,"II юн",IF(P120&lt;=$H$123,"III юн","б/р")))))))))))</f>
        <v xml:space="preserve"> </v>
      </c>
    </row>
    <row r="121" spans="3:33" x14ac:dyDescent="0.3">
      <c r="C121" s="43"/>
      <c r="D121" s="43"/>
      <c r="E121" s="43"/>
      <c r="F121" s="43"/>
      <c r="G121" s="43"/>
      <c r="H121" s="71">
        <v>242.2</v>
      </c>
      <c r="I121" s="59" t="str">
        <f>IF(ISBLANK(H121)," ",IF(ISTEXT(H121)," ",IF(H121&lt;=Нормативы!$H$115,"МСМК",IF(H121&lt;=Нормативы!$H$116,"МС",IF(H121&lt;=Нормативы!$H$117,"КМС",IF(H121&lt;=Нормативы!$H$118,"I",IF(H121&lt;=Нормативы!$H$119,"II",IF(H121&lt;=Нормативы!$H$120,"III",IF(H121&lt;=Нормативы!$H$121,"I юн",IF(H121&lt;=Нормативы!$H$122,"II юн",IF(H121&lt;=Нормативы!$H$123,"III юн","б/р")))))))))))</f>
        <v>I юн</v>
      </c>
      <c r="J121" s="59" t="str">
        <f>IF(ISBLANK(H121)," ",IF(ISTEXT(H121)," ",IF(H121&lt;=Нормативы!$H$115,"МСМК",IF(H121&lt;=Нормативы!$H$116,"МС",IF(H121&lt;=Нормативы!$H$117,"КМС",IF(H121&lt;=Нормативы!$H$118,"I",IF(H121&lt;=Нормативы!$H$119,"II",IF(H121&lt;=Нормативы!$H$120,"III",IF(H121&lt;=Нормативы!$H$121,"I юн",IF(H121&lt;=Нормативы!$H$122,"II юн",IF(H121&lt;=Нормативы!$H$123,"III юн","б/р")))))))))))</f>
        <v>I юн</v>
      </c>
      <c r="K121" s="75"/>
      <c r="L121" s="74">
        <f t="shared" si="91"/>
        <v>242</v>
      </c>
      <c r="M121" s="59" t="str">
        <f>IF(ISBLANK(L121)," ",IF(ISTEXT(L121)," ",IF(L121&lt;=Нормативы!$H$115,"КМС",IF(L121&lt;=Нормативы!$H$116,"КМС",IF(L121&lt;=Нормативы!$L$117,"КМС",IF(L121&lt;=Нормативы!$L$118,"I",IF(L121&lt;=Нормативы!$L$119,"II",IF(L121&lt;=Нормативы!$L$120,"III",IF(L121&lt;=Нормативы!$L$121,"I юн",IF(L121&lt;=Нормативы!$L$122,"II юн",IF(L121&lt;=Нормативы!$L$123,"III юн","б/р")))))))))))</f>
        <v>I юн</v>
      </c>
      <c r="N121" s="59" t="str">
        <f>IF(ISBLANK(L121)," ",IF(ISTEXT(L121)," ",IF(L121&lt;=Нормативы!$H$115,"КМС",IF(L121&lt;=Нормативы!$H$116,"КМС",IF(L121&lt;=Нормативы!$L$117,"КМС",IF(L121&lt;=Нормативы!$L$118,"I",IF(L121&lt;=Нормативы!$L$119,"II",IF(L121&lt;=Нормативы!$L$120,"III",IF(L121&lt;=Нормативы!$L$121,"I юн",IF(L121&lt;=Нормативы!$L$122,"II юн",IF(L121&lt;=Нормативы!$L$123,"III юн","б/р")))))))))))</f>
        <v>I юн</v>
      </c>
      <c r="O121" s="59"/>
      <c r="Q121" s="59" t="str">
        <f t="shared" ref="Q121" si="96">IF(ISBLANK(P121)," ",IF(ISTEXT(P121)," ",IF(P121&lt;=$H$115,"МСМК",IF(P121&lt;=$H$116,"МС",IF(P121&lt;=$H$117,"КМС",IF(P121&lt;=$H$118,"I",IF(P121&lt;=$H$119,"II",IF(P121&lt;=$H$120,"III",IF(P121&lt;=$H$121,"I юн",IF(P121&lt;=$H$122,"II юн",IF(P121&lt;=$H$123,"III юн","б/р")))))))))))</f>
        <v xml:space="preserve"> </v>
      </c>
    </row>
    <row r="122" spans="3:33" x14ac:dyDescent="0.3">
      <c r="C122" s="43"/>
      <c r="D122" s="43"/>
      <c r="E122" s="43"/>
      <c r="F122" s="43"/>
      <c r="G122" s="43"/>
      <c r="H122" s="71">
        <v>256.2</v>
      </c>
      <c r="I122" s="59" t="str">
        <f>IF(ISBLANK(H122)," ",IF(ISTEXT(H122)," ",IF(H122&lt;=Нормативы!$H$115,"МСМК",IF(H122&lt;=Нормативы!$H$116,"МС",IF(H122&lt;=Нормативы!$H$117,"КМС",IF(H122&lt;=Нормативы!$H$118,"I",IF(H122&lt;=Нормативы!$H$119,"II",IF(H122&lt;=Нормативы!$H$120,"III",IF(H122&lt;=Нормативы!$H$121,"I юн",IF(H122&lt;=Нормативы!$H$122,"II юн",IF(H122&lt;=Нормативы!$H$123,"III юн","б/р")))))))))))</f>
        <v>II юн</v>
      </c>
      <c r="J122" s="59" t="str">
        <f>IF(ISBLANK(H122)," ",IF(ISTEXT(H122)," ",IF(H122&lt;=Нормативы!$H$115,"МСМК",IF(H122&lt;=Нормативы!$H$116,"МС",IF(H122&lt;=Нормативы!$H$117,"КМС",IF(H122&lt;=Нормативы!$H$118,"I",IF(H122&lt;=Нормативы!$H$119,"II",IF(H122&lt;=Нормативы!$H$120,"III",IF(H122&lt;=Нормативы!$H$121,"I юн",IF(H122&lt;=Нормативы!$H$122,"II юн",IF(H122&lt;=Нормативы!$H$123,"III юн","б/р")))))))))))</f>
        <v>II юн</v>
      </c>
      <c r="K122" s="75"/>
      <c r="L122" s="74">
        <f t="shared" si="91"/>
        <v>256</v>
      </c>
      <c r="M122" s="59" t="str">
        <f>IF(ISBLANK(L122)," ",IF(ISTEXT(L122)," ",IF(L122&lt;=Нормативы!$H$115,"КМС",IF(L122&lt;=Нормативы!$H$116,"КМС",IF(L122&lt;=Нормативы!$L$117,"КМС",IF(L122&lt;=Нормативы!$L$118,"I",IF(L122&lt;=Нормативы!$L$119,"II",IF(L122&lt;=Нормативы!$L$120,"III",IF(L122&lt;=Нормативы!$L$121,"I юн",IF(L122&lt;=Нормативы!$L$122,"II юн",IF(L122&lt;=Нормативы!$L$123,"III юн","б/р")))))))))))</f>
        <v>II юн</v>
      </c>
      <c r="N122" s="59" t="str">
        <f>IF(ISBLANK(L122)," ",IF(ISTEXT(L122)," ",IF(L122&lt;=Нормативы!$H$115,"КМС",IF(L122&lt;=Нормативы!$H$116,"КМС",IF(L122&lt;=Нормативы!$L$117,"КМС",IF(L122&lt;=Нормативы!$L$118,"I",IF(L122&lt;=Нормативы!$L$119,"II",IF(L122&lt;=Нормативы!$L$120,"III",IF(L122&lt;=Нормативы!$L$121,"I юн",IF(L122&lt;=Нормативы!$L$122,"II юн",IF(L122&lt;=Нормативы!$L$123,"III юн","б/р")))))))))))</f>
        <v>II юн</v>
      </c>
      <c r="O122" s="59"/>
      <c r="Q122" s="59" t="str">
        <f t="shared" ref="Q122" si="97">IF(ISBLANK(P122)," ",IF(ISTEXT(P122)," ",IF(P122&lt;=$H$115,"МСМК",IF(P122&lt;=$H$116,"МС",IF(P122&lt;=$H$117,"КМС",IF(P122&lt;=$H$118,"I",IF(P122&lt;=$H$119,"II",IF(P122&lt;=$H$120,"III",IF(P122&lt;=$H$121,"I юн",IF(P122&lt;=$H$122,"II юн",IF(P122&lt;=$H$123,"III юн","б/р")))))))))))</f>
        <v xml:space="preserve"> </v>
      </c>
    </row>
    <row r="123" spans="3:33" x14ac:dyDescent="0.3">
      <c r="C123" s="43"/>
      <c r="D123" s="43"/>
      <c r="E123" s="43"/>
      <c r="F123" s="43"/>
      <c r="G123" s="43"/>
      <c r="H123" s="71">
        <v>310.2</v>
      </c>
      <c r="I123" s="59" t="str">
        <f>IF(ISBLANK(H123)," ",IF(ISTEXT(H123)," ",IF(H123&lt;=Нормативы!$H$115,"МСМК",IF(H123&lt;=Нормативы!$H$116,"МС",IF(H123&lt;=Нормативы!$H$117,"КМС",IF(H123&lt;=Нормативы!$H$118,"I",IF(H123&lt;=Нормативы!$H$119,"II",IF(H123&lt;=Нормативы!$H$120,"III",IF(H123&lt;=Нормативы!$H$121,"I юн",IF(H123&lt;=Нормативы!$H$122,"II юн",IF(H123&lt;=Нормативы!$H$123,"III юн","б/р")))))))))))</f>
        <v>III юн</v>
      </c>
      <c r="J123" s="59" t="str">
        <f>IF(ISBLANK(H123)," ",IF(ISTEXT(H123)," ",IF(H123&lt;=Нормативы!$H$115,"МСМК",IF(H123&lt;=Нормативы!$H$116,"МС",IF(H123&lt;=Нормативы!$H$117,"КМС",IF(H123&lt;=Нормативы!$H$118,"I",IF(H123&lt;=Нормативы!$H$119,"II",IF(H123&lt;=Нормативы!$H$120,"III",IF(H123&lt;=Нормативы!$H$121,"I юн",IF(H123&lt;=Нормативы!$H$122,"II юн",IF(H123&lt;=Нормативы!$H$123,"III юн","б/р")))))))))))</f>
        <v>III юн</v>
      </c>
      <c r="K123" s="75"/>
      <c r="L123" s="74">
        <f t="shared" si="91"/>
        <v>310</v>
      </c>
      <c r="M123" s="59" t="str">
        <f>IF(ISBLANK(L123)," ",IF(ISTEXT(L123)," ",IF(L123&lt;=Нормативы!$H$115,"КМС",IF(L123&lt;=Нормативы!$H$116,"КМС",IF(L123&lt;=Нормативы!$L$117,"КМС",IF(L123&lt;=Нормативы!$L$118,"I",IF(L123&lt;=Нормативы!$L$119,"II",IF(L123&lt;=Нормативы!$L$120,"III",IF(L123&lt;=Нормативы!$L$121,"I юн",IF(L123&lt;=Нормативы!$L$122,"II юн",IF(L123&lt;=Нормативы!$L$123,"III юн","б/р")))))))))))</f>
        <v>III юн</v>
      </c>
      <c r="N123" s="59" t="str">
        <f>IF(ISBLANK(L123)," ",IF(ISTEXT(L123)," ",IF(L123&lt;=Нормативы!$H$115,"КМС",IF(L123&lt;=Нормативы!$H$116,"КМС",IF(L123&lt;=Нормативы!$L$117,"КМС",IF(L123&lt;=Нормативы!$L$118,"I",IF(L123&lt;=Нормативы!$L$119,"II",IF(L123&lt;=Нормативы!$L$120,"III",IF(L123&lt;=Нормативы!$L$121,"I юн",IF(L123&lt;=Нормативы!$L$122,"II юн",IF(L123&lt;=Нормативы!$L$123,"III юн","б/р")))))))))))</f>
        <v>III юн</v>
      </c>
      <c r="O123" s="59"/>
      <c r="Q123" s="59" t="str">
        <f t="shared" ref="Q123" si="98">IF(ISBLANK(P123)," ",IF(ISTEXT(P123)," ",IF(P123&lt;=$H$115,"МСМК",IF(P123&lt;=$H$116,"МС",IF(P123&lt;=$H$117,"КМС",IF(P123&lt;=$H$118,"I",IF(P123&lt;=$H$119,"II",IF(P123&lt;=$H$120,"III",IF(P123&lt;=$H$121,"I юн",IF(P123&lt;=$H$122,"II юн",IF(P123&lt;=$H$123,"III юн","б/р")))))))))))</f>
        <v xml:space="preserve"> </v>
      </c>
    </row>
    <row r="124" spans="3:33" x14ac:dyDescent="0.3">
      <c r="C124" s="43"/>
      <c r="D124" s="43"/>
      <c r="E124" s="43"/>
      <c r="F124" s="43"/>
      <c r="G124" s="43"/>
      <c r="H124" s="71"/>
      <c r="I124" s="43"/>
      <c r="J124" s="43"/>
      <c r="K124" s="75"/>
      <c r="L124" s="43"/>
      <c r="M124" s="43"/>
      <c r="N124" s="43"/>
      <c r="P124" s="82"/>
      <c r="Q124" s="43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</row>
    <row r="125" spans="3:33" x14ac:dyDescent="0.3">
      <c r="C125" s="68" t="s">
        <v>65</v>
      </c>
      <c r="D125" s="43"/>
      <c r="E125" s="43"/>
      <c r="F125" s="43"/>
      <c r="G125" s="43"/>
      <c r="H125" s="71"/>
      <c r="I125" s="43"/>
      <c r="J125" s="43"/>
      <c r="K125" s="84"/>
      <c r="L125" s="43"/>
      <c r="M125" s="43"/>
      <c r="N125" s="43"/>
      <c r="P125" s="83"/>
      <c r="Q125" s="43"/>
      <c r="R125" s="83"/>
      <c r="S125" s="83"/>
      <c r="T125" s="83"/>
      <c r="U125" s="83"/>
      <c r="V125" s="83"/>
      <c r="W125" s="83"/>
      <c r="X125" s="83"/>
      <c r="Y125" s="83"/>
      <c r="Z125" s="83"/>
      <c r="AA125" s="83"/>
      <c r="AB125" s="83"/>
      <c r="AC125" s="83"/>
      <c r="AD125" s="83"/>
      <c r="AE125" s="83"/>
      <c r="AF125" s="83"/>
      <c r="AG125" s="83"/>
    </row>
    <row r="126" spans="3:33" x14ac:dyDescent="0.3">
      <c r="C126" s="43"/>
      <c r="D126" s="43"/>
      <c r="E126" s="43"/>
      <c r="F126" s="43"/>
      <c r="G126" s="43"/>
      <c r="H126" s="71">
        <v>136.4</v>
      </c>
      <c r="I126" s="59" t="str">
        <f>IF(ISBLANK(H126)," ",IF(ISTEXT(H126)," ",IF(H126&lt;=Нормативы!$H$126,"МСМК",IF(H126&lt;=Нормативы!$H$127,"МС",IF(H126&lt;=Нормативы!$H$128,"КМС",IF(H126&lt;=Нормативы!$H$129,"I",IF(H126&lt;=Нормативы!$H$130,"II",IF(H126&lt;=Нормативы!$H$131,"III",IF(H126&lt;=Нормативы!$H$132,"I юн",IF(H126&lt;=Нормативы!$H$133,"II юн",IF(H126&lt;=Нормативы!$H$134,"III юн","б/р")))))))))))</f>
        <v>МСМК</v>
      </c>
      <c r="J126" s="59" t="str">
        <f>IF(ISBLANK(H126)," ",IF(ISTEXT(H126)," ",IF(H126&lt;=Нормативы!$H$126,"МСМК",IF(H126&lt;=Нормативы!$H$127,"МС",IF(H126&lt;=Нормативы!$H$128,"КМС",IF(H126&lt;=Нормативы!$H$129,"I",IF(H126&lt;=Нормативы!$H$130,"II",IF(H126&lt;=Нормативы!$H$131,"III",IF(H126&lt;=Нормативы!$H$132,"I юн",IF(H126&lt;=Нормативы!$H$133,"II юн",IF(H126&lt;=Нормативы!$H$134,"III юн","б/р")))))))))))</f>
        <v>МСМК</v>
      </c>
      <c r="K126" s="90"/>
      <c r="L126" s="71"/>
      <c r="M126" s="59" t="str">
        <f>IF(ISBLANK(L126)," ",IF(ISTEXT(L126)," ",IF(L126&lt;=Нормативы!$H$126,"КМС",IF(L126&lt;=Нормативы!$H$127,"КМС",IF(L126&lt;=Нормативы!$L$128,"КМС",IF(L126&lt;=Нормативы!$L$129,"I",IF(L126&lt;=Нормативы!$L$130,"II",IF(L126&lt;=Нормативы!$L$131,"III",IF(L126&lt;=Нормативы!$L$132,"I юн",IF(L126&lt;=Нормативы!$L$133,"II юн",IF(L126&lt;=Нормативы!$L$134,"III юн","б/р")))))))))))</f>
        <v xml:space="preserve"> </v>
      </c>
      <c r="N126" s="59" t="str">
        <f>IF(ISBLANK(L126)," ",IF(ISTEXT(L126)," ",IF(L126&lt;=136.5,"МСМК",IF(L126&lt;=141.4,"МС",IF(L126&lt;=145.8,"КМС",IF(L126&lt;=154.6,"I",IF(L126&lt;=203.8,"II",IF(L126&lt;=214.6,"III",IF(L126&lt;=228.5,"I юн",IF(L126&lt;=242,"II юн",IF(L126&lt;=255,"III юн","б/р")))))))))))</f>
        <v xml:space="preserve"> </v>
      </c>
      <c r="O126" s="59"/>
      <c r="Q126" s="59" t="str">
        <f>IF(ISBLANK(P126)," ",IF(ISTEXT(P126)," ",IF(P126&lt;=$H$126,"МСМК",IF(P126&lt;=$H$127,"МС",IF(P126&lt;=$H$128,"КМС",IF(P126&lt;=$H$129,"I",IF(P126&lt;=$H$130,"II",IF(P126&lt;=$H$131,"III",IF(P126&lt;=$H$132,"I юн",IF(P126&lt;=$H$133,"II юн",IF(P126&lt;=$H$134,"III юн","б/р")))))))))))</f>
        <v xml:space="preserve"> </v>
      </c>
    </row>
    <row r="127" spans="3:33" x14ac:dyDescent="0.3">
      <c r="C127" s="43"/>
      <c r="D127" s="43"/>
      <c r="E127" s="43"/>
      <c r="F127" s="43"/>
      <c r="G127" s="43"/>
      <c r="H127" s="71">
        <v>140.5</v>
      </c>
      <c r="I127" s="59" t="str">
        <f>IF(ISBLANK(H127)," ",IF(ISTEXT(H127)," ",IF(H127&lt;=Нормативы!$H$126,"МСМК",IF(H127&lt;=Нормативы!$H$127,"МС",IF(H127&lt;=Нормативы!$H$128,"КМС",IF(H127&lt;=Нормативы!$H$129,"I",IF(H127&lt;=Нормативы!$H$130,"II",IF(H127&lt;=Нормативы!$H$131,"III",IF(H127&lt;=Нормативы!$H$132,"I юн",IF(H127&lt;=Нормативы!$H$133,"II юн",IF(H127&lt;=Нормативы!$H$134,"III юн","б/р")))))))))))</f>
        <v>МС</v>
      </c>
      <c r="J127" s="59" t="str">
        <f>IF(ISBLANK(H127)," ",IF(ISTEXT(H127)," ",IF(H127&lt;=Нормативы!$H$126,"МСМК",IF(H127&lt;=Нормативы!$H$127,"МС",IF(H127&lt;=Нормативы!$H$128,"КМС",IF(H127&lt;=Нормативы!$H$129,"I",IF(H127&lt;=Нормативы!$H$130,"II",IF(H127&lt;=Нормативы!$H$131,"III",IF(H127&lt;=Нормативы!$H$132,"I юн",IF(H127&lt;=Нормативы!$H$133,"II юн",IF(H127&lt;=Нормативы!$H$134,"III юн","б/р")))))))))))</f>
        <v>МС</v>
      </c>
      <c r="K127" s="90"/>
      <c r="L127" s="71"/>
      <c r="M127" s="59" t="str">
        <f>IF(ISBLANK(L127)," ",IF(ISTEXT(L127)," ",IF(L127&lt;=Нормативы!$H$126,"КМС",IF(L127&lt;=Нормативы!$H$127,"КМС",IF(L127&lt;=Нормативы!$L$128,"КМС",IF(L127&lt;=Нормативы!$L$129,"I",IF(L127&lt;=Нормативы!$L$130,"II",IF(L127&lt;=Нормативы!$L$131,"III",IF(L127&lt;=Нормативы!$L$132,"I юн",IF(L127&lt;=Нормативы!$L$133,"II юн",IF(L127&lt;=Нормативы!$L$134,"III юн","б/р")))))))))))</f>
        <v xml:space="preserve"> </v>
      </c>
      <c r="N127" s="59" t="str">
        <f>IF(ISBLANK(L127)," ",IF(ISTEXT(L127)," ",IF(L127&lt;=136.5,"МСМК",IF(L127&lt;=141.4,"МС",IF(L127&lt;=145.8,"КМС",IF(L127&lt;=154.6,"I",IF(L127&lt;=203.8,"II",IF(L127&lt;=214.6,"III",IF(L127&lt;=228.5,"I юн",IF(L127&lt;=242,"II юн",IF(L127&lt;=255,"III юн","б/р")))))))))))</f>
        <v xml:space="preserve"> </v>
      </c>
      <c r="O127" s="59"/>
      <c r="Q127" s="59" t="str">
        <f t="shared" ref="Q127" si="99">IF(ISBLANK(P127)," ",IF(ISTEXT(P127)," ",IF(P127&lt;=$H$126,"МСМК",IF(P127&lt;=$H$127,"МС",IF(P127&lt;=$H$128,"КМС",IF(P127&lt;=$H$129,"I",IF(P127&lt;=$H$130,"II",IF(P127&lt;=$H$131,"III",IF(P127&lt;=$H$132,"I юн",IF(P127&lt;=$H$133,"II юн",IF(P127&lt;=$H$134,"III юн","б/р")))))))))))</f>
        <v xml:space="preserve"> </v>
      </c>
    </row>
    <row r="128" spans="3:33" x14ac:dyDescent="0.3">
      <c r="C128" s="43"/>
      <c r="D128" s="43"/>
      <c r="E128" s="43"/>
      <c r="F128" s="43"/>
      <c r="G128" s="43"/>
      <c r="H128" s="71">
        <v>145</v>
      </c>
      <c r="I128" s="59" t="str">
        <f>IF(ISBLANK(H128)," ",IF(ISTEXT(H128)," ",IF(H128&lt;=Нормативы!$H$126,"МСМК",IF(H128&lt;=Нормативы!$H$127,"МС",IF(H128&lt;=Нормативы!$H$128,"КМС",IF(H128&lt;=Нормативы!$H$129,"I",IF(H128&lt;=Нормативы!$H$130,"II",IF(H128&lt;=Нормативы!$H$131,"III",IF(H128&lt;=Нормативы!$H$132,"I юн",IF(H128&lt;=Нормативы!$H$133,"II юн",IF(H128&lt;=Нормативы!$H$134,"III юн","б/р")))))))))))</f>
        <v>КМС</v>
      </c>
      <c r="J128" s="59" t="str">
        <f>IF(ISBLANK(H128)," ",IF(ISTEXT(H128)," ",IF(H128&lt;=Нормативы!$H$126,"МСМК",IF(H128&lt;=Нормативы!$H$127,"МС",IF(H128&lt;=Нормативы!$H$128,"КМС",IF(H128&lt;=Нормативы!$H$129,"I",IF(H128&lt;=Нормативы!$H$130,"II",IF(H128&lt;=Нормативы!$H$131,"III",IF(H128&lt;=Нормативы!$H$132,"I юн",IF(H128&lt;=Нормативы!$H$133,"II юн",IF(H128&lt;=Нормативы!$H$134,"III юн","б/р")))))))))))</f>
        <v>КМС</v>
      </c>
      <c r="K128" s="90"/>
      <c r="L128" s="74">
        <f t="shared" ref="L128:L134" si="100">H128-0.2</f>
        <v>144.80000000000001</v>
      </c>
      <c r="M128" s="59" t="str">
        <f>IF(ISBLANK(L128)," ",IF(ISTEXT(L128)," ",IF(L128&lt;=Нормативы!$H$126,"КМС",IF(L128&lt;=Нормативы!$H$127,"КМС",IF(L128&lt;=Нормативы!$L$128,"КМС",IF(L128&lt;=Нормативы!$L$129,"I",IF(L128&lt;=Нормативы!$L$130,"II",IF(L128&lt;=Нормативы!$L$131,"III",IF(L128&lt;=Нормативы!$L$132,"I юн",IF(L128&lt;=Нормативы!$L$133,"II юн",IF(L128&lt;=Нормативы!$L$134,"III юн","б/р")))))))))))</f>
        <v>КМС</v>
      </c>
      <c r="N128" s="59" t="str">
        <f>IF(ISBLANK(L128)," ",IF(ISTEXT(L128)," ",IF(L128&lt;=Нормативы!$H$126,"КМС",IF(L128&lt;=Нормативы!$H$127,"КМС",IF(L128&lt;=Нормативы!$L$128,"КМС",IF(L128&lt;=Нормативы!$L$129,"I",IF(L128&lt;=Нормативы!$L$130,"II",IF(L128&lt;=Нормативы!$L$131,"III",IF(L128&lt;=Нормативы!$L$132,"I юн",IF(L128&lt;=Нормативы!$L$133,"II юн",IF(L128&lt;=Нормативы!$L$134,"III юн","б/р")))))))))))</f>
        <v>КМС</v>
      </c>
      <c r="O128" s="59"/>
      <c r="Q128" s="59" t="str">
        <f t="shared" ref="Q128" si="101">IF(ISBLANK(P128)," ",IF(ISTEXT(P128)," ",IF(P128&lt;=$H$126,"МСМК",IF(P128&lt;=$H$127,"МС",IF(P128&lt;=$H$128,"КМС",IF(P128&lt;=$H$129,"I",IF(P128&lt;=$H$130,"II",IF(P128&lt;=$H$131,"III",IF(P128&lt;=$H$132,"I юн",IF(P128&lt;=$H$133,"II юн",IF(P128&lt;=$H$134,"III юн","б/р")))))))))))</f>
        <v xml:space="preserve"> </v>
      </c>
    </row>
    <row r="129" spans="3:17" x14ac:dyDescent="0.3">
      <c r="C129" s="43"/>
      <c r="D129" s="43"/>
      <c r="E129" s="43"/>
      <c r="F129" s="43"/>
      <c r="G129" s="43"/>
      <c r="H129" s="71">
        <v>153.69999999999999</v>
      </c>
      <c r="I129" s="59" t="str">
        <f>IF(ISBLANK(H129)," ",IF(ISTEXT(H129)," ",IF(H129&lt;=Нормативы!$H$126,"МСМК",IF(H129&lt;=Нормативы!$H$127,"МС",IF(H129&lt;=Нормативы!$H$128,"КМС",IF(H129&lt;=Нормативы!$H$129,"I",IF(H129&lt;=Нормативы!$H$130,"II",IF(H129&lt;=Нормативы!$H$131,"III",IF(H129&lt;=Нормативы!$H$132,"I юн",IF(H129&lt;=Нормативы!$H$133,"II юн",IF(H129&lt;=Нормативы!$H$134,"III юн","б/р")))))))))))</f>
        <v>I</v>
      </c>
      <c r="J129" s="59" t="str">
        <f>IF(ISBLANK(H129)," ",IF(ISTEXT(H129)," ",IF(H129&lt;=Нормативы!$H$126,"МСМК",IF(H129&lt;=Нормативы!$H$127,"МС",IF(H129&lt;=Нормативы!$H$128,"КМС",IF(H129&lt;=Нормативы!$H$129,"I",IF(H129&lt;=Нормативы!$H$130,"II",IF(H129&lt;=Нормативы!$H$131,"III",IF(H129&lt;=Нормативы!$H$132,"I юн",IF(H129&lt;=Нормативы!$H$133,"II юн",IF(H129&lt;=Нормативы!$H$134,"III юн","б/р")))))))))))</f>
        <v>I</v>
      </c>
      <c r="K129" s="90"/>
      <c r="L129" s="74">
        <f t="shared" si="100"/>
        <v>153.5</v>
      </c>
      <c r="M129" s="59" t="str">
        <f>IF(ISBLANK(L129)," ",IF(ISTEXT(L129)," ",IF(L129&lt;=Нормативы!$H$126,"КМС",IF(L129&lt;=Нормативы!$H$127,"КМС",IF(L129&lt;=Нормативы!$L$128,"КМС",IF(L129&lt;=Нормативы!$L$129,"I",IF(L129&lt;=Нормативы!$L$130,"II",IF(L129&lt;=Нормативы!$L$131,"III",IF(L129&lt;=Нормативы!$L$132,"I юн",IF(L129&lt;=Нормативы!$L$133,"II юн",IF(L129&lt;=Нормативы!$L$134,"III юн","б/р")))))))))))</f>
        <v>I</v>
      </c>
      <c r="N129" s="59" t="str">
        <f>IF(ISBLANK(L129)," ",IF(ISTEXT(L129)," ",IF(L129&lt;=Нормативы!$H$126,"КМС",IF(L129&lt;=Нормативы!$H$127,"КМС",IF(L129&lt;=Нормативы!$L$128,"КМС",IF(L129&lt;=Нормативы!$L$129,"I",IF(L129&lt;=Нормативы!$L$130,"II",IF(L129&lt;=Нормативы!$L$131,"III",IF(L129&lt;=Нормативы!$L$132,"I юн",IF(L129&lt;=Нормативы!$L$133,"II юн",IF(L129&lt;=Нормативы!$L$134,"III юн","б/р")))))))))))</f>
        <v>I</v>
      </c>
      <c r="O129" s="59"/>
      <c r="Q129" s="59" t="str">
        <f t="shared" ref="Q129" si="102">IF(ISBLANK(P129)," ",IF(ISTEXT(P129)," ",IF(P129&lt;=$H$126,"МСМК",IF(P129&lt;=$H$127,"МС",IF(P129&lt;=$H$128,"КМС",IF(P129&lt;=$H$129,"I",IF(P129&lt;=$H$130,"II",IF(P129&lt;=$H$131,"III",IF(P129&lt;=$H$132,"I юн",IF(P129&lt;=$H$133,"II юн",IF(P129&lt;=$H$134,"III юн","б/р")))))))))))</f>
        <v xml:space="preserve"> </v>
      </c>
    </row>
    <row r="130" spans="3:17" x14ac:dyDescent="0.3">
      <c r="C130" s="43"/>
      <c r="D130" s="43"/>
      <c r="E130" s="43"/>
      <c r="F130" s="43"/>
      <c r="G130" s="43"/>
      <c r="H130" s="71">
        <v>202.7</v>
      </c>
      <c r="I130" s="59" t="str">
        <f>IF(ISBLANK(H130)," ",IF(ISTEXT(H130)," ",IF(H130&lt;=Нормативы!$H$126,"МСМК",IF(H130&lt;=Нормативы!$H$127,"МС",IF(H130&lt;=Нормативы!$H$128,"КМС",IF(H130&lt;=Нормативы!$H$129,"I",IF(H130&lt;=Нормативы!$H$130,"II",IF(H130&lt;=Нормативы!$H$131,"III",IF(H130&lt;=Нормативы!$H$132,"I юн",IF(H130&lt;=Нормативы!$H$133,"II юн",IF(H130&lt;=Нормативы!$H$134,"III юн","б/р")))))))))))</f>
        <v>II</v>
      </c>
      <c r="J130" s="59" t="str">
        <f>IF(ISBLANK(H130)," ",IF(ISTEXT(H130)," ",IF(H130&lt;=Нормативы!$H$126,"МСМК",IF(H130&lt;=Нормативы!$H$127,"МС",IF(H130&lt;=Нормативы!$H$128,"КМС",IF(H130&lt;=Нормативы!$H$129,"I",IF(H130&lt;=Нормативы!$H$130,"II",IF(H130&lt;=Нормативы!$H$131,"III",IF(H130&lt;=Нормативы!$H$132,"I юн",IF(H130&lt;=Нормативы!$H$133,"II юн",IF(H130&lt;=Нормативы!$H$134,"III юн","б/р")))))))))))</f>
        <v>II</v>
      </c>
      <c r="K130" s="90"/>
      <c r="L130" s="74">
        <f t="shared" si="100"/>
        <v>202.5</v>
      </c>
      <c r="M130" s="59" t="str">
        <f>IF(ISBLANK(L130)," ",IF(ISTEXT(L130)," ",IF(L130&lt;=Нормативы!$H$126,"КМС",IF(L130&lt;=Нормативы!$H$127,"КМС",IF(L130&lt;=Нормативы!$L$128,"КМС",IF(L130&lt;=Нормативы!$L$129,"I",IF(L130&lt;=Нормативы!$L$130,"II",IF(L130&lt;=Нормативы!$L$131,"III",IF(L130&lt;=Нормативы!$L$132,"I юн",IF(L130&lt;=Нормативы!$L$133,"II юн",IF(L130&lt;=Нормативы!$L$134,"III юн","б/р")))))))))))</f>
        <v>II</v>
      </c>
      <c r="N130" s="59" t="str">
        <f>IF(ISBLANK(L130)," ",IF(ISTEXT(L130)," ",IF(L130&lt;=Нормативы!$H$126,"КМС",IF(L130&lt;=Нормативы!$H$127,"КМС",IF(L130&lt;=Нормативы!$L$128,"КМС",IF(L130&lt;=Нормативы!$L$129,"I",IF(L130&lt;=Нормативы!$L$130,"II",IF(L130&lt;=Нормативы!$L$131,"III",IF(L130&lt;=Нормативы!$L$132,"I юн",IF(L130&lt;=Нормативы!$L$133,"II юн",IF(L130&lt;=Нормативы!$L$134,"III юн","б/р")))))))))))</f>
        <v>II</v>
      </c>
      <c r="O130" s="59"/>
      <c r="Q130" s="59" t="str">
        <f t="shared" ref="Q130" si="103">IF(ISBLANK(P130)," ",IF(ISTEXT(P130)," ",IF(P130&lt;=$H$126,"МСМК",IF(P130&lt;=$H$127,"МС",IF(P130&lt;=$H$128,"КМС",IF(P130&lt;=$H$129,"I",IF(P130&lt;=$H$130,"II",IF(P130&lt;=$H$131,"III",IF(P130&lt;=$H$132,"I юн",IF(P130&lt;=$H$133,"II юн",IF(P130&lt;=$H$134,"III юн","б/р")))))))))))</f>
        <v xml:space="preserve"> </v>
      </c>
    </row>
    <row r="131" spans="3:17" x14ac:dyDescent="0.3">
      <c r="C131" s="43"/>
      <c r="D131" s="43"/>
      <c r="E131" s="43"/>
      <c r="F131" s="43"/>
      <c r="G131" s="43"/>
      <c r="H131" s="71">
        <v>212.79999999999998</v>
      </c>
      <c r="I131" s="59" t="str">
        <f>IF(ISBLANK(H131)," ",IF(ISTEXT(H131)," ",IF(H131&lt;=Нормативы!$H$126,"МСМК",IF(H131&lt;=Нормативы!$H$127,"МС",IF(H131&lt;=Нормативы!$H$128,"КМС",IF(H131&lt;=Нормативы!$H$129,"I",IF(H131&lt;=Нормативы!$H$130,"II",IF(H131&lt;=Нормативы!$H$131,"III",IF(H131&lt;=Нормативы!$H$132,"I юн",IF(H131&lt;=Нормативы!$H$133,"II юн",IF(H131&lt;=Нормативы!$H$134,"III юн","б/р")))))))))))</f>
        <v>III</v>
      </c>
      <c r="J131" s="59" t="str">
        <f>IF(ISBLANK(H131)," ",IF(ISTEXT(H131)," ",IF(H131&lt;=Нормативы!$H$126,"МСМК",IF(H131&lt;=Нормативы!$H$127,"МС",IF(H131&lt;=Нормативы!$H$128,"КМС",IF(H131&lt;=Нормативы!$H$129,"I",IF(H131&lt;=Нормативы!$H$130,"II",IF(H131&lt;=Нормативы!$H$131,"III",IF(H131&lt;=Нормативы!$H$132,"I юн",IF(H131&lt;=Нормативы!$H$133,"II юн",IF(H131&lt;=Нормативы!$H$134,"III юн","б/р")))))))))))</f>
        <v>III</v>
      </c>
      <c r="K131" s="90"/>
      <c r="L131" s="74">
        <f t="shared" si="100"/>
        <v>212.6</v>
      </c>
      <c r="M131" s="59" t="str">
        <f>IF(ISBLANK(L131)," ",IF(ISTEXT(L131)," ",IF(L131&lt;=Нормативы!$H$126,"КМС",IF(L131&lt;=Нормативы!$H$127,"КМС",IF(L131&lt;=Нормативы!$L$128,"КМС",IF(L131&lt;=Нормативы!$L$129,"I",IF(L131&lt;=Нормативы!$L$130,"II",IF(L131&lt;=Нормативы!$L$131,"III",IF(L131&lt;=Нормативы!$L$132,"I юн",IF(L131&lt;=Нормативы!$L$133,"II юн",IF(L131&lt;=Нормативы!$L$134,"III юн","б/р")))))))))))</f>
        <v>III</v>
      </c>
      <c r="N131" s="59" t="str">
        <f>IF(ISBLANK(L131)," ",IF(ISTEXT(L131)," ",IF(L131&lt;=Нормативы!$H$126,"КМС",IF(L131&lt;=Нормативы!$H$127,"КМС",IF(L131&lt;=Нормативы!$L$128,"КМС",IF(L131&lt;=Нормативы!$L$129,"I",IF(L131&lt;=Нормативы!$L$130,"II",IF(L131&lt;=Нормативы!$L$131,"III",IF(L131&lt;=Нормативы!$L$132,"I юн",IF(L131&lt;=Нормативы!$L$133,"II юн",IF(L131&lt;=Нормативы!$L$134,"III юн","б/р")))))))))))</f>
        <v>III</v>
      </c>
      <c r="O131" s="59"/>
      <c r="Q131" s="59" t="str">
        <f t="shared" ref="Q131" si="104">IF(ISBLANK(P131)," ",IF(ISTEXT(P131)," ",IF(P131&lt;=$H$126,"МСМК",IF(P131&lt;=$H$127,"МС",IF(P131&lt;=$H$128,"КМС",IF(P131&lt;=$H$129,"I",IF(P131&lt;=$H$130,"II",IF(P131&lt;=$H$131,"III",IF(P131&lt;=$H$132,"I юн",IF(P131&lt;=$H$133,"II юн",IF(P131&lt;=$H$134,"III юн","б/р")))))))))))</f>
        <v xml:space="preserve"> </v>
      </c>
    </row>
    <row r="132" spans="3:17" x14ac:dyDescent="0.3">
      <c r="C132" s="43"/>
      <c r="D132" s="43"/>
      <c r="E132" s="43"/>
      <c r="F132" s="43"/>
      <c r="G132" s="43"/>
      <c r="H132" s="71">
        <v>225.7</v>
      </c>
      <c r="I132" s="59" t="str">
        <f>IF(ISBLANK(H132)," ",IF(ISTEXT(H132)," ",IF(H132&lt;=Нормативы!$H$126,"МСМК",IF(H132&lt;=Нормативы!$H$127,"МС",IF(H132&lt;=Нормативы!$H$128,"КМС",IF(H132&lt;=Нормативы!$H$129,"I",IF(H132&lt;=Нормативы!$H$130,"II",IF(H132&lt;=Нормативы!$H$131,"III",IF(H132&lt;=Нормативы!$H$132,"I юн",IF(H132&lt;=Нормативы!$H$133,"II юн",IF(H132&lt;=Нормативы!$H$134,"III юн","б/р")))))))))))</f>
        <v>I юн</v>
      </c>
      <c r="J132" s="59" t="str">
        <f>IF(ISBLANK(H132)," ",IF(ISTEXT(H132)," ",IF(H132&lt;=Нормативы!$H$126,"МСМК",IF(H132&lt;=Нормативы!$H$127,"МС",IF(H132&lt;=Нормативы!$H$128,"КМС",IF(H132&lt;=Нормативы!$H$129,"I",IF(H132&lt;=Нормативы!$H$130,"II",IF(H132&lt;=Нормативы!$H$131,"III",IF(H132&lt;=Нормативы!$H$132,"I юн",IF(H132&lt;=Нормативы!$H$133,"II юн",IF(H132&lt;=Нормативы!$H$134,"III юн","б/р")))))))))))</f>
        <v>I юн</v>
      </c>
      <c r="K132" s="90"/>
      <c r="L132" s="74">
        <f t="shared" si="100"/>
        <v>225.5</v>
      </c>
      <c r="M132" s="59" t="str">
        <f>IF(ISBLANK(L132)," ",IF(ISTEXT(L132)," ",IF(L132&lt;=Нормативы!$H$126,"КМС",IF(L132&lt;=Нормативы!$H$127,"КМС",IF(L132&lt;=Нормативы!$L$128,"КМС",IF(L132&lt;=Нормативы!$L$129,"I",IF(L132&lt;=Нормативы!$L$130,"II",IF(L132&lt;=Нормативы!$L$131,"III",IF(L132&lt;=Нормативы!$L$132,"I юн",IF(L132&lt;=Нормативы!$L$133,"II юн",IF(L132&lt;=Нормативы!$L$134,"III юн","б/р")))))))))))</f>
        <v>I юн</v>
      </c>
      <c r="N132" s="59" t="str">
        <f>IF(ISBLANK(L132)," ",IF(ISTEXT(L132)," ",IF(L132&lt;=Нормативы!$H$126,"КМС",IF(L132&lt;=Нормативы!$H$127,"КМС",IF(L132&lt;=Нормативы!$L$128,"КМС",IF(L132&lt;=Нормативы!$L$129,"I",IF(L132&lt;=Нормативы!$L$130,"II",IF(L132&lt;=Нормативы!$L$131,"III",IF(L132&lt;=Нормативы!$L$132,"I юн",IF(L132&lt;=Нормативы!$L$133,"II юн",IF(L132&lt;=Нормативы!$L$134,"III юн","б/р")))))))))))</f>
        <v>I юн</v>
      </c>
      <c r="O132" s="59"/>
      <c r="Q132" s="59" t="str">
        <f t="shared" ref="Q132" si="105">IF(ISBLANK(P132)," ",IF(ISTEXT(P132)," ",IF(P132&lt;=$H$126,"МСМК",IF(P132&lt;=$H$127,"МС",IF(P132&lt;=$H$128,"КМС",IF(P132&lt;=$H$129,"I",IF(P132&lt;=$H$130,"II",IF(P132&lt;=$H$131,"III",IF(P132&lt;=$H$132,"I юн",IF(P132&lt;=$H$133,"II юн",IF(P132&lt;=$H$134,"III юн","б/р")))))))))))</f>
        <v xml:space="preserve"> </v>
      </c>
    </row>
    <row r="133" spans="3:17" x14ac:dyDescent="0.3">
      <c r="C133" s="43"/>
      <c r="D133" s="43"/>
      <c r="E133" s="43"/>
      <c r="F133" s="43"/>
      <c r="G133" s="43"/>
      <c r="H133" s="71">
        <v>240.2</v>
      </c>
      <c r="I133" s="59" t="str">
        <f>IF(ISBLANK(H133)," ",IF(ISTEXT(H133)," ",IF(H133&lt;=Нормативы!$H$126,"МСМК",IF(H133&lt;=Нормативы!$H$127,"МС",IF(H133&lt;=Нормативы!$H$128,"КМС",IF(H133&lt;=Нормативы!$H$129,"I",IF(H133&lt;=Нормативы!$H$130,"II",IF(H133&lt;=Нормативы!$H$131,"III",IF(H133&lt;=Нормативы!$H$132,"I юн",IF(H133&lt;=Нормативы!$H$133,"II юн",IF(H133&lt;=Нормативы!$H$134,"III юн","б/р")))))))))))</f>
        <v>II юн</v>
      </c>
      <c r="J133" s="59" t="str">
        <f>IF(ISBLANK(H133)," ",IF(ISTEXT(H133)," ",IF(H133&lt;=Нормативы!$H$126,"МСМК",IF(H133&lt;=Нормативы!$H$127,"МС",IF(H133&lt;=Нормативы!$H$128,"КМС",IF(H133&lt;=Нормативы!$H$129,"I",IF(H133&lt;=Нормативы!$H$130,"II",IF(H133&lt;=Нормативы!$H$131,"III",IF(H133&lt;=Нормативы!$H$132,"I юн",IF(H133&lt;=Нормативы!$H$133,"II юн",IF(H133&lt;=Нормативы!$H$134,"III юн","б/р")))))))))))</f>
        <v>II юн</v>
      </c>
      <c r="K133" s="90"/>
      <c r="L133" s="74">
        <f t="shared" si="100"/>
        <v>240</v>
      </c>
      <c r="M133" s="59" t="str">
        <f>IF(ISBLANK(L133)," ",IF(ISTEXT(L133)," ",IF(L133&lt;=Нормативы!$H$126,"КМС",IF(L133&lt;=Нормативы!$H$127,"КМС",IF(L133&lt;=Нормативы!$L$128,"КМС",IF(L133&lt;=Нормативы!$L$129,"I",IF(L133&lt;=Нормативы!$L$130,"II",IF(L133&lt;=Нормативы!$L$131,"III",IF(L133&lt;=Нормативы!$L$132,"I юн",IF(L133&lt;=Нормативы!$L$133,"II юн",IF(L133&lt;=Нормативы!$L$134,"III юн","б/р")))))))))))</f>
        <v>II юн</v>
      </c>
      <c r="N133" s="59" t="str">
        <f>IF(ISBLANK(L133)," ",IF(ISTEXT(L133)," ",IF(L133&lt;=Нормативы!$H$126,"КМС",IF(L133&lt;=Нормативы!$H$127,"КМС",IF(L133&lt;=Нормативы!$L$128,"КМС",IF(L133&lt;=Нормативы!$L$129,"I",IF(L133&lt;=Нормативы!$L$130,"II",IF(L133&lt;=Нормативы!$L$131,"III",IF(L133&lt;=Нормативы!$L$132,"I юн",IF(L133&lt;=Нормативы!$L$133,"II юн",IF(L133&lt;=Нормативы!$L$134,"III юн","б/р")))))))))))</f>
        <v>II юн</v>
      </c>
      <c r="O133" s="59"/>
      <c r="Q133" s="59" t="str">
        <f t="shared" ref="Q133" si="106">IF(ISBLANK(P133)," ",IF(ISTEXT(P133)," ",IF(P133&lt;=$H$126,"МСМК",IF(P133&lt;=$H$127,"МС",IF(P133&lt;=$H$128,"КМС",IF(P133&lt;=$H$129,"I",IF(P133&lt;=$H$130,"II",IF(P133&lt;=$H$131,"III",IF(P133&lt;=$H$132,"I юн",IF(P133&lt;=$H$133,"II юн",IF(P133&lt;=$H$134,"III юн","б/р")))))))))))</f>
        <v xml:space="preserve"> </v>
      </c>
    </row>
    <row r="134" spans="3:17" x14ac:dyDescent="0.3">
      <c r="C134" s="43"/>
      <c r="D134" s="43"/>
      <c r="E134" s="43"/>
      <c r="F134" s="43"/>
      <c r="G134" s="43"/>
      <c r="H134" s="71">
        <v>250.2</v>
      </c>
      <c r="I134" s="59" t="str">
        <f>IF(ISBLANK(H134)," ",IF(ISTEXT(H134)," ",IF(H134&lt;=Нормативы!$H$126,"МСМК",IF(H134&lt;=Нормативы!$H$127,"МС",IF(H134&lt;=Нормативы!$H$128,"КМС",IF(H134&lt;=Нормативы!$H$129,"I",IF(H134&lt;=Нормативы!$H$130,"II",IF(H134&lt;=Нормативы!$H$131,"III",IF(H134&lt;=Нормативы!$H$132,"I юн",IF(H134&lt;=Нормативы!$H$133,"II юн",IF(H134&lt;=Нормативы!$H$134,"III юн","б/р")))))))))))</f>
        <v>III юн</v>
      </c>
      <c r="J134" s="59" t="str">
        <f>IF(ISBLANK(H134)," ",IF(ISTEXT(H134)," ",IF(H134&lt;=Нормативы!$H$126,"МСМК",IF(H134&lt;=Нормативы!$H$127,"МС",IF(H134&lt;=Нормативы!$H$128,"КМС",IF(H134&lt;=Нормативы!$H$129,"I",IF(H134&lt;=Нормативы!$H$130,"II",IF(H134&lt;=Нормативы!$H$131,"III",IF(H134&lt;=Нормативы!$H$132,"I юн",IF(H134&lt;=Нормативы!$H$133,"II юн",IF(H134&lt;=Нормативы!$H$134,"III юн","б/р")))))))))))</f>
        <v>III юн</v>
      </c>
      <c r="K134" s="90"/>
      <c r="L134" s="74">
        <f t="shared" si="100"/>
        <v>250</v>
      </c>
      <c r="M134" s="59" t="str">
        <f>IF(ISBLANK(L134)," ",IF(ISTEXT(L134)," ",IF(L134&lt;=Нормативы!$H$126,"КМС",IF(L134&lt;=Нормативы!$H$127,"КМС",IF(L134&lt;=Нормативы!$L$128,"КМС",IF(L134&lt;=Нормативы!$L$129,"I",IF(L134&lt;=Нормативы!$L$130,"II",IF(L134&lt;=Нормативы!$L$131,"III",IF(L134&lt;=Нормативы!$L$132,"I юн",IF(L134&lt;=Нормативы!$L$133,"II юн",IF(L134&lt;=Нормативы!$L$134,"III юн","б/р")))))))))))</f>
        <v>III юн</v>
      </c>
      <c r="N134" s="59" t="str">
        <f>IF(ISBLANK(L134)," ",IF(ISTEXT(L134)," ",IF(L134&lt;=Нормативы!$H$126,"КМС",IF(L134&lt;=Нормативы!$H$127,"КМС",IF(L134&lt;=Нормативы!$L$128,"КМС",IF(L134&lt;=Нормативы!$L$129,"I",IF(L134&lt;=Нормативы!$L$130,"II",IF(L134&lt;=Нормативы!$L$131,"III",IF(L134&lt;=Нормативы!$L$132,"I юн",IF(L134&lt;=Нормативы!$L$133,"II юн",IF(L134&lt;=Нормативы!$L$134,"III юн","б/р")))))))))))</f>
        <v>III юн</v>
      </c>
      <c r="O134" s="59"/>
      <c r="Q134" s="59" t="str">
        <f t="shared" ref="Q134" si="107">IF(ISBLANK(P134)," ",IF(ISTEXT(P134)," ",IF(P134&lt;=$H$126,"МСМК",IF(P134&lt;=$H$127,"МС",IF(P134&lt;=$H$128,"КМС",IF(P134&lt;=$H$129,"I",IF(P134&lt;=$H$130,"II",IF(P134&lt;=$H$131,"III",IF(P134&lt;=$H$132,"I юн",IF(P134&lt;=$H$133,"II юн",IF(P134&lt;=$H$134,"III юн","б/р")))))))))))</f>
        <v xml:space="preserve"> </v>
      </c>
    </row>
    <row r="135" spans="3:17" x14ac:dyDescent="0.3">
      <c r="C135" s="43"/>
      <c r="D135" s="43"/>
      <c r="E135" s="43"/>
      <c r="F135" s="43"/>
      <c r="G135" s="43"/>
      <c r="H135" s="71"/>
      <c r="I135" s="59" t="str">
        <f>IF(ISBLANK(H135)," ",IF(ISTEXT(H135)," ",IF(H135&lt;=148.2,"КМС",IF(H135&lt;=156.1,"I",IF(H135&lt;=206,"II",IF(H135&lt;=216.8,"III",IF(H135&lt;=226.6,"I юн",IF(H135&lt;=243.3,"II юн",IF(H135&lt;=257,"III юн","б/р")))))))))</f>
        <v xml:space="preserve"> </v>
      </c>
      <c r="J135" s="59" t="str">
        <f>IF(ISBLANK(H135)," ",IF(ISTEXT(H135)," ",IF(H135&lt;=148.2,"КМС",IF(H135&lt;=156.1,"I",IF(H135&lt;=206,"II",IF(H135&lt;=216.8,"III",IF(H135&lt;=226.6,"I юн",IF(H135&lt;=243.3,"II юн",IF(H135&lt;=257,"III юн","б/р")))))))))</f>
        <v xml:space="preserve"> </v>
      </c>
      <c r="K135" s="90"/>
      <c r="L135" s="43"/>
      <c r="M135" s="59" t="str">
        <f>IF(ISBLANK(L135)," ",IF(ISTEXT(L135)," ",IF(L135&lt;=148.2,"КМС",IF(L135&lt;=156.1,"I",IF(L135&lt;=206,"II",IF(L135&lt;=216.8,"III",IF(L135&lt;=226.6,"I юн",IF(L135&lt;=243.3,"II юн",IF(L135&lt;=257,"III юн","б/р")))))))))</f>
        <v xml:space="preserve"> </v>
      </c>
      <c r="N135" s="59" t="str">
        <f>IF(ISBLANK(L135)," ",IF(ISTEXT(L135)," ",IF(L135&lt;=148.2,"КМС",IF(L135&lt;=156.1,"I",IF(L135&lt;=206,"II",IF(L135&lt;=216.8,"III",IF(L135&lt;=226.6,"I юн",IF(L135&lt;=243.3,"II юн",IF(L135&lt;=257,"III юн","б/р")))))))))</f>
        <v xml:space="preserve"> </v>
      </c>
      <c r="O135" s="59"/>
      <c r="Q135" s="59" t="str">
        <f>IF(ISBLANK(P135)," ",IF(ISTEXT(P135)," ",IF(P135&lt;=148.2,"КМС",IF(P135&lt;=156.1,"I",IF(P135&lt;=206,"II",IF(P135&lt;=216.8,"III",IF(P135&lt;=226.6,"I юн",IF(P135&lt;=243.3,"II юн",IF(P135&lt;=257,"III юн","б/р")))))))))</f>
        <v xml:space="preserve"> </v>
      </c>
    </row>
    <row r="136" spans="3:17" x14ac:dyDescent="0.3">
      <c r="C136" s="68" t="s">
        <v>39</v>
      </c>
      <c r="D136" s="69"/>
      <c r="E136" s="69"/>
      <c r="F136" s="68"/>
      <c r="G136" s="68"/>
      <c r="H136" s="70"/>
      <c r="I136" s="43"/>
      <c r="J136" s="43"/>
      <c r="K136" s="87"/>
      <c r="L136" s="43"/>
      <c r="M136" s="43"/>
      <c r="N136" s="43"/>
      <c r="Q136" s="43"/>
    </row>
    <row r="137" spans="3:17" x14ac:dyDescent="0.3">
      <c r="C137" s="86"/>
      <c r="D137" s="36"/>
      <c r="E137" s="36"/>
      <c r="F137" s="86"/>
      <c r="G137" s="86"/>
      <c r="H137" s="74">
        <v>318</v>
      </c>
      <c r="I137" s="59" t="str">
        <f>IF(ISBLANK(H137)," ",IF(ISTEXT(H137)," ",IF(H137&lt;=Нормативы!$H$137,"МСМК",IF(H137&lt;=Нормативы!$H$138,"МС",IF(H137&lt;=Нормативы!$H$139,"КМС",IF(H137&lt;=Нормативы!$H$140,"I",IF(H137&lt;=Нормативы!$H$141,"II",IF(H137&lt;=Нормативы!$H$142,"III",IF(H137&lt;=Нормативы!$H$143,"I юн",IF(H137&lt;=Нормативы!$H$144,"II юн",IF(H137&lt;=Нормативы!$H$145,"III юн","б/р")))))))))))</f>
        <v>МСМК</v>
      </c>
      <c r="J137" s="59" t="str">
        <f>IF(ISBLANK(H137)," ",IF(ISTEXT(H137)," ",IF(H137&lt;=Нормативы!$H$137,"МСМК",IF(H137&lt;=Нормативы!$H$138,"МС",IF(H137&lt;=Нормативы!$H$139,"КМС",IF(H137&lt;=Нормативы!$H$140,"I",IF(H137&lt;=Нормативы!$H$141,"II",IF(H137&lt;=Нормативы!$H$142,"III",IF(H137&lt;=Нормативы!$H$143,"I юн",IF(H137&lt;=Нормативы!$H$144,"II юн",IF(H137&lt;=Нормативы!$H$145,"III юн","б/р")))))))))))</f>
        <v>МСМК</v>
      </c>
      <c r="K137" s="75"/>
      <c r="L137" s="74"/>
      <c r="M137" s="59" t="str">
        <f>IF(ISBLANK(L137)," ",IF(ISTEXT(L137)," ",IF(L137&lt;=Нормативы!$H$137,"КМС",IF(L137&lt;=Нормативы!$H$138,"КМС",IF(L137&lt;=Нормативы!$L$139,"КМС",IF(L137&lt;=Нормативы!$L$140,"I",IF(L137&lt;=Нормативы!$L$141,"II",IF(L137&lt;=Нормативы!$L$142,"III",IF(L137&lt;=Нормативы!$L$143,"I юн",IF(L137&lt;=Нормативы!$L$144,"II юн",IF(L137&lt;=Нормативы!$L$145,"III юн","б/р")))))))))))</f>
        <v xml:space="preserve"> </v>
      </c>
      <c r="N137" s="59" t="str">
        <f>IF(ISBLANK(L137)," ",IF(ISTEXT(L137)," ",IF(L137&lt;=318.2,"МСМК",IF(L137&lt;=328.6,"МС",IF(L137&lt;=338.6,"КМС",IF(L137&lt;=355.2,"I",IF(L137&lt;=413.4,"II",IF(L137&lt;=433,"III",IF(L137&lt;=500,"I юн",IF(L137&lt;=530,"II юн",IF(L137&lt;=555,"III юн","б/р")))))))))))</f>
        <v xml:space="preserve"> </v>
      </c>
      <c r="Q137" s="59" t="str">
        <f>IF(ISBLANK(P137)," ",IF(ISTEXT(P137)," ",IF(P137&lt;=$H$137,"МСМК",IF(P137&lt;=$H$138,"МС",IF(P137&lt;=$H$139,"КМС",IF(P137&lt;=$H$140,"I",IF(P137&lt;=$H$141,"II",IF(P137&lt;=$H$142,"III",IF(P137&lt;=$H$143,"I юн",IF(P137&lt;=$H$144,"II юн",IF(P137&lt;=$H$145,"III юн","б/р")))))))))))</f>
        <v xml:space="preserve"> </v>
      </c>
    </row>
    <row r="138" spans="3:17" x14ac:dyDescent="0.3">
      <c r="C138" s="86"/>
      <c r="D138" s="36"/>
      <c r="E138" s="36"/>
      <c r="F138" s="86"/>
      <c r="G138" s="86"/>
      <c r="H138" s="74">
        <v>325.60000000000002</v>
      </c>
      <c r="I138" s="59" t="str">
        <f>IF(ISBLANK(H138)," ",IF(ISTEXT(H138)," ",IF(H138&lt;=Нормативы!$H$137,"МСМК",IF(H138&lt;=Нормативы!$H$138,"МС",IF(H138&lt;=Нормативы!$H$139,"КМС",IF(H138&lt;=Нормативы!$H$140,"I",IF(H138&lt;=Нормативы!$H$141,"II",IF(H138&lt;=Нормативы!$H$142,"III",IF(H138&lt;=Нормативы!$H$143,"I юн",IF(H138&lt;=Нормативы!$H$144,"II юн",IF(H138&lt;=Нормативы!$H$145,"III юн","б/р")))))))))))</f>
        <v>МС</v>
      </c>
      <c r="J138" s="59" t="str">
        <f>IF(ISBLANK(H138)," ",IF(ISTEXT(H138)," ",IF(H138&lt;=Нормативы!$H$137,"МСМК",IF(H138&lt;=Нормативы!$H$138,"МС",IF(H138&lt;=Нормативы!$H$139,"КМС",IF(H138&lt;=Нормативы!$H$140,"I",IF(H138&lt;=Нормативы!$H$141,"II",IF(H138&lt;=Нормативы!$H$142,"III",IF(H138&lt;=Нормативы!$H$143,"I юн",IF(H138&lt;=Нормативы!$H$144,"II юн",IF(H138&lt;=Нормативы!$H$145,"III юн","б/р")))))))))))</f>
        <v>МС</v>
      </c>
      <c r="K138" s="75"/>
      <c r="L138" s="74"/>
      <c r="M138" s="59" t="str">
        <f>IF(ISBLANK(L138)," ",IF(ISTEXT(L138)," ",IF(L138&lt;=Нормативы!$H$137,"КМС",IF(L138&lt;=Нормативы!$H$138,"КМС",IF(L138&lt;=Нормативы!$L$139,"КМС",IF(L138&lt;=Нормативы!$L$140,"I",IF(L138&lt;=Нормативы!$L$141,"II",IF(L138&lt;=Нормативы!$L$142,"III",IF(L138&lt;=Нормативы!$L$143,"I юн",IF(L138&lt;=Нормативы!$L$144,"II юн",IF(L138&lt;=Нормативы!$L$145,"III юн","б/р")))))))))))</f>
        <v xml:space="preserve"> </v>
      </c>
      <c r="N138" s="59" t="str">
        <f>IF(ISBLANK(L138)," ",IF(ISTEXT(L138)," ",IF(L138&lt;=318.2,"МСМК",IF(L138&lt;=328.6,"МС",IF(L138&lt;=338.6,"КМС",IF(L138&lt;=355.2,"I",IF(L138&lt;=413.4,"II",IF(L138&lt;=433,"III",IF(L138&lt;=500,"I юн",IF(L138&lt;=530,"II юн",IF(L138&lt;=555,"III юн","б/р")))))))))))</f>
        <v xml:space="preserve"> </v>
      </c>
      <c r="Q138" s="59" t="str">
        <f t="shared" ref="Q138" si="108">IF(ISBLANK(P138)," ",IF(ISTEXT(P138)," ",IF(P138&lt;=$H$137,"МСМК",IF(P138&lt;=$H$138,"МС",IF(P138&lt;=$H$139,"КМС",IF(P138&lt;=$H$140,"I",IF(P138&lt;=$H$141,"II",IF(P138&lt;=$H$142,"III",IF(P138&lt;=$H$143,"I юн",IF(P138&lt;=$H$144,"II юн",IF(P138&lt;=$H$145,"III юн","б/р")))))))))))</f>
        <v xml:space="preserve"> </v>
      </c>
    </row>
    <row r="139" spans="3:17" x14ac:dyDescent="0.3">
      <c r="C139" s="86"/>
      <c r="D139" s="36"/>
      <c r="E139" s="36"/>
      <c r="F139" s="86"/>
      <c r="G139" s="86"/>
      <c r="H139" s="74">
        <v>337.2</v>
      </c>
      <c r="I139" s="59" t="str">
        <f>IF(ISBLANK(H139)," ",IF(ISTEXT(H139)," ",IF(H139&lt;=Нормативы!$H$137,"МСМК",IF(H139&lt;=Нормативы!$H$138,"МС",IF(H139&lt;=Нормативы!$H$139,"КМС",IF(H139&lt;=Нормативы!$H$140,"I",IF(H139&lt;=Нормативы!$H$141,"II",IF(H139&lt;=Нормативы!$H$142,"III",IF(H139&lt;=Нормативы!$H$143,"I юн",IF(H139&lt;=Нормативы!$H$144,"II юн",IF(H139&lt;=Нормативы!$H$145,"III юн","б/р")))))))))))</f>
        <v>КМС</v>
      </c>
      <c r="J139" s="59" t="str">
        <f>IF(ISBLANK(H139)," ",IF(ISTEXT(H139)," ",IF(H139&lt;=Нормативы!$H$137,"МСМК",IF(H139&lt;=Нормативы!$H$138,"МС",IF(H139&lt;=Нормативы!$H$139,"КМС",IF(H139&lt;=Нормативы!$H$140,"I",IF(H139&lt;=Нормативы!$H$141,"II",IF(H139&lt;=Нормативы!$H$142,"III",IF(H139&lt;=Нормативы!$H$143,"I юн",IF(H139&lt;=Нормативы!$H$144,"II юн",IF(H139&lt;=Нормативы!$H$145,"III юн","б/р")))))))))))</f>
        <v>КМС</v>
      </c>
      <c r="K139" s="75"/>
      <c r="L139" s="74">
        <f t="shared" ref="L139:L145" si="109">H139-0.2</f>
        <v>337</v>
      </c>
      <c r="M139" s="59" t="str">
        <f>IF(ISBLANK(L139)," ",IF(ISTEXT(L139)," ",IF(L139&lt;=Нормативы!$H$137,"КМС",IF(L139&lt;=Нормативы!$H$138,"КМС",IF(L139&lt;=Нормативы!$L$139,"КМС",IF(L139&lt;=Нормативы!$L$140,"I",IF(L139&lt;=Нормативы!$L$141,"II",IF(L139&lt;=Нормативы!$L$142,"III",IF(L139&lt;=Нормативы!$L$143,"I юн",IF(L139&lt;=Нормативы!$L$144,"II юн",IF(L139&lt;=Нормативы!$L$145,"III юн","б/р")))))))))))</f>
        <v>КМС</v>
      </c>
      <c r="N139" s="59" t="str">
        <f>IF(ISBLANK(L139)," ",IF(ISTEXT(L139)," ",IF(L139&lt;=Нормативы!$H$137,"КМС",IF(L139&lt;=Нормативы!$H$138,"КМС",IF(L139&lt;=Нормативы!$L$139,"КМС",IF(L139&lt;=Нормативы!$L$140,"I",IF(L139&lt;=Нормативы!$L$141,"II",IF(L139&lt;=Нормативы!$L$142,"III",IF(L139&lt;=Нормативы!$L$143,"I юн",IF(L139&lt;=Нормативы!$L$144,"II юн",IF(L139&lt;=Нормативы!$L$145,"III юн","б/р")))))))))))</f>
        <v>КМС</v>
      </c>
      <c r="Q139" s="59" t="str">
        <f t="shared" ref="Q139" si="110">IF(ISBLANK(P139)," ",IF(ISTEXT(P139)," ",IF(P139&lt;=$H$137,"МСМК",IF(P139&lt;=$H$138,"МС",IF(P139&lt;=$H$139,"КМС",IF(P139&lt;=$H$140,"I",IF(P139&lt;=$H$141,"II",IF(P139&lt;=$H$142,"III",IF(P139&lt;=$H$143,"I юн",IF(P139&lt;=$H$144,"II юн",IF(P139&lt;=$H$145,"III юн","б/р")))))))))))</f>
        <v xml:space="preserve"> </v>
      </c>
    </row>
    <row r="140" spans="3:17" x14ac:dyDescent="0.3">
      <c r="C140" s="86"/>
      <c r="D140" s="36"/>
      <c r="E140" s="36"/>
      <c r="F140" s="86"/>
      <c r="G140" s="86"/>
      <c r="H140" s="74">
        <v>353.2</v>
      </c>
      <c r="I140" s="59" t="str">
        <f>IF(ISBLANK(H140)," ",IF(ISTEXT(H140)," ",IF(H140&lt;=Нормативы!$H$137,"МСМК",IF(H140&lt;=Нормативы!$H$138,"МС",IF(H140&lt;=Нормативы!$H$139,"КМС",IF(H140&lt;=Нормативы!$H$140,"I",IF(H140&lt;=Нормативы!$H$141,"II",IF(H140&lt;=Нормативы!$H$142,"III",IF(H140&lt;=Нормативы!$H$143,"I юн",IF(H140&lt;=Нормативы!$H$144,"II юн",IF(H140&lt;=Нормативы!$H$145,"III юн","б/р")))))))))))</f>
        <v>I</v>
      </c>
      <c r="J140" s="59" t="str">
        <f>IF(ISBLANK(H140)," ",IF(ISTEXT(H140)," ",IF(H140&lt;=Нормативы!$H$137,"МСМК",IF(H140&lt;=Нормативы!$H$138,"МС",IF(H140&lt;=Нормативы!$H$139,"КМС",IF(H140&lt;=Нормативы!$H$140,"I",IF(H140&lt;=Нормативы!$H$141,"II",IF(H140&lt;=Нормативы!$H$142,"III",IF(H140&lt;=Нормативы!$H$143,"I юн",IF(H140&lt;=Нормативы!$H$144,"II юн",IF(H140&lt;=Нормативы!$H$145,"III юн","б/р")))))))))))</f>
        <v>I</v>
      </c>
      <c r="K140" s="75"/>
      <c r="L140" s="74">
        <f t="shared" si="109"/>
        <v>353</v>
      </c>
      <c r="M140" s="59" t="str">
        <f>IF(ISBLANK(L140)," ",IF(ISTEXT(L140)," ",IF(L140&lt;=Нормативы!$H$137,"КМС",IF(L140&lt;=Нормативы!$H$138,"КМС",IF(L140&lt;=Нормативы!$L$139,"КМС",IF(L140&lt;=Нормативы!$L$140,"I",IF(L140&lt;=Нормативы!$L$141,"II",IF(L140&lt;=Нормативы!$L$142,"III",IF(L140&lt;=Нормативы!$L$143,"I юн",IF(L140&lt;=Нормативы!$L$144,"II юн",IF(L140&lt;=Нормативы!$L$145,"III юн","б/р")))))))))))</f>
        <v>I</v>
      </c>
      <c r="N140" s="59" t="str">
        <f>IF(ISBLANK(L140)," ",IF(ISTEXT(L140)," ",IF(L140&lt;=Нормативы!$H$137,"КМС",IF(L140&lt;=Нормативы!$H$138,"КМС",IF(L140&lt;=Нормативы!$L$139,"КМС",IF(L140&lt;=Нормативы!$L$140,"I",IF(L140&lt;=Нормативы!$L$141,"II",IF(L140&lt;=Нормативы!$L$142,"III",IF(L140&lt;=Нормативы!$L$143,"I юн",IF(L140&lt;=Нормативы!$L$144,"II юн",IF(L140&lt;=Нормативы!$L$145,"III юн","б/р")))))))))))</f>
        <v>I</v>
      </c>
      <c r="Q140" s="59" t="str">
        <f t="shared" ref="Q140" si="111">IF(ISBLANK(P140)," ",IF(ISTEXT(P140)," ",IF(P140&lt;=$H$137,"МСМК",IF(P140&lt;=$H$138,"МС",IF(P140&lt;=$H$139,"КМС",IF(P140&lt;=$H$140,"I",IF(P140&lt;=$H$141,"II",IF(P140&lt;=$H$142,"III",IF(P140&lt;=$H$143,"I юн",IF(P140&lt;=$H$144,"II юн",IF(P140&lt;=$H$145,"III юн","б/р")))))))))))</f>
        <v xml:space="preserve"> </v>
      </c>
    </row>
    <row r="141" spans="3:17" x14ac:dyDescent="0.3">
      <c r="C141" s="86"/>
      <c r="D141" s="36"/>
      <c r="E141" s="36"/>
      <c r="F141" s="86"/>
      <c r="G141" s="86"/>
      <c r="H141" s="74">
        <v>410.2</v>
      </c>
      <c r="I141" s="59" t="str">
        <f>IF(ISBLANK(H141)," ",IF(ISTEXT(H141)," ",IF(H141&lt;=Нормативы!$H$137,"МСМК",IF(H141&lt;=Нормативы!$H$138,"МС",IF(H141&lt;=Нормативы!$H$139,"КМС",IF(H141&lt;=Нормативы!$H$140,"I",IF(H141&lt;=Нормативы!$H$141,"II",IF(H141&lt;=Нормативы!$H$142,"III",IF(H141&lt;=Нормативы!$H$143,"I юн",IF(H141&lt;=Нормативы!$H$144,"II юн",IF(H141&lt;=Нормативы!$H$145,"III юн","б/р")))))))))))</f>
        <v>II</v>
      </c>
      <c r="J141" s="59" t="str">
        <f>IF(ISBLANK(H141)," ",IF(ISTEXT(H141)," ",IF(H141&lt;=Нормативы!$H$137,"МСМК",IF(H141&lt;=Нормативы!$H$138,"МС",IF(H141&lt;=Нормативы!$H$139,"КМС",IF(H141&lt;=Нормативы!$H$140,"I",IF(H141&lt;=Нормативы!$H$141,"II",IF(H141&lt;=Нормативы!$H$142,"III",IF(H141&lt;=Нормативы!$H$143,"I юн",IF(H141&lt;=Нормативы!$H$144,"II юн",IF(H141&lt;=Нормативы!$H$145,"III юн","б/р")))))))))))</f>
        <v>II</v>
      </c>
      <c r="K141" s="75"/>
      <c r="L141" s="74">
        <f t="shared" si="109"/>
        <v>410</v>
      </c>
      <c r="M141" s="59" t="str">
        <f>IF(ISBLANK(L141)," ",IF(ISTEXT(L141)," ",IF(L141&lt;=Нормативы!$H$137,"КМС",IF(L141&lt;=Нормативы!$H$138,"КМС",IF(L141&lt;=Нормативы!$L$139,"КМС",IF(L141&lt;=Нормативы!$L$140,"I",IF(L141&lt;=Нормативы!$L$141,"II",IF(L141&lt;=Нормативы!$L$142,"III",IF(L141&lt;=Нормативы!$L$143,"I юн",IF(L141&lt;=Нормативы!$L$144,"II юн",IF(L141&lt;=Нормативы!$L$145,"III юн","б/р")))))))))))</f>
        <v>II</v>
      </c>
      <c r="N141" s="59" t="str">
        <f>IF(ISBLANK(L141)," ",IF(ISTEXT(L141)," ",IF(L141&lt;=Нормативы!$H$137,"КМС",IF(L141&lt;=Нормативы!$H$138,"КМС",IF(L141&lt;=Нормативы!$L$139,"КМС",IF(L141&lt;=Нормативы!$L$140,"I",IF(L141&lt;=Нормативы!$L$141,"II",IF(L141&lt;=Нормативы!$L$142,"III",IF(L141&lt;=Нормативы!$L$143,"I юн",IF(L141&lt;=Нормативы!$L$144,"II юн",IF(L141&lt;=Нормативы!$L$145,"III юн","б/р")))))))))))</f>
        <v>II</v>
      </c>
      <c r="Q141" s="59" t="str">
        <f t="shared" ref="Q141" si="112">IF(ISBLANK(P141)," ",IF(ISTEXT(P141)," ",IF(P141&lt;=$H$137,"МСМК",IF(P141&lt;=$H$138,"МС",IF(P141&lt;=$H$139,"КМС",IF(P141&lt;=$H$140,"I",IF(P141&lt;=$H$141,"II",IF(P141&lt;=$H$142,"III",IF(P141&lt;=$H$143,"I юн",IF(P141&lt;=$H$144,"II юн",IF(P141&lt;=$H$145,"III юн","б/р")))))))))))</f>
        <v xml:space="preserve"> </v>
      </c>
    </row>
    <row r="142" spans="3:17" x14ac:dyDescent="0.3">
      <c r="C142" s="86"/>
      <c r="D142" s="36"/>
      <c r="E142" s="36"/>
      <c r="F142" s="86"/>
      <c r="G142" s="86"/>
      <c r="H142" s="74">
        <v>430.2</v>
      </c>
      <c r="I142" s="59" t="str">
        <f>IF(ISBLANK(H142)," ",IF(ISTEXT(H142)," ",IF(H142&lt;=Нормативы!$H$137,"МСМК",IF(H142&lt;=Нормативы!$H$138,"МС",IF(H142&lt;=Нормативы!$H$139,"КМС",IF(H142&lt;=Нормативы!$H$140,"I",IF(H142&lt;=Нормативы!$H$141,"II",IF(H142&lt;=Нормативы!$H$142,"III",IF(H142&lt;=Нормативы!$H$143,"I юн",IF(H142&lt;=Нормативы!$H$144,"II юн",IF(H142&lt;=Нормативы!$H$145,"III юн","б/р")))))))))))</f>
        <v>III</v>
      </c>
      <c r="J142" s="59" t="str">
        <f>IF(ISBLANK(H142)," ",IF(ISTEXT(H142)," ",IF(H142&lt;=Нормативы!$H$137,"МСМК",IF(H142&lt;=Нормативы!$H$138,"МС",IF(H142&lt;=Нормативы!$H$139,"КМС",IF(H142&lt;=Нормативы!$H$140,"I",IF(H142&lt;=Нормативы!$H$141,"II",IF(H142&lt;=Нормативы!$H$142,"III",IF(H142&lt;=Нормативы!$H$143,"I юн",IF(H142&lt;=Нормативы!$H$144,"II юн",IF(H142&lt;=Нормативы!$H$145,"III юн","б/р")))))))))))</f>
        <v>III</v>
      </c>
      <c r="K142" s="75"/>
      <c r="L142" s="74">
        <f t="shared" si="109"/>
        <v>430</v>
      </c>
      <c r="M142" s="59" t="str">
        <f>IF(ISBLANK(L142)," ",IF(ISTEXT(L142)," ",IF(L142&lt;=Нормативы!$H$137,"КМС",IF(L142&lt;=Нормативы!$H$138,"КМС",IF(L142&lt;=Нормативы!$L$139,"КМС",IF(L142&lt;=Нормативы!$L$140,"I",IF(L142&lt;=Нормативы!$L$141,"II",IF(L142&lt;=Нормативы!$L$142,"III",IF(L142&lt;=Нормативы!$L$143,"I юн",IF(L142&lt;=Нормативы!$L$144,"II юн",IF(L142&lt;=Нормативы!$L$145,"III юн","б/р")))))))))))</f>
        <v>III</v>
      </c>
      <c r="N142" s="59" t="str">
        <f>IF(ISBLANK(L142)," ",IF(ISTEXT(L142)," ",IF(L142&lt;=Нормативы!$H$137,"КМС",IF(L142&lt;=Нормативы!$H$138,"КМС",IF(L142&lt;=Нормативы!$L$139,"КМС",IF(L142&lt;=Нормативы!$L$140,"I",IF(L142&lt;=Нормативы!$L$141,"II",IF(L142&lt;=Нормативы!$L$142,"III",IF(L142&lt;=Нормативы!$L$143,"I юн",IF(L142&lt;=Нормативы!$L$144,"II юн",IF(L142&lt;=Нормативы!$L$145,"III юн","б/р")))))))))))</f>
        <v>III</v>
      </c>
      <c r="Q142" s="59" t="str">
        <f t="shared" ref="Q142" si="113">IF(ISBLANK(P142)," ",IF(ISTEXT(P142)," ",IF(P142&lt;=$H$137,"МСМК",IF(P142&lt;=$H$138,"МС",IF(P142&lt;=$H$139,"КМС",IF(P142&lt;=$H$140,"I",IF(P142&lt;=$H$141,"II",IF(P142&lt;=$H$142,"III",IF(P142&lt;=$H$143,"I юн",IF(P142&lt;=$H$144,"II юн",IF(P142&lt;=$H$145,"III юн","б/р")))))))))))</f>
        <v xml:space="preserve"> </v>
      </c>
    </row>
    <row r="143" spans="3:17" x14ac:dyDescent="0.3">
      <c r="C143" s="86"/>
      <c r="D143" s="36"/>
      <c r="E143" s="36"/>
      <c r="F143" s="86"/>
      <c r="G143" s="86"/>
      <c r="H143" s="74">
        <v>457.2</v>
      </c>
      <c r="I143" s="59" t="str">
        <f>IF(ISBLANK(H143)," ",IF(ISTEXT(H143)," ",IF(H143&lt;=Нормативы!$H$137,"МСМК",IF(H143&lt;=Нормативы!$H$138,"МС",IF(H143&lt;=Нормативы!$H$139,"КМС",IF(H143&lt;=Нормативы!$H$140,"I",IF(H143&lt;=Нормативы!$H$141,"II",IF(H143&lt;=Нормативы!$H$142,"III",IF(H143&lt;=Нормативы!$H$143,"I юн",IF(H143&lt;=Нормативы!$H$144,"II юн",IF(H143&lt;=Нормативы!$H$145,"III юн","б/р")))))))))))</f>
        <v>I юн</v>
      </c>
      <c r="J143" s="59" t="str">
        <f>IF(ISBLANK(H143)," ",IF(ISTEXT(H143)," ",IF(H143&lt;=Нормативы!$H$137,"МСМК",IF(H143&lt;=Нормативы!$H$138,"МС",IF(H143&lt;=Нормативы!$H$139,"КМС",IF(H143&lt;=Нормативы!$H$140,"I",IF(H143&lt;=Нормативы!$H$141,"II",IF(H143&lt;=Нормативы!$H$142,"III",IF(H143&lt;=Нормативы!$H$143,"I юн",IF(H143&lt;=Нормативы!$H$144,"II юн",IF(H143&lt;=Нормативы!$H$145,"III юн","б/р")))))))))))</f>
        <v>I юн</v>
      </c>
      <c r="K143" s="75"/>
      <c r="L143" s="74">
        <f t="shared" si="109"/>
        <v>457</v>
      </c>
      <c r="M143" s="59" t="str">
        <f>IF(ISBLANK(L143)," ",IF(ISTEXT(L143)," ",IF(L143&lt;=Нормативы!$H$137,"КМС",IF(L143&lt;=Нормативы!$H$138,"КМС",IF(L143&lt;=Нормативы!$L$139,"КМС",IF(L143&lt;=Нормативы!$L$140,"I",IF(L143&lt;=Нормативы!$L$141,"II",IF(L143&lt;=Нормативы!$L$142,"III",IF(L143&lt;=Нормативы!$L$143,"I юн",IF(L143&lt;=Нормативы!$L$144,"II юн",IF(L143&lt;=Нормативы!$L$145,"III юн","б/р")))))))))))</f>
        <v>I юн</v>
      </c>
      <c r="N143" s="59" t="str">
        <f>IF(ISBLANK(L143)," ",IF(ISTEXT(L143)," ",IF(L143&lt;=Нормативы!$H$137,"КМС",IF(L143&lt;=Нормативы!$H$138,"КМС",IF(L143&lt;=Нормативы!$L$139,"КМС",IF(L143&lt;=Нормативы!$L$140,"I",IF(L143&lt;=Нормативы!$L$141,"II",IF(L143&lt;=Нормативы!$L$142,"III",IF(L143&lt;=Нормативы!$L$143,"I юн",IF(L143&lt;=Нормативы!$L$144,"II юн",IF(L143&lt;=Нормативы!$L$145,"III юн","б/р")))))))))))</f>
        <v>I юн</v>
      </c>
      <c r="Q143" s="59" t="str">
        <f t="shared" ref="Q143" si="114">IF(ISBLANK(P143)," ",IF(ISTEXT(P143)," ",IF(P143&lt;=$H$137,"МСМК",IF(P143&lt;=$H$138,"МС",IF(P143&lt;=$H$139,"КМС",IF(P143&lt;=$H$140,"I",IF(P143&lt;=$H$141,"II",IF(P143&lt;=$H$142,"III",IF(P143&lt;=$H$143,"I юн",IF(P143&lt;=$H$144,"II юн",IF(P143&lt;=$H$145,"III юн","б/р")))))))))))</f>
        <v xml:space="preserve"> </v>
      </c>
    </row>
    <row r="144" spans="3:17" x14ac:dyDescent="0.3">
      <c r="C144" s="86"/>
      <c r="D144" s="36"/>
      <c r="E144" s="36"/>
      <c r="F144" s="86"/>
      <c r="G144" s="86"/>
      <c r="H144" s="74">
        <v>526.20000000000005</v>
      </c>
      <c r="I144" s="59" t="str">
        <f>IF(ISBLANK(H144)," ",IF(ISTEXT(H144)," ",IF(H144&lt;=Нормативы!$H$137,"МСМК",IF(H144&lt;=Нормативы!$H$138,"МС",IF(H144&lt;=Нормативы!$H$139,"КМС",IF(H144&lt;=Нормативы!$H$140,"I",IF(H144&lt;=Нормативы!$H$141,"II",IF(H144&lt;=Нормативы!$H$142,"III",IF(H144&lt;=Нормативы!$H$143,"I юн",IF(H144&lt;=Нормативы!$H$144,"II юн",IF(H144&lt;=Нормативы!$H$145,"III юн","б/р")))))))))))</f>
        <v>II юн</v>
      </c>
      <c r="J144" s="59" t="str">
        <f>IF(ISBLANK(H144)," ",IF(ISTEXT(H144)," ",IF(H144&lt;=Нормативы!$H$137,"МСМК",IF(H144&lt;=Нормативы!$H$138,"МС",IF(H144&lt;=Нормативы!$H$139,"КМС",IF(H144&lt;=Нормативы!$H$140,"I",IF(H144&lt;=Нормативы!$H$141,"II",IF(H144&lt;=Нормативы!$H$142,"III",IF(H144&lt;=Нормативы!$H$143,"I юн",IF(H144&lt;=Нормативы!$H$144,"II юн",IF(H144&lt;=Нормативы!$H$145,"III юн","б/р")))))))))))</f>
        <v>II юн</v>
      </c>
      <c r="K144" s="75"/>
      <c r="L144" s="74">
        <f t="shared" si="109"/>
        <v>526</v>
      </c>
      <c r="M144" s="59" t="str">
        <f>IF(ISBLANK(L144)," ",IF(ISTEXT(L144)," ",IF(L144&lt;=Нормативы!$H$137,"КМС",IF(L144&lt;=Нормативы!$H$138,"КМС",IF(L144&lt;=Нормативы!$L$139,"КМС",IF(L144&lt;=Нормативы!$L$140,"I",IF(L144&lt;=Нормативы!$L$141,"II",IF(L144&lt;=Нормативы!$L$142,"III",IF(L144&lt;=Нормативы!$L$143,"I юн",IF(L144&lt;=Нормативы!$L$144,"II юн",IF(L144&lt;=Нормативы!$L$145,"III юн","б/р")))))))))))</f>
        <v>II юн</v>
      </c>
      <c r="N144" s="59" t="str">
        <f>IF(ISBLANK(L144)," ",IF(ISTEXT(L144)," ",IF(L144&lt;=Нормативы!$H$137,"КМС",IF(L144&lt;=Нормативы!$H$138,"КМС",IF(L144&lt;=Нормативы!$L$139,"КМС",IF(L144&lt;=Нормативы!$L$140,"I",IF(L144&lt;=Нормативы!$L$141,"II",IF(L144&lt;=Нормативы!$L$142,"III",IF(L144&lt;=Нормативы!$L$143,"I юн",IF(L144&lt;=Нормативы!$L$144,"II юн",IF(L144&lt;=Нормативы!$L$145,"III юн","б/р")))))))))))</f>
        <v>II юн</v>
      </c>
      <c r="Q144" s="59" t="str">
        <f t="shared" ref="Q144" si="115">IF(ISBLANK(P144)," ",IF(ISTEXT(P144)," ",IF(P144&lt;=$H$137,"МСМК",IF(P144&lt;=$H$138,"МС",IF(P144&lt;=$H$139,"КМС",IF(P144&lt;=$H$140,"I",IF(P144&lt;=$H$141,"II",IF(P144&lt;=$H$142,"III",IF(P144&lt;=$H$143,"I юн",IF(P144&lt;=$H$144,"II юн",IF(P144&lt;=$H$145,"III юн","б/р")))))))))))</f>
        <v xml:space="preserve"> </v>
      </c>
    </row>
    <row r="145" spans="3:33" x14ac:dyDescent="0.3">
      <c r="C145" s="86"/>
      <c r="D145" s="36"/>
      <c r="E145" s="36"/>
      <c r="F145" s="86"/>
      <c r="G145" s="86"/>
      <c r="H145" s="74">
        <v>550.20000000000005</v>
      </c>
      <c r="I145" s="59" t="str">
        <f>IF(ISBLANK(H145)," ",IF(ISTEXT(H145)," ",IF(H145&lt;=Нормативы!$H$137,"МСМК",IF(H145&lt;=Нормативы!$H$138,"МС",IF(H145&lt;=Нормативы!$H$139,"КМС",IF(H145&lt;=Нормативы!$H$140,"I",IF(H145&lt;=Нормативы!$H$141,"II",IF(H145&lt;=Нормативы!$H$142,"III",IF(H145&lt;=Нормативы!$H$143,"I юн",IF(H145&lt;=Нормативы!$H$144,"II юн",IF(H145&lt;=Нормативы!$H$145,"III юн","б/р")))))))))))</f>
        <v>III юн</v>
      </c>
      <c r="J145" s="59" t="str">
        <f>IF(ISBLANK(H145)," ",IF(ISTEXT(H145)," ",IF(H145&lt;=Нормативы!$H$137,"МСМК",IF(H145&lt;=Нормативы!$H$138,"МС",IF(H145&lt;=Нормативы!$H$139,"КМС",IF(H145&lt;=Нормативы!$H$140,"I",IF(H145&lt;=Нормативы!$H$141,"II",IF(H145&lt;=Нормативы!$H$142,"III",IF(H145&lt;=Нормативы!$H$143,"I юн",IF(H145&lt;=Нормативы!$H$144,"II юн",IF(H145&lt;=Нормативы!$H$145,"III юн","б/р")))))))))))</f>
        <v>III юн</v>
      </c>
      <c r="K145" s="75"/>
      <c r="L145" s="74">
        <f t="shared" si="109"/>
        <v>550</v>
      </c>
      <c r="M145" s="59" t="str">
        <f>IF(ISBLANK(L145)," ",IF(ISTEXT(L145)," ",IF(L145&lt;=Нормативы!$H$137,"КМС",IF(L145&lt;=Нормативы!$H$138,"КМС",IF(L145&lt;=Нормативы!$L$139,"КМС",IF(L145&lt;=Нормативы!$L$140,"I",IF(L145&lt;=Нормативы!$L$141,"II",IF(L145&lt;=Нормативы!$L$142,"III",IF(L145&lt;=Нормативы!$L$143,"I юн",IF(L145&lt;=Нормативы!$L$144,"II юн",IF(L145&lt;=Нормативы!$L$145,"III юн","б/р")))))))))))</f>
        <v>III юн</v>
      </c>
      <c r="N145" s="59" t="str">
        <f>IF(ISBLANK(L145)," ",IF(ISTEXT(L145)," ",IF(L145&lt;=Нормативы!$H$137,"КМС",IF(L145&lt;=Нормативы!$H$138,"КМС",IF(L145&lt;=Нормативы!$L$139,"КМС",IF(L145&lt;=Нормативы!$L$140,"I",IF(L145&lt;=Нормативы!$L$141,"II",IF(L145&lt;=Нормативы!$L$142,"III",IF(L145&lt;=Нормативы!$L$143,"I юн",IF(L145&lt;=Нормативы!$L$144,"II юн",IF(L145&lt;=Нормативы!$L$145,"III юн","б/р")))))))))))</f>
        <v>III юн</v>
      </c>
      <c r="Q145" s="59" t="str">
        <f t="shared" ref="Q145" si="116">IF(ISBLANK(P145)," ",IF(ISTEXT(P145)," ",IF(P145&lt;=$H$137,"МСМК",IF(P145&lt;=$H$138,"МС",IF(P145&lt;=$H$139,"КМС",IF(P145&lt;=$H$140,"I",IF(P145&lt;=$H$141,"II",IF(P145&lt;=$H$142,"III",IF(P145&lt;=$H$143,"I юн",IF(P145&lt;=$H$144,"II юн",IF(P145&lt;=$H$145,"III юн","б/р")))))))))))</f>
        <v xml:space="preserve"> </v>
      </c>
    </row>
    <row r="146" spans="3:33" x14ac:dyDescent="0.3">
      <c r="C146" s="86"/>
      <c r="D146" s="36"/>
      <c r="E146" s="36"/>
      <c r="F146" s="86"/>
      <c r="G146" s="86"/>
      <c r="H146" s="74"/>
      <c r="I146" s="43"/>
      <c r="J146" s="43"/>
      <c r="K146" s="75"/>
      <c r="L146" s="43"/>
      <c r="M146" s="43"/>
      <c r="N146" s="43"/>
      <c r="P146" s="82"/>
      <c r="Q146" s="43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3"/>
      <c r="AC146" s="83"/>
      <c r="AD146" s="83"/>
      <c r="AE146" s="83"/>
      <c r="AF146" s="83"/>
      <c r="AG146" s="83"/>
    </row>
    <row r="147" spans="3:33" x14ac:dyDescent="0.3">
      <c r="C147" s="68" t="s">
        <v>47</v>
      </c>
      <c r="D147" s="69"/>
      <c r="E147" s="69"/>
      <c r="F147" s="68"/>
      <c r="G147" s="68"/>
      <c r="H147" s="70"/>
      <c r="I147" s="43"/>
      <c r="J147" s="43"/>
      <c r="K147" s="84"/>
      <c r="L147" s="43"/>
      <c r="M147" s="43"/>
      <c r="N147" s="43"/>
      <c r="P147" s="83"/>
      <c r="Q147" s="4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  <c r="AG147" s="83"/>
    </row>
    <row r="148" spans="3:33" x14ac:dyDescent="0.3">
      <c r="C148" s="86"/>
      <c r="D148" s="36"/>
      <c r="E148" s="36"/>
      <c r="F148" s="86"/>
      <c r="G148" s="86"/>
      <c r="H148" s="74">
        <v>303</v>
      </c>
      <c r="I148" s="59" t="str">
        <f>IF(ISBLANK(H148)," ",IF(ISTEXT(H148)," ",IF(H148&lt;=Нормативы!$H$148,"МСМК",IF(H148&lt;=Нормативы!$H$149,"МС",IF(H148&lt;=Нормативы!$H$150,"КМС",IF(H148&lt;=Нормативы!$H$151,"I",IF(H148&lt;=Нормативы!$H$152,"II",IF(H148&lt;=Нормативы!$H$153,"III",IF(H148&lt;=Нормативы!$H$154,"I юн",IF(H148&lt;=Нормативы!$H$155,"II юн",IF(H148&lt;=Нормативы!$H$156,"III юн","б/р")))))))))))</f>
        <v>МСМК</v>
      </c>
      <c r="J148" s="59" t="str">
        <f>IF(ISBLANK(H148)," ",IF(ISTEXT(H148)," ",IF(H148&lt;=Нормативы!$H$148,"МСМК",IF(H148&lt;=Нормативы!$H$149,"МС",IF(H148&lt;=Нормативы!$H$150,"КМС",IF(H148&lt;=Нормативы!$H$151,"I",IF(H148&lt;=Нормативы!$H$152,"II",IF(H148&lt;=Нормативы!$H$153,"III",IF(H148&lt;=Нормативы!$H$154,"I юн",IF(H148&lt;=Нормативы!$H$155,"II юн",IF(H148&lt;=Нормативы!$H$156,"III юн","б/р")))))))))))</f>
        <v>МСМК</v>
      </c>
      <c r="K148" s="75"/>
      <c r="L148" s="74"/>
      <c r="M148" s="59" t="str">
        <f>IF(ISBLANK(L148)," ",IF(ISTEXT(L148)," ",IF(L148&lt;=Нормативы!$H$148,"КМС",IF(L148&lt;=Нормативы!$H$149,"КМС",IF(L148&lt;=Нормативы!$L$150,"КМС",IF(L148&lt;=Нормативы!$L$151,"I",IF(L148&lt;=Нормативы!$L$152,"II",IF(L148&lt;=Нормативы!$L$153,"III",IF(L148&lt;=Нормативы!$L$154,"I юн",IF(L148&lt;=Нормативы!$L$155,"II юн",IF(L148&lt;=Нормативы!$L$156,"III юн","б/р")))))))))))</f>
        <v xml:space="preserve"> </v>
      </c>
      <c r="N148" s="59" t="str">
        <f>IF(ISBLANK(L148)," ",IF(ISTEXT(L148)," ",IF(L148&lt;=304.2,"МСМК",IF(L148&lt;=314,"МС",IF(L148&lt;=322,"КМС",IF(L148&lt;=336.8,"I",IF(L148&lt;=354.8,"II",IF(L148&lt;=412.8,"III",IF(L148&lt;=441.7,"I юн",IF(L148&lt;=507.6,"II юн",IF(L148&lt;=533.5,"III юн","б/р")))))))))))</f>
        <v xml:space="preserve"> </v>
      </c>
      <c r="Q148" s="59" t="str">
        <f>IF(ISBLANK(P148)," ",IF(ISTEXT(P148)," ",IF(P148&lt;=$H$148,"МСМК",IF(P148&lt;=$H$149,"МС",IF(P148&lt;=$H$150,"КМС",IF(P148&lt;=$H$151,"I",IF(P148&lt;=$H$152,"II",IF(P148&lt;=$H$153,"III",IF(P148&lt;=$H$154,"I юн",IF(P148&lt;=$H$155,"II юн",IF(P148&lt;=$H$156,"III юн","б/р")))))))))))</f>
        <v xml:space="preserve"> </v>
      </c>
    </row>
    <row r="149" spans="3:33" x14ac:dyDescent="0.3">
      <c r="C149" s="86"/>
      <c r="D149" s="36"/>
      <c r="E149" s="36"/>
      <c r="F149" s="86"/>
      <c r="G149" s="86"/>
      <c r="H149" s="74">
        <v>312.5</v>
      </c>
      <c r="I149" s="59" t="str">
        <f>IF(ISBLANK(H149)," ",IF(ISTEXT(H149)," ",IF(H149&lt;=Нормативы!$H$148,"МСМК",IF(H149&lt;=Нормативы!$H$149,"МС",IF(H149&lt;=Нормативы!$H$150,"КМС",IF(H149&lt;=Нормативы!$H$151,"I",IF(H149&lt;=Нормативы!$H$152,"II",IF(H149&lt;=Нормативы!$H$153,"III",IF(H149&lt;=Нормативы!$H$154,"I юн",IF(H149&lt;=Нормативы!$H$155,"II юн",IF(H149&lt;=Нормативы!$H$156,"III юн","б/р")))))))))))</f>
        <v>МС</v>
      </c>
      <c r="J149" s="59" t="str">
        <f>IF(ISBLANK(H149)," ",IF(ISTEXT(H149)," ",IF(H149&lt;=Нормативы!$H$148,"МСМК",IF(H149&lt;=Нормативы!$H$149,"МС",IF(H149&lt;=Нормативы!$H$150,"КМС",IF(H149&lt;=Нормативы!$H$151,"I",IF(H149&lt;=Нормативы!$H$152,"II",IF(H149&lt;=Нормативы!$H$153,"III",IF(H149&lt;=Нормативы!$H$154,"I юн",IF(H149&lt;=Нормативы!$H$155,"II юн",IF(H149&lt;=Нормативы!$H$156,"III юн","б/р")))))))))))</f>
        <v>МС</v>
      </c>
      <c r="K149" s="75"/>
      <c r="L149" s="74"/>
      <c r="M149" s="59" t="str">
        <f>IF(ISBLANK(L149)," ",IF(ISTEXT(L149)," ",IF(L149&lt;=Нормативы!$H$148,"КМС",IF(L149&lt;=Нормативы!$H$149,"КМС",IF(L149&lt;=Нормативы!$L$150,"КМС",IF(L149&lt;=Нормативы!$L$151,"I",IF(L149&lt;=Нормативы!$L$152,"II",IF(L149&lt;=Нормативы!$L$153,"III",IF(L149&lt;=Нормативы!$L$154,"I юн",IF(L149&lt;=Нормативы!$L$155,"II юн",IF(L149&lt;=Нормативы!$L$156,"III юн","б/р")))))))))))</f>
        <v xml:space="preserve"> </v>
      </c>
      <c r="N149" s="59" t="str">
        <f>IF(ISBLANK(L149)," ",IF(ISTEXT(L149)," ",IF(L149&lt;=304.2,"МСМК",IF(L149&lt;=314,"МС",IF(L149&lt;=322,"КМС",IF(L149&lt;=336.8,"I",IF(L149&lt;=354.8,"II",IF(L149&lt;=412.8,"III",IF(L149&lt;=441.7,"I юн",IF(L149&lt;=507.6,"II юн",IF(L149&lt;=533.5,"III юн","б/р")))))))))))</f>
        <v xml:space="preserve"> </v>
      </c>
      <c r="Q149" s="59" t="str">
        <f t="shared" ref="Q149" si="117">IF(ISBLANK(P149)," ",IF(ISTEXT(P149)," ",IF(P149&lt;=$H$148,"МСМК",IF(P149&lt;=$H$149,"МС",IF(P149&lt;=$H$150,"КМС",IF(P149&lt;=$H$151,"I",IF(P149&lt;=$H$152,"II",IF(P149&lt;=$H$153,"III",IF(P149&lt;=$H$154,"I юн",IF(P149&lt;=$H$155,"II юн",IF(P149&lt;=$H$156,"III юн","б/р")))))))))))</f>
        <v xml:space="preserve"> </v>
      </c>
    </row>
    <row r="150" spans="3:33" x14ac:dyDescent="0.3">
      <c r="C150" s="86"/>
      <c r="D150" s="36"/>
      <c r="E150" s="36"/>
      <c r="F150" s="86"/>
      <c r="G150" s="86"/>
      <c r="H150" s="74">
        <v>320.2</v>
      </c>
      <c r="I150" s="59" t="str">
        <f>IF(ISBLANK(H150)," ",IF(ISTEXT(H150)," ",IF(H150&lt;=Нормативы!$H$148,"МСМК",IF(H150&lt;=Нормативы!$H$149,"МС",IF(H150&lt;=Нормативы!$H$150,"КМС",IF(H150&lt;=Нормативы!$H$151,"I",IF(H150&lt;=Нормативы!$H$152,"II",IF(H150&lt;=Нормативы!$H$153,"III",IF(H150&lt;=Нормативы!$H$154,"I юн",IF(H150&lt;=Нормативы!$H$155,"II юн",IF(H150&lt;=Нормативы!$H$156,"III юн","б/р")))))))))))</f>
        <v>КМС</v>
      </c>
      <c r="J150" s="59" t="str">
        <f>IF(ISBLANK(H150)," ",IF(ISTEXT(H150)," ",IF(H150&lt;=Нормативы!$H$148,"МСМК",IF(H150&lt;=Нормативы!$H$149,"МС",IF(H150&lt;=Нормативы!$H$150,"КМС",IF(H150&lt;=Нормативы!$H$151,"I",IF(H150&lt;=Нормативы!$H$152,"II",IF(H150&lt;=Нормативы!$H$153,"III",IF(H150&lt;=Нормативы!$H$154,"I юн",IF(H150&lt;=Нормативы!$H$155,"II юн",IF(H150&lt;=Нормативы!$H$156,"III юн","б/р")))))))))))</f>
        <v>КМС</v>
      </c>
      <c r="K150" s="75"/>
      <c r="L150" s="74">
        <f t="shared" ref="L150:L156" si="118">H150-0.2</f>
        <v>320</v>
      </c>
      <c r="M150" s="59" t="str">
        <f>IF(ISBLANK(L150)," ",IF(ISTEXT(L150)," ",IF(L150&lt;=Нормативы!$H$148,"КМС",IF(L150&lt;=Нормативы!$H$149,"КМС",IF(L150&lt;=Нормативы!$L$150,"КМС",IF(L150&lt;=Нормативы!$L$151,"I",IF(L150&lt;=Нормативы!$L$152,"II",IF(L150&lt;=Нормативы!$L$153,"III",IF(L150&lt;=Нормативы!$L$154,"I юн",IF(L150&lt;=Нормативы!$L$155,"II юн",IF(L150&lt;=Нормативы!$L$156,"III юн","б/р")))))))))))</f>
        <v>КМС</v>
      </c>
      <c r="N150" s="59" t="str">
        <f>IF(ISBLANK(L150)," ",IF(ISTEXT(L150)," ",IF(L150&lt;=Нормативы!$H$148,"КМС",IF(L150&lt;=Нормативы!$H$149,"КМС",IF(L150&lt;=Нормативы!$L$150,"КМС",IF(L150&lt;=Нормативы!$L$151,"I",IF(L150&lt;=Нормативы!$L$152,"II",IF(L150&lt;=Нормативы!$L$153,"III",IF(L150&lt;=Нормативы!$L$154,"I юн",IF(L150&lt;=Нормативы!$L$155,"II юн",IF(L150&lt;=Нормативы!$L$156,"III юн","б/р")))))))))))</f>
        <v>КМС</v>
      </c>
      <c r="Q150" s="59" t="str">
        <f t="shared" ref="Q150" si="119">IF(ISBLANK(P150)," ",IF(ISTEXT(P150)," ",IF(P150&lt;=$H$148,"МСМК",IF(P150&lt;=$H$149,"МС",IF(P150&lt;=$H$150,"КМС",IF(P150&lt;=$H$151,"I",IF(P150&lt;=$H$152,"II",IF(P150&lt;=$H$153,"III",IF(P150&lt;=$H$154,"I юн",IF(P150&lt;=$H$155,"II юн",IF(P150&lt;=$H$156,"III юн","б/р")))))))))))</f>
        <v xml:space="preserve"> </v>
      </c>
    </row>
    <row r="151" spans="3:33" x14ac:dyDescent="0.3">
      <c r="C151" s="86"/>
      <c r="D151" s="36"/>
      <c r="E151" s="36"/>
      <c r="F151" s="86"/>
      <c r="G151" s="86"/>
      <c r="H151" s="74">
        <v>335.7</v>
      </c>
      <c r="I151" s="59" t="str">
        <f>IF(ISBLANK(H151)," ",IF(ISTEXT(H151)," ",IF(H151&lt;=Нормативы!$H$148,"МСМК",IF(H151&lt;=Нормативы!$H$149,"МС",IF(H151&lt;=Нормативы!$H$150,"КМС",IF(H151&lt;=Нормативы!$H$151,"I",IF(H151&lt;=Нормативы!$H$152,"II",IF(H151&lt;=Нормативы!$H$153,"III",IF(H151&lt;=Нормативы!$H$154,"I юн",IF(H151&lt;=Нормативы!$H$155,"II юн",IF(H151&lt;=Нормативы!$H$156,"III юн","б/р")))))))))))</f>
        <v>I</v>
      </c>
      <c r="J151" s="59" t="str">
        <f>IF(ISBLANK(H151)," ",IF(ISTEXT(H151)," ",IF(H151&lt;=Нормативы!$H$148,"МСМК",IF(H151&lt;=Нормативы!$H$149,"МС",IF(H151&lt;=Нормативы!$H$150,"КМС",IF(H151&lt;=Нормативы!$H$151,"I",IF(H151&lt;=Нормативы!$H$152,"II",IF(H151&lt;=Нормативы!$H$153,"III",IF(H151&lt;=Нормативы!$H$154,"I юн",IF(H151&lt;=Нормативы!$H$155,"II юн",IF(H151&lt;=Нормативы!$H$156,"III юн","б/р")))))))))))</f>
        <v>I</v>
      </c>
      <c r="K151" s="75"/>
      <c r="L151" s="74">
        <f t="shared" si="118"/>
        <v>335.5</v>
      </c>
      <c r="M151" s="59" t="str">
        <f>IF(ISBLANK(L151)," ",IF(ISTEXT(L151)," ",IF(L151&lt;=Нормативы!$H$148,"КМС",IF(L151&lt;=Нормативы!$H$149,"КМС",IF(L151&lt;=Нормативы!$L$150,"КМС",IF(L151&lt;=Нормативы!$L$151,"I",IF(L151&lt;=Нормативы!$L$152,"II",IF(L151&lt;=Нормативы!$L$153,"III",IF(L151&lt;=Нормативы!$L$154,"I юн",IF(L151&lt;=Нормативы!$L$155,"II юн",IF(L151&lt;=Нормативы!$L$156,"III юн","б/р")))))))))))</f>
        <v>I</v>
      </c>
      <c r="N151" s="59" t="str">
        <f>IF(ISBLANK(L151)," ",IF(ISTEXT(L151)," ",IF(L151&lt;=Нормативы!$H$148,"КМС",IF(L151&lt;=Нормативы!$H$149,"КМС",IF(L151&lt;=Нормативы!$L$150,"КМС",IF(L151&lt;=Нормативы!$L$151,"I",IF(L151&lt;=Нормативы!$L$152,"II",IF(L151&lt;=Нормативы!$L$153,"III",IF(L151&lt;=Нормативы!$L$154,"I юн",IF(L151&lt;=Нормативы!$L$155,"II юн",IF(L151&lt;=Нормативы!$L$156,"III юн","б/р")))))))))))</f>
        <v>I</v>
      </c>
      <c r="Q151" s="59" t="str">
        <f t="shared" ref="Q151" si="120">IF(ISBLANK(P151)," ",IF(ISTEXT(P151)," ",IF(P151&lt;=$H$148,"МСМК",IF(P151&lt;=$H$149,"МС",IF(P151&lt;=$H$150,"КМС",IF(P151&lt;=$H$151,"I",IF(P151&lt;=$H$152,"II",IF(P151&lt;=$H$153,"III",IF(P151&lt;=$H$154,"I юн",IF(P151&lt;=$H$155,"II юн",IF(P151&lt;=$H$156,"III юн","б/р")))))))))))</f>
        <v xml:space="preserve"> </v>
      </c>
    </row>
    <row r="152" spans="3:33" x14ac:dyDescent="0.3">
      <c r="C152" s="86"/>
      <c r="D152" s="36"/>
      <c r="E152" s="36"/>
      <c r="F152" s="86"/>
      <c r="G152" s="86"/>
      <c r="H152" s="74">
        <v>352.7</v>
      </c>
      <c r="I152" s="59" t="str">
        <f>IF(ISBLANK(H152)," ",IF(ISTEXT(H152)," ",IF(H152&lt;=Нормативы!$H$148,"МСМК",IF(H152&lt;=Нормативы!$H$149,"МС",IF(H152&lt;=Нормативы!$H$150,"КМС",IF(H152&lt;=Нормативы!$H$151,"I",IF(H152&lt;=Нормативы!$H$152,"II",IF(H152&lt;=Нормативы!$H$153,"III",IF(H152&lt;=Нормативы!$H$154,"I юн",IF(H152&lt;=Нормативы!$H$155,"II юн",IF(H152&lt;=Нормативы!$H$156,"III юн","б/р")))))))))))</f>
        <v>II</v>
      </c>
      <c r="J152" s="59" t="str">
        <f>IF(ISBLANK(H152)," ",IF(ISTEXT(H152)," ",IF(H152&lt;=Нормативы!$H$148,"МСМК",IF(H152&lt;=Нормативы!$H$149,"МС",IF(H152&lt;=Нормативы!$H$150,"КМС",IF(H152&lt;=Нормативы!$H$151,"I",IF(H152&lt;=Нормативы!$H$152,"II",IF(H152&lt;=Нормативы!$H$153,"III",IF(H152&lt;=Нормативы!$H$154,"I юн",IF(H152&lt;=Нормативы!$H$155,"II юн",IF(H152&lt;=Нормативы!$H$156,"III юн","б/р")))))))))))</f>
        <v>II</v>
      </c>
      <c r="K152" s="75"/>
      <c r="L152" s="74">
        <f t="shared" si="118"/>
        <v>352.5</v>
      </c>
      <c r="M152" s="59" t="str">
        <f>IF(ISBLANK(L152)," ",IF(ISTEXT(L152)," ",IF(L152&lt;=Нормативы!$H$148,"КМС",IF(L152&lt;=Нормативы!$H$149,"КМС",IF(L152&lt;=Нормативы!$L$150,"КМС",IF(L152&lt;=Нормативы!$L$151,"I",IF(L152&lt;=Нормативы!$L$152,"II",IF(L152&lt;=Нормативы!$L$153,"III",IF(L152&lt;=Нормативы!$L$154,"I юн",IF(L152&lt;=Нормативы!$L$155,"II юн",IF(L152&lt;=Нормативы!$L$156,"III юн","б/р")))))))))))</f>
        <v>II</v>
      </c>
      <c r="N152" s="59" t="str">
        <f>IF(ISBLANK(L152)," ",IF(ISTEXT(L152)," ",IF(L152&lt;=Нормативы!$H$148,"КМС",IF(L152&lt;=Нормативы!$H$149,"КМС",IF(L152&lt;=Нормативы!$L$150,"КМС",IF(L152&lt;=Нормативы!$L$151,"I",IF(L152&lt;=Нормативы!$L$152,"II",IF(L152&lt;=Нормативы!$L$153,"III",IF(L152&lt;=Нормативы!$L$154,"I юн",IF(L152&lt;=Нормативы!$L$155,"II юн",IF(L152&lt;=Нормативы!$L$156,"III юн","б/р")))))))))))</f>
        <v>II</v>
      </c>
      <c r="Q152" s="59" t="str">
        <f t="shared" ref="Q152" si="121">IF(ISBLANK(P152)," ",IF(ISTEXT(P152)," ",IF(P152&lt;=$H$148,"МСМК",IF(P152&lt;=$H$149,"МС",IF(P152&lt;=$H$150,"КМС",IF(P152&lt;=$H$151,"I",IF(P152&lt;=$H$152,"II",IF(P152&lt;=$H$153,"III",IF(P152&lt;=$H$154,"I юн",IF(P152&lt;=$H$155,"II юн",IF(P152&lt;=$H$156,"III юн","б/р")))))))))))</f>
        <v xml:space="preserve"> </v>
      </c>
    </row>
    <row r="153" spans="3:33" x14ac:dyDescent="0.3">
      <c r="C153" s="86"/>
      <c r="D153" s="36"/>
      <c r="E153" s="36"/>
      <c r="F153" s="86"/>
      <c r="G153" s="86"/>
      <c r="H153" s="74">
        <v>411.8</v>
      </c>
      <c r="I153" s="59" t="str">
        <f>IF(ISBLANK(H153)," ",IF(ISTEXT(H153)," ",IF(H153&lt;=Нормативы!$H$148,"МСМК",IF(H153&lt;=Нормативы!$H$149,"МС",IF(H153&lt;=Нормативы!$H$150,"КМС",IF(H153&lt;=Нормативы!$H$151,"I",IF(H153&lt;=Нормативы!$H$152,"II",IF(H153&lt;=Нормативы!$H$153,"III",IF(H153&lt;=Нормативы!$H$154,"I юн",IF(H153&lt;=Нормативы!$H$155,"II юн",IF(H153&lt;=Нормативы!$H$156,"III юн","б/р")))))))))))</f>
        <v>III</v>
      </c>
      <c r="J153" s="59" t="str">
        <f>IF(ISBLANK(H153)," ",IF(ISTEXT(H153)," ",IF(H153&lt;=Нормативы!$H$148,"МСМК",IF(H153&lt;=Нормативы!$H$149,"МС",IF(H153&lt;=Нормативы!$H$150,"КМС",IF(H153&lt;=Нормативы!$H$151,"I",IF(H153&lt;=Нормативы!$H$152,"II",IF(H153&lt;=Нормативы!$H$153,"III",IF(H153&lt;=Нормативы!$H$154,"I юн",IF(H153&lt;=Нормативы!$H$155,"II юн",IF(H153&lt;=Нормативы!$H$156,"III юн","б/р")))))))))))</f>
        <v>III</v>
      </c>
      <c r="K153" s="75"/>
      <c r="L153" s="74">
        <f t="shared" si="118"/>
        <v>411.6</v>
      </c>
      <c r="M153" s="59" t="str">
        <f>IF(ISBLANK(L153)," ",IF(ISTEXT(L153)," ",IF(L153&lt;=Нормативы!$H$148,"КМС",IF(L153&lt;=Нормативы!$H$149,"КМС",IF(L153&lt;=Нормативы!$L$150,"КМС",IF(L153&lt;=Нормативы!$L$151,"I",IF(L153&lt;=Нормативы!$L$152,"II",IF(L153&lt;=Нормативы!$L$153,"III",IF(L153&lt;=Нормативы!$L$154,"I юн",IF(L153&lt;=Нормативы!$L$155,"II юн",IF(L153&lt;=Нормативы!$L$156,"III юн","б/р")))))))))))</f>
        <v>III</v>
      </c>
      <c r="N153" s="59" t="str">
        <f>IF(ISBLANK(L153)," ",IF(ISTEXT(L153)," ",IF(L153&lt;=Нормативы!$H$148,"КМС",IF(L153&lt;=Нормативы!$H$149,"КМС",IF(L153&lt;=Нормативы!$L$150,"КМС",IF(L153&lt;=Нормативы!$L$151,"I",IF(L153&lt;=Нормативы!$L$152,"II",IF(L153&lt;=Нормативы!$L$153,"III",IF(L153&lt;=Нормативы!$L$154,"I юн",IF(L153&lt;=Нормативы!$L$155,"II юн",IF(L153&lt;=Нормативы!$L$156,"III юн","б/р")))))))))))</f>
        <v>III</v>
      </c>
      <c r="Q153" s="59" t="str">
        <f t="shared" ref="Q153" si="122">IF(ISBLANK(P153)," ",IF(ISTEXT(P153)," ",IF(P153&lt;=$H$148,"МСМК",IF(P153&lt;=$H$149,"МС",IF(P153&lt;=$H$150,"КМС",IF(P153&lt;=$H$151,"I",IF(P153&lt;=$H$152,"II",IF(P153&lt;=$H$153,"III",IF(P153&lt;=$H$154,"I юн",IF(P153&lt;=$H$155,"II юн",IF(P153&lt;=$H$156,"III юн","б/р")))))))))))</f>
        <v xml:space="preserve"> </v>
      </c>
    </row>
    <row r="154" spans="3:33" x14ac:dyDescent="0.3">
      <c r="C154" s="86"/>
      <c r="D154" s="36"/>
      <c r="E154" s="36"/>
      <c r="F154" s="86"/>
      <c r="G154" s="86"/>
      <c r="H154" s="74">
        <v>440</v>
      </c>
      <c r="I154" s="59" t="str">
        <f>IF(ISBLANK(H154)," ",IF(ISTEXT(H154)," ",IF(H154&lt;=Нормативы!$H$148,"МСМК",IF(H154&lt;=Нормативы!$H$149,"МС",IF(H154&lt;=Нормативы!$H$150,"КМС",IF(H154&lt;=Нормативы!$H$151,"I",IF(H154&lt;=Нормативы!$H$152,"II",IF(H154&lt;=Нормативы!$H$153,"III",IF(H154&lt;=Нормативы!$H$154,"I юн",IF(H154&lt;=Нормативы!$H$155,"II юн",IF(H154&lt;=Нормативы!$H$156,"III юн","б/р")))))))))))</f>
        <v>I юн</v>
      </c>
      <c r="J154" s="59" t="str">
        <f>IF(ISBLANK(H154)," ",IF(ISTEXT(H154)," ",IF(H154&lt;=Нормативы!$H$148,"МСМК",IF(H154&lt;=Нормативы!$H$149,"МС",IF(H154&lt;=Нормативы!$H$150,"КМС",IF(H154&lt;=Нормативы!$H$151,"I",IF(H154&lt;=Нормативы!$H$152,"II",IF(H154&lt;=Нормативы!$H$153,"III",IF(H154&lt;=Нормативы!$H$154,"I юн",IF(H154&lt;=Нормативы!$H$155,"II юн",IF(H154&lt;=Нормативы!$H$156,"III юн","б/р")))))))))))</f>
        <v>I юн</v>
      </c>
      <c r="K154" s="75"/>
      <c r="L154" s="74">
        <f t="shared" si="118"/>
        <v>439.8</v>
      </c>
      <c r="M154" s="59" t="str">
        <f>IF(ISBLANK(L154)," ",IF(ISTEXT(L154)," ",IF(L154&lt;=Нормативы!$H$148,"КМС",IF(L154&lt;=Нормативы!$H$149,"КМС",IF(L154&lt;=Нормативы!$L$150,"КМС",IF(L154&lt;=Нормативы!$L$151,"I",IF(L154&lt;=Нормативы!$L$152,"II",IF(L154&lt;=Нормативы!$L$153,"III",IF(L154&lt;=Нормативы!$L$154,"I юн",IF(L154&lt;=Нормативы!$L$155,"II юн",IF(L154&lt;=Нормативы!$L$156,"III юн","б/р")))))))))))</f>
        <v>I юн</v>
      </c>
      <c r="N154" s="59" t="str">
        <f>IF(ISBLANK(L154)," ",IF(ISTEXT(L154)," ",IF(L154&lt;=Нормативы!$H$148,"КМС",IF(L154&lt;=Нормативы!$H$149,"КМС",IF(L154&lt;=Нормативы!$L$150,"КМС",IF(L154&lt;=Нормативы!$L$151,"I",IF(L154&lt;=Нормативы!$L$152,"II",IF(L154&lt;=Нормативы!$L$153,"III",IF(L154&lt;=Нормативы!$L$154,"I юн",IF(L154&lt;=Нормативы!$L$155,"II юн",IF(L154&lt;=Нормативы!$L$156,"III юн","б/р")))))))))))</f>
        <v>I юн</v>
      </c>
      <c r="Q154" s="59" t="str">
        <f t="shared" ref="Q154" si="123">IF(ISBLANK(P154)," ",IF(ISTEXT(P154)," ",IF(P154&lt;=$H$148,"МСМК",IF(P154&lt;=$H$149,"МС",IF(P154&lt;=$H$150,"КМС",IF(P154&lt;=$H$151,"I",IF(P154&lt;=$H$152,"II",IF(P154&lt;=$H$153,"III",IF(P154&lt;=$H$154,"I юн",IF(P154&lt;=$H$155,"II юн",IF(P154&lt;=$H$156,"III юн","б/р")))))))))))</f>
        <v xml:space="preserve"> </v>
      </c>
    </row>
    <row r="155" spans="3:33" x14ac:dyDescent="0.3">
      <c r="C155" s="86"/>
      <c r="D155" s="36"/>
      <c r="E155" s="36"/>
      <c r="F155" s="86"/>
      <c r="G155" s="86"/>
      <c r="H155" s="74">
        <v>505.7</v>
      </c>
      <c r="I155" s="59" t="str">
        <f>IF(ISBLANK(H155)," ",IF(ISTEXT(H155)," ",IF(H155&lt;=Нормативы!$H$148,"МСМК",IF(H155&lt;=Нормативы!$H$149,"МС",IF(H155&lt;=Нормативы!$H$150,"КМС",IF(H155&lt;=Нормативы!$H$151,"I",IF(H155&lt;=Нормативы!$H$152,"II",IF(H155&lt;=Нормативы!$H$153,"III",IF(H155&lt;=Нормативы!$H$154,"I юн",IF(H155&lt;=Нормативы!$H$155,"II юн",IF(H155&lt;=Нормативы!$H$156,"III юн","б/р")))))))))))</f>
        <v>II юн</v>
      </c>
      <c r="J155" s="59" t="str">
        <f>IF(ISBLANK(H155)," ",IF(ISTEXT(H155)," ",IF(H155&lt;=Нормативы!$H$148,"МСМК",IF(H155&lt;=Нормативы!$H$149,"МС",IF(H155&lt;=Нормативы!$H$150,"КМС",IF(H155&lt;=Нормативы!$H$151,"I",IF(H155&lt;=Нормативы!$H$152,"II",IF(H155&lt;=Нормативы!$H$153,"III",IF(H155&lt;=Нормативы!$H$154,"I юн",IF(H155&lt;=Нормативы!$H$155,"II юн",IF(H155&lt;=Нормативы!$H$156,"III юн","б/р")))))))))))</f>
        <v>II юн</v>
      </c>
      <c r="K155" s="75"/>
      <c r="L155" s="74">
        <f t="shared" si="118"/>
        <v>505.5</v>
      </c>
      <c r="M155" s="59" t="str">
        <f>IF(ISBLANK(L155)," ",IF(ISTEXT(L155)," ",IF(L155&lt;=Нормативы!$H$148,"КМС",IF(L155&lt;=Нормативы!$H$149,"КМС",IF(L155&lt;=Нормативы!$L$150,"КМС",IF(L155&lt;=Нормативы!$L$151,"I",IF(L155&lt;=Нормативы!$L$152,"II",IF(L155&lt;=Нормативы!$L$153,"III",IF(L155&lt;=Нормативы!$L$154,"I юн",IF(L155&lt;=Нормативы!$L$155,"II юн",IF(L155&lt;=Нормативы!$L$156,"III юн","б/р")))))))))))</f>
        <v>II юн</v>
      </c>
      <c r="N155" s="59" t="str">
        <f>IF(ISBLANK(L155)," ",IF(ISTEXT(L155)," ",IF(L155&lt;=Нормативы!$H$148,"КМС",IF(L155&lt;=Нормативы!$H$149,"КМС",IF(L155&lt;=Нормативы!$L$150,"КМС",IF(L155&lt;=Нормативы!$L$151,"I",IF(L155&lt;=Нормативы!$L$152,"II",IF(L155&lt;=Нормативы!$L$153,"III",IF(L155&lt;=Нормативы!$L$154,"I юн",IF(L155&lt;=Нормативы!$L$155,"II юн",IF(L155&lt;=Нормативы!$L$156,"III юн","б/р")))))))))))</f>
        <v>II юн</v>
      </c>
      <c r="Q155" s="59" t="str">
        <f t="shared" ref="Q155" si="124">IF(ISBLANK(P155)," ",IF(ISTEXT(P155)," ",IF(P155&lt;=$H$148,"МСМК",IF(P155&lt;=$H$149,"МС",IF(P155&lt;=$H$150,"КМС",IF(P155&lt;=$H$151,"I",IF(P155&lt;=$H$152,"II",IF(P155&lt;=$H$153,"III",IF(P155&lt;=$H$154,"I юн",IF(P155&lt;=$H$155,"II юн",IF(P155&lt;=$H$156,"III юн","б/р")))))))))))</f>
        <v xml:space="preserve"> </v>
      </c>
    </row>
    <row r="156" spans="3:33" x14ac:dyDescent="0.3">
      <c r="C156" s="86"/>
      <c r="D156" s="36"/>
      <c r="E156" s="36"/>
      <c r="F156" s="86"/>
      <c r="G156" s="86"/>
      <c r="H156" s="74">
        <v>530.20000000000005</v>
      </c>
      <c r="I156" s="59" t="str">
        <f>IF(ISBLANK(H156)," ",IF(ISTEXT(H156)," ",IF(H156&lt;=Нормативы!$H$148,"МСМК",IF(H156&lt;=Нормативы!$H$149,"МС",IF(H156&lt;=Нормативы!$H$150,"КМС",IF(H156&lt;=Нормативы!$H$151,"I",IF(H156&lt;=Нормативы!$H$152,"II",IF(H156&lt;=Нормативы!$H$153,"III",IF(H156&lt;=Нормативы!$H$154,"I юн",IF(H156&lt;=Нормативы!$H$155,"II юн",IF(H156&lt;=Нормативы!$H$156,"III юн","б/р")))))))))))</f>
        <v>III юн</v>
      </c>
      <c r="J156" s="59" t="str">
        <f>IF(ISBLANK(H156)," ",IF(ISTEXT(H156)," ",IF(H156&lt;=Нормативы!$H$148,"МСМК",IF(H156&lt;=Нормативы!$H$149,"МС",IF(H156&lt;=Нормативы!$H$150,"КМС",IF(H156&lt;=Нормативы!$H$151,"I",IF(H156&lt;=Нормативы!$H$152,"II",IF(H156&lt;=Нормативы!$H$153,"III",IF(H156&lt;=Нормативы!$H$154,"I юн",IF(H156&lt;=Нормативы!$H$155,"II юн",IF(H156&lt;=Нормативы!$H$156,"III юн","б/р")))))))))))</f>
        <v>III юн</v>
      </c>
      <c r="K156" s="75"/>
      <c r="L156" s="74">
        <f t="shared" si="118"/>
        <v>530</v>
      </c>
      <c r="M156" s="59" t="str">
        <f>IF(ISBLANK(L156)," ",IF(ISTEXT(L156)," ",IF(L156&lt;=Нормативы!$H$148,"КМС",IF(L156&lt;=Нормативы!$H$149,"КМС",IF(L156&lt;=Нормативы!$L$150,"КМС",IF(L156&lt;=Нормативы!$L$151,"I",IF(L156&lt;=Нормативы!$L$152,"II",IF(L156&lt;=Нормативы!$L$153,"III",IF(L156&lt;=Нормативы!$L$154,"I юн",IF(L156&lt;=Нормативы!$L$155,"II юн",IF(L156&lt;=Нормативы!$L$156,"III юн","б/р")))))))))))</f>
        <v>III юн</v>
      </c>
      <c r="N156" s="59" t="str">
        <f>IF(ISBLANK(L156)," ",IF(ISTEXT(L156)," ",IF(L156&lt;=Нормативы!$H$148,"КМС",IF(L156&lt;=Нормативы!$H$149,"КМС",IF(L156&lt;=Нормативы!$L$150,"КМС",IF(L156&lt;=Нормативы!$L$151,"I",IF(L156&lt;=Нормативы!$L$152,"II",IF(L156&lt;=Нормативы!$L$153,"III",IF(L156&lt;=Нормативы!$L$154,"I юн",IF(L156&lt;=Нормативы!$L$155,"II юн",IF(L156&lt;=Нормативы!$L$156,"III юн","б/р")))))))))))</f>
        <v>III юн</v>
      </c>
      <c r="Q156" s="59" t="str">
        <f t="shared" ref="Q156" si="125">IF(ISBLANK(P156)," ",IF(ISTEXT(P156)," ",IF(P156&lt;=$H$148,"МСМК",IF(P156&lt;=$H$149,"МС",IF(P156&lt;=$H$150,"КМС",IF(P156&lt;=$H$151,"I",IF(P156&lt;=$H$152,"II",IF(P156&lt;=$H$153,"III",IF(P156&lt;=$H$154,"I юн",IF(P156&lt;=$H$155,"II юн",IF(P156&lt;=$H$156,"III юн","б/р")))))))))))</f>
        <v xml:space="preserve"> </v>
      </c>
    </row>
    <row r="157" spans="3:33" x14ac:dyDescent="0.3">
      <c r="C157" s="86"/>
      <c r="D157" s="36"/>
      <c r="E157" s="36"/>
      <c r="F157" s="86"/>
      <c r="G157" s="86"/>
      <c r="H157" s="74"/>
      <c r="I157" s="59"/>
      <c r="J157" s="59"/>
      <c r="K157" s="75"/>
      <c r="L157" s="74"/>
      <c r="M157" s="59"/>
      <c r="N157" s="59"/>
      <c r="Q157" s="59"/>
    </row>
    <row r="158" spans="3:33" x14ac:dyDescent="0.3">
      <c r="C158" s="68" t="s">
        <v>161</v>
      </c>
      <c r="D158" s="43"/>
      <c r="E158" s="43"/>
      <c r="F158" s="43"/>
      <c r="G158" s="43"/>
      <c r="H158" s="42"/>
      <c r="I158" s="43"/>
      <c r="J158" s="43"/>
      <c r="K158" s="84"/>
      <c r="L158" s="43"/>
      <c r="M158" s="43"/>
      <c r="N158" s="43"/>
      <c r="Q158" s="43"/>
    </row>
    <row r="159" spans="3:33" x14ac:dyDescent="0.3">
      <c r="C159" s="43"/>
      <c r="D159" s="43"/>
      <c r="E159" s="43"/>
      <c r="F159" s="43"/>
      <c r="G159" s="43"/>
      <c r="H159" s="71">
        <v>348.9</v>
      </c>
      <c r="I159" s="59" t="str">
        <f>IF(ISBLANK(H159)," ",IF(ISTEXT(H159)," ",IF(H159&lt;=Нормативы!$H$159,"МСМК",IF(H159&lt;=Нормативы!$H$160,"МС",IF(H159&lt;=Нормативы!$H$161,"КМС",IF(H159&lt;=Нормативы!$H$162,"I",IF(H159&lt;=Нормативы!$H$163,"II",IF(H159&lt;=Нормативы!$H$164,"III",IF(H159&lt;=Нормативы!$H$165,"I юн",IF(H159&lt;=Нормативы!$H$166,"II юн",IF(H159&lt;=Нормативы!$H$167,"III юн","б/р")))))))))))</f>
        <v>МСМК</v>
      </c>
      <c r="J159" s="59" t="str">
        <f>IF(ISBLANK(H159)," ",IF(ISTEXT(H159)," ",IF(H159&lt;=Нормативы!$H$159,"МСМК",IF(H159&lt;=Нормативы!$H$160,"МС",IF(H159&lt;=Нормативы!$H$161,"КМС",IF(H159&lt;=Нормативы!$H$162,"I",IF(H159&lt;=Нормативы!$H$163,"II",IF(H159&lt;=Нормативы!$H$164,"III",IF(H159&lt;=Нормативы!$H$165,"I юн",IF(H159&lt;=Нормативы!$H$166,"II юн",IF(H159&lt;=Нормативы!$H$167,"III юн","б/р")))))))))))</f>
        <v>МСМК</v>
      </c>
      <c r="K159" s="75"/>
      <c r="L159" s="71"/>
      <c r="M159" s="59" t="str">
        <f>IF(ISBLANK(L159)," ",IF(ISTEXT(L159)," ",IF(L159&lt;=Нормативы!$H$159,"КМС",IF(L159&lt;=Нормативы!$H$160,"КМС",IF(L159&lt;=Нормативы!$L$161,"КМС",IF(L159&lt;=Нормативы!$L$162,"I",IF(L159&lt;=Нормативы!$L$163,"II",IF(L159&lt;=Нормативы!$L$164,"III",IF(L159&lt;=Нормативы!$L$165,"I юн",IF(L159&lt;=Нормативы!$L$166,"II юн",IF(L159&lt;=Нормативы!$L$167,"III юн","б/р")))))))))))</f>
        <v xml:space="preserve"> </v>
      </c>
      <c r="N159" s="59" t="str">
        <f>IF(ISBLANK(L159)," ",IF(ISTEXT(L159)," ",IF(L159&lt;=349,"МСМК",IF(L159&lt;=404.4,"МС",IF(L159&lt;=414,"КМС",IF(L159&lt;=430,"I",IF(L159&lt;=448,"II",IF(L159&lt;=508,"III",IF(L159&lt;=534,"I юн",IF(L159&lt;=601,"II юн",IF(L159&lt;=630,"III юн","б/р")))))))))))</f>
        <v xml:space="preserve"> </v>
      </c>
      <c r="O159" s="59"/>
      <c r="Q159" s="59" t="str">
        <f>IF(ISBLANK(P159)," ",IF(ISTEXT(P159)," ",IF(P159&lt;=$H$159,"МСМК",IF(P159&lt;=$H$160,"МС",IF(P159&lt;=$H$161,"КМС",IF(P159&lt;=$H$162,"I",IF(P159&lt;=$H$163,"II",IF(P159&lt;=$H$164,"III",IF(P159&lt;=$H$165,"I юн",IF(P159&lt;=$H$166,"II юн",IF(P159&lt;=$H$167,"III юн","б/р")))))))))))</f>
        <v xml:space="preserve"> </v>
      </c>
    </row>
    <row r="160" spans="3:33" x14ac:dyDescent="0.3">
      <c r="C160" s="43"/>
      <c r="D160" s="43"/>
      <c r="E160" s="43"/>
      <c r="F160" s="43"/>
      <c r="G160" s="43"/>
      <c r="H160" s="71">
        <v>359.5</v>
      </c>
      <c r="I160" s="59" t="str">
        <f>IF(ISBLANK(H160)," ",IF(ISTEXT(H160)," ",IF(H160&lt;=Нормативы!$H$159,"МСМК",IF(H160&lt;=Нормативы!$H$160,"МС",IF(H160&lt;=Нормативы!$H$161,"КМС",IF(H160&lt;=Нормативы!$H$162,"I",IF(H160&lt;=Нормативы!$H$163,"II",IF(H160&lt;=Нормативы!$H$164,"III",IF(H160&lt;=Нормативы!$H$165,"I юн",IF(H160&lt;=Нормативы!$H$166,"II юн",IF(H160&lt;=Нормативы!$H$167,"III юн","б/р")))))))))))</f>
        <v>МС</v>
      </c>
      <c r="J160" s="59" t="str">
        <f>IF(ISBLANK(H160)," ",IF(ISTEXT(H160)," ",IF(H160&lt;=Нормативы!$H$159,"МСМК",IF(H160&lt;=Нормативы!$H$160,"МС",IF(H160&lt;=Нормативы!$H$161,"КМС",IF(H160&lt;=Нормативы!$H$162,"I",IF(H160&lt;=Нормативы!$H$163,"II",IF(H160&lt;=Нормативы!$H$164,"III",IF(H160&lt;=Нормативы!$H$165,"I юн",IF(H160&lt;=Нормативы!$H$166,"II юн",IF(H160&lt;=Нормативы!$H$167,"III юн","б/р")))))))))))</f>
        <v>МС</v>
      </c>
      <c r="K160" s="75"/>
      <c r="L160" s="71"/>
      <c r="M160" s="59" t="str">
        <f>IF(ISBLANK(L160)," ",IF(ISTEXT(L160)," ",IF(L160&lt;=Нормативы!$H$159,"КМС",IF(L160&lt;=Нормативы!$H$160,"КМС",IF(L160&lt;=Нормативы!$L$161,"КМС",IF(L160&lt;=Нормативы!$L$162,"I",IF(L160&lt;=Нормативы!$L$163,"II",IF(L160&lt;=Нормативы!$L$164,"III",IF(L160&lt;=Нормативы!$L$165,"I юн",IF(L160&lt;=Нормативы!$L$166,"II юн",IF(L160&lt;=Нормативы!$L$167,"III юн","б/р")))))))))))</f>
        <v xml:space="preserve"> </v>
      </c>
      <c r="N160" s="59" t="str">
        <f>IF(ISBLANK(L160)," ",IF(ISTEXT(L160)," ",IF(L160&lt;=349,"МСМК",IF(L160&lt;=404.4,"МС",IF(L160&lt;=414,"КМС",IF(L160&lt;=430,"I",IF(L160&lt;=448,"II",IF(L160&lt;=508,"III",IF(L160&lt;=534,"I юн",IF(L160&lt;=601,"II юн",IF(L160&lt;=630,"III юн","б/р")))))))))))</f>
        <v xml:space="preserve"> </v>
      </c>
      <c r="O160" s="59"/>
      <c r="Q160" s="59" t="str">
        <f t="shared" ref="Q160" si="126">IF(ISBLANK(P160)," ",IF(ISTEXT(P160)," ",IF(P160&lt;=$H$159,"МСМК",IF(P160&lt;=$H$160,"МС",IF(P160&lt;=$H$161,"КМС",IF(P160&lt;=$H$162,"I",IF(P160&lt;=$H$163,"II",IF(P160&lt;=$H$164,"III",IF(P160&lt;=$H$165,"I юн",IF(P160&lt;=$H$166,"II юн",IF(P160&lt;=$H$167,"III юн","б/р")))))))))))</f>
        <v xml:space="preserve"> </v>
      </c>
    </row>
    <row r="161" spans="3:33" x14ac:dyDescent="0.3">
      <c r="C161" s="43"/>
      <c r="D161" s="43"/>
      <c r="E161" s="43"/>
      <c r="F161" s="43"/>
      <c r="G161" s="43"/>
      <c r="H161" s="71">
        <v>412.8</v>
      </c>
      <c r="I161" s="59" t="str">
        <f>IF(ISBLANK(H161)," ",IF(ISTEXT(H161)," ",IF(H161&lt;=Нормативы!$H$159,"МСМК",IF(H161&lt;=Нормативы!$H$160,"МС",IF(H161&lt;=Нормативы!$H$161,"КМС",IF(H161&lt;=Нормативы!$H$162,"I",IF(H161&lt;=Нормативы!$H$163,"II",IF(H161&lt;=Нормативы!$H$164,"III",IF(H161&lt;=Нормативы!$H$165,"I юн",IF(H161&lt;=Нормативы!$H$166,"II юн",IF(H161&lt;=Нормативы!$H$167,"III юн","б/р")))))))))))</f>
        <v>КМС</v>
      </c>
      <c r="J161" s="59" t="str">
        <f>IF(ISBLANK(H161)," ",IF(ISTEXT(H161)," ",IF(H161&lt;=Нормативы!$H$159,"МСМК",IF(H161&lt;=Нормативы!$H$160,"МС",IF(H161&lt;=Нормативы!$H$161,"КМС",IF(H161&lt;=Нормативы!$H$162,"I",IF(H161&lt;=Нормативы!$H$163,"II",IF(H161&lt;=Нормативы!$H$164,"III",IF(H161&lt;=Нормативы!$H$165,"I юн",IF(H161&lt;=Нормативы!$H$166,"II юн",IF(H161&lt;=Нормативы!$H$167,"III юн","б/р")))))))))))</f>
        <v>КМС</v>
      </c>
      <c r="K161" s="75"/>
      <c r="L161" s="74">
        <f t="shared" ref="L161:L167" si="127">H161-0.2</f>
        <v>412.6</v>
      </c>
      <c r="M161" s="59" t="str">
        <f>IF(ISBLANK(L161)," ",IF(ISTEXT(L161)," ",IF(L161&lt;=Нормативы!$H$159,"КМС",IF(L161&lt;=Нормативы!$H$160,"КМС",IF(L161&lt;=Нормативы!$L$161,"КМС",IF(L161&lt;=Нормативы!$L$162,"I",IF(L161&lt;=Нормативы!$L$163,"II",IF(L161&lt;=Нормативы!$L$164,"III",IF(L161&lt;=Нормативы!$L$165,"I юн",IF(L161&lt;=Нормативы!$L$166,"II юн",IF(L161&lt;=Нормативы!$L$167,"III юн","б/р")))))))))))</f>
        <v>КМС</v>
      </c>
      <c r="N161" s="59" t="str">
        <f>IF(ISBLANK(L161)," ",IF(ISTEXT(L161)," ",IF(L161&lt;=Нормативы!$H$159,"КМС",IF(L161&lt;=Нормативы!$H$160,"КМС",IF(L161&lt;=Нормативы!$L$161,"КМС",IF(L161&lt;=Нормативы!$L$162,"I",IF(L161&lt;=Нормативы!$L$163,"II",IF(L161&lt;=Нормативы!$L$164,"III",IF(L161&lt;=Нормативы!$L$165,"I юн",IF(L161&lt;=Нормативы!$L$166,"II юн",IF(L161&lt;=Нормативы!$L$167,"III юн","б/р")))))))))))</f>
        <v>КМС</v>
      </c>
      <c r="O161" s="59"/>
      <c r="Q161" s="59" t="str">
        <f t="shared" ref="Q161" si="128">IF(ISBLANK(P161)," ",IF(ISTEXT(P161)," ",IF(P161&lt;=$H$159,"МСМК",IF(P161&lt;=$H$160,"МС",IF(P161&lt;=$H$161,"КМС",IF(P161&lt;=$H$162,"I",IF(P161&lt;=$H$163,"II",IF(P161&lt;=$H$164,"III",IF(P161&lt;=$H$165,"I юн",IF(P161&lt;=$H$166,"II юн",IF(P161&lt;=$H$167,"III юн","б/р")))))))))))</f>
        <v xml:space="preserve"> </v>
      </c>
    </row>
    <row r="162" spans="3:33" x14ac:dyDescent="0.3">
      <c r="C162" s="43"/>
      <c r="D162" s="43"/>
      <c r="E162" s="43"/>
      <c r="F162" s="43"/>
      <c r="G162" s="43"/>
      <c r="H162" s="71">
        <v>428.2</v>
      </c>
      <c r="I162" s="59" t="str">
        <f>IF(ISBLANK(H162)," ",IF(ISTEXT(H162)," ",IF(H162&lt;=Нормативы!$H$159,"МСМК",IF(H162&lt;=Нормативы!$H$160,"МС",IF(H162&lt;=Нормативы!$H$161,"КМС",IF(H162&lt;=Нормативы!$H$162,"I",IF(H162&lt;=Нормативы!$H$163,"II",IF(H162&lt;=Нормативы!$H$164,"III",IF(H162&lt;=Нормативы!$H$165,"I юн",IF(H162&lt;=Нормативы!$H$166,"II юн",IF(H162&lt;=Нормативы!$H$167,"III юн","б/р")))))))))))</f>
        <v>I</v>
      </c>
      <c r="J162" s="59" t="str">
        <f>IF(ISBLANK(H162)," ",IF(ISTEXT(H162)," ",IF(H162&lt;=Нормативы!$H$159,"МСМК",IF(H162&lt;=Нормативы!$H$160,"МС",IF(H162&lt;=Нормативы!$H$161,"КМС",IF(H162&lt;=Нормативы!$H$162,"I",IF(H162&lt;=Нормативы!$H$163,"II",IF(H162&lt;=Нормативы!$H$164,"III",IF(H162&lt;=Нормативы!$H$165,"I юн",IF(H162&lt;=Нормативы!$H$166,"II юн",IF(H162&lt;=Нормативы!$H$167,"III юн","б/р")))))))))))</f>
        <v>I</v>
      </c>
      <c r="K162" s="75"/>
      <c r="L162" s="74">
        <f t="shared" si="127"/>
        <v>428</v>
      </c>
      <c r="M162" s="59" t="str">
        <f>IF(ISBLANK(L162)," ",IF(ISTEXT(L162)," ",IF(L162&lt;=Нормативы!$H$159,"КМС",IF(L162&lt;=Нормативы!$H$160,"КМС",IF(L162&lt;=Нормативы!$L$161,"КМС",IF(L162&lt;=Нормативы!$L$162,"I",IF(L162&lt;=Нормативы!$L$163,"II",IF(L162&lt;=Нормативы!$L$164,"III",IF(L162&lt;=Нормативы!$L$165,"I юн",IF(L162&lt;=Нормативы!$L$166,"II юн",IF(L162&lt;=Нормативы!$L$167,"III юн","б/р")))))))))))</f>
        <v>I</v>
      </c>
      <c r="N162" s="59" t="str">
        <f>IF(ISBLANK(L162)," ",IF(ISTEXT(L162)," ",IF(L162&lt;=Нормативы!$H$159,"КМС",IF(L162&lt;=Нормативы!$H$160,"КМС",IF(L162&lt;=Нормативы!$L$161,"КМС",IF(L162&lt;=Нормативы!$L$162,"I",IF(L162&lt;=Нормативы!$L$163,"II",IF(L162&lt;=Нормативы!$L$164,"III",IF(L162&lt;=Нормативы!$L$165,"I юн",IF(L162&lt;=Нормативы!$L$166,"II юн",IF(L162&lt;=Нормативы!$L$167,"III юн","б/р")))))))))))</f>
        <v>I</v>
      </c>
      <c r="O162" s="59"/>
      <c r="Q162" s="59" t="str">
        <f t="shared" ref="Q162" si="129">IF(ISBLANK(P162)," ",IF(ISTEXT(P162)," ",IF(P162&lt;=$H$159,"МСМК",IF(P162&lt;=$H$160,"МС",IF(P162&lt;=$H$161,"КМС",IF(P162&lt;=$H$162,"I",IF(P162&lt;=$H$163,"II",IF(P162&lt;=$H$164,"III",IF(P162&lt;=$H$165,"I юн",IF(P162&lt;=$H$166,"II юн",IF(P162&lt;=$H$167,"III юн","б/р")))))))))))</f>
        <v xml:space="preserve"> </v>
      </c>
    </row>
    <row r="163" spans="3:33" x14ac:dyDescent="0.3">
      <c r="C163" s="43"/>
      <c r="D163" s="43"/>
      <c r="E163" s="43"/>
      <c r="F163" s="43"/>
      <c r="G163" s="43"/>
      <c r="H163" s="71">
        <v>446.7</v>
      </c>
      <c r="I163" s="59" t="str">
        <f>IF(ISBLANK(H163)," ",IF(ISTEXT(H163)," ",IF(H163&lt;=Нормативы!$H$159,"МСМК",IF(H163&lt;=Нормативы!$H$160,"МС",IF(H163&lt;=Нормативы!$H$161,"КМС",IF(H163&lt;=Нормативы!$H$162,"I",IF(H163&lt;=Нормативы!$H$163,"II",IF(H163&lt;=Нормативы!$H$164,"III",IF(H163&lt;=Нормативы!$H$165,"I юн",IF(H163&lt;=Нормативы!$H$166,"II юн",IF(H163&lt;=Нормативы!$H$167,"III юн","б/р")))))))))))</f>
        <v>II</v>
      </c>
      <c r="J163" s="59" t="str">
        <f>IF(ISBLANK(H163)," ",IF(ISTEXT(H163)," ",IF(H163&lt;=Нормативы!$H$159,"МСМК",IF(H163&lt;=Нормативы!$H$160,"МС",IF(H163&lt;=Нормативы!$H$161,"КМС",IF(H163&lt;=Нормативы!$H$162,"I",IF(H163&lt;=Нормативы!$H$163,"II",IF(H163&lt;=Нормативы!$H$164,"III",IF(H163&lt;=Нормативы!$H$165,"I юн",IF(H163&lt;=Нормативы!$H$166,"II юн",IF(H163&lt;=Нормативы!$H$167,"III юн","б/р")))))))))))</f>
        <v>II</v>
      </c>
      <c r="K163" s="75"/>
      <c r="L163" s="74">
        <f t="shared" si="127"/>
        <v>446.5</v>
      </c>
      <c r="M163" s="59" t="str">
        <f>IF(ISBLANK(L163)," ",IF(ISTEXT(L163)," ",IF(L163&lt;=Нормативы!$H$159,"КМС",IF(L163&lt;=Нормативы!$H$160,"КМС",IF(L163&lt;=Нормативы!$L$161,"КМС",IF(L163&lt;=Нормативы!$L$162,"I",IF(L163&lt;=Нормативы!$L$163,"II",IF(L163&lt;=Нормативы!$L$164,"III",IF(L163&lt;=Нормативы!$L$165,"I юн",IF(L163&lt;=Нормативы!$L$166,"II юн",IF(L163&lt;=Нормативы!$L$167,"III юн","б/р")))))))))))</f>
        <v>II</v>
      </c>
      <c r="N163" s="59" t="str">
        <f>IF(ISBLANK(L163)," ",IF(ISTEXT(L163)," ",IF(L163&lt;=Нормативы!$H$159,"КМС",IF(L163&lt;=Нормативы!$H$160,"КМС",IF(L163&lt;=Нормативы!$L$161,"КМС",IF(L163&lt;=Нормативы!$L$162,"I",IF(L163&lt;=Нормативы!$L$163,"II",IF(L163&lt;=Нормативы!$L$164,"III",IF(L163&lt;=Нормативы!$L$165,"I юн",IF(L163&lt;=Нормативы!$L$166,"II юн",IF(L163&lt;=Нормативы!$L$167,"III юн","б/р")))))))))))</f>
        <v>II</v>
      </c>
      <c r="O163" s="59"/>
      <c r="Q163" s="59" t="str">
        <f t="shared" ref="Q163" si="130">IF(ISBLANK(P163)," ",IF(ISTEXT(P163)," ",IF(P163&lt;=$H$159,"МСМК",IF(P163&lt;=$H$160,"МС",IF(P163&lt;=$H$161,"КМС",IF(P163&lt;=$H$162,"I",IF(P163&lt;=$H$163,"II",IF(P163&lt;=$H$164,"III",IF(P163&lt;=$H$165,"I юн",IF(P163&lt;=$H$166,"II юн",IF(P163&lt;=$H$167,"III юн","б/р")))))))))))</f>
        <v xml:space="preserve"> </v>
      </c>
    </row>
    <row r="164" spans="3:33" x14ac:dyDescent="0.3">
      <c r="C164" s="43"/>
      <c r="D164" s="43"/>
      <c r="E164" s="43"/>
      <c r="F164" s="43"/>
      <c r="G164" s="43"/>
      <c r="H164" s="71">
        <v>506.2</v>
      </c>
      <c r="I164" s="59" t="str">
        <f>IF(ISBLANK(H164)," ",IF(ISTEXT(H164)," ",IF(H164&lt;=Нормативы!$H$159,"МСМК",IF(H164&lt;=Нормативы!$H$160,"МС",IF(H164&lt;=Нормативы!$H$161,"КМС",IF(H164&lt;=Нормативы!$H$162,"I",IF(H164&lt;=Нормативы!$H$163,"II",IF(H164&lt;=Нормативы!$H$164,"III",IF(H164&lt;=Нормативы!$H$165,"I юн",IF(H164&lt;=Нормативы!$H$166,"II юн",IF(H164&lt;=Нормативы!$H$167,"III юн","б/р")))))))))))</f>
        <v>III</v>
      </c>
      <c r="J164" s="59" t="str">
        <f>IF(ISBLANK(H164)," ",IF(ISTEXT(H164)," ",IF(H164&lt;=Нормативы!$H$159,"МСМК",IF(H164&lt;=Нормативы!$H$160,"МС",IF(H164&lt;=Нормативы!$H$161,"КМС",IF(H164&lt;=Нормативы!$H$162,"I",IF(H164&lt;=Нормативы!$H$163,"II",IF(H164&lt;=Нормативы!$H$164,"III",IF(H164&lt;=Нормативы!$H$165,"I юн",IF(H164&lt;=Нормативы!$H$166,"II юн",IF(H164&lt;=Нормативы!$H$167,"III юн","б/р")))))))))))</f>
        <v>III</v>
      </c>
      <c r="K164" s="75"/>
      <c r="L164" s="74">
        <f t="shared" si="127"/>
        <v>506</v>
      </c>
      <c r="M164" s="59" t="str">
        <f>IF(ISBLANK(L164)," ",IF(ISTEXT(L164)," ",IF(L164&lt;=Нормативы!$H$159,"КМС",IF(L164&lt;=Нормативы!$H$160,"КМС",IF(L164&lt;=Нормативы!$L$161,"КМС",IF(L164&lt;=Нормативы!$L$162,"I",IF(L164&lt;=Нормативы!$L$163,"II",IF(L164&lt;=Нормативы!$L$164,"III",IF(L164&lt;=Нормативы!$L$165,"I юн",IF(L164&lt;=Нормативы!$L$166,"II юн",IF(L164&lt;=Нормативы!$L$167,"III юн","б/р")))))))))))</f>
        <v>III</v>
      </c>
      <c r="N164" s="59" t="str">
        <f>IF(ISBLANK(L164)," ",IF(ISTEXT(L164)," ",IF(L164&lt;=Нормативы!$H$159,"КМС",IF(L164&lt;=Нормативы!$H$160,"КМС",IF(L164&lt;=Нормативы!$L$161,"КМС",IF(L164&lt;=Нормативы!$L$162,"I",IF(L164&lt;=Нормативы!$L$163,"II",IF(L164&lt;=Нормативы!$L$164,"III",IF(L164&lt;=Нормативы!$L$165,"I юн",IF(L164&lt;=Нормативы!$L$166,"II юн",IF(L164&lt;=Нормативы!$L$167,"III юн","б/р")))))))))))</f>
        <v>III</v>
      </c>
      <c r="O164" s="59"/>
      <c r="Q164" s="59" t="str">
        <f t="shared" ref="Q164" si="131">IF(ISBLANK(P164)," ",IF(ISTEXT(P164)," ",IF(P164&lt;=$H$159,"МСМК",IF(P164&lt;=$H$160,"МС",IF(P164&lt;=$H$161,"КМС",IF(P164&lt;=$H$162,"I",IF(P164&lt;=$H$163,"II",IF(P164&lt;=$H$164,"III",IF(P164&lt;=$H$165,"I юн",IF(P164&lt;=$H$166,"II юн",IF(P164&lt;=$H$167,"III юн","б/р")))))))))))</f>
        <v xml:space="preserve"> </v>
      </c>
    </row>
    <row r="165" spans="3:33" x14ac:dyDescent="0.3">
      <c r="C165" s="43"/>
      <c r="D165" s="43"/>
      <c r="E165" s="43"/>
      <c r="F165" s="43"/>
      <c r="G165" s="43"/>
      <c r="H165" s="71">
        <v>530.20000000000005</v>
      </c>
      <c r="I165" s="59" t="str">
        <f>IF(ISBLANK(H165)," ",IF(ISTEXT(H165)," ",IF(H165&lt;=Нормативы!$H$159,"МСМК",IF(H165&lt;=Нормативы!$H$160,"МС",IF(H165&lt;=Нормативы!$H$161,"КМС",IF(H165&lt;=Нормативы!$H$162,"I",IF(H165&lt;=Нормативы!$H$163,"II",IF(H165&lt;=Нормативы!$H$164,"III",IF(H165&lt;=Нормативы!$H$165,"I юн",IF(H165&lt;=Нормативы!$H$166,"II юн",IF(H165&lt;=Нормативы!$H$167,"III юн","б/р")))))))))))</f>
        <v>I юн</v>
      </c>
      <c r="J165" s="59" t="str">
        <f>IF(ISBLANK(H165)," ",IF(ISTEXT(H165)," ",IF(H165&lt;=Нормативы!$H$159,"МСМК",IF(H165&lt;=Нормативы!$H$160,"МС",IF(H165&lt;=Нормативы!$H$161,"КМС",IF(H165&lt;=Нормативы!$H$162,"I",IF(H165&lt;=Нормативы!$H$163,"II",IF(H165&lt;=Нормативы!$H$164,"III",IF(H165&lt;=Нормативы!$H$165,"I юн",IF(H165&lt;=Нормативы!$H$166,"II юн",IF(H165&lt;=Нормативы!$H$167,"III юн","б/р")))))))))))</f>
        <v>I юн</v>
      </c>
      <c r="K165" s="75"/>
      <c r="L165" s="74">
        <f t="shared" si="127"/>
        <v>530</v>
      </c>
      <c r="M165" s="59" t="str">
        <f>IF(ISBLANK(L165)," ",IF(ISTEXT(L165)," ",IF(L165&lt;=Нормативы!$H$159,"КМС",IF(L165&lt;=Нормативы!$H$160,"КМС",IF(L165&lt;=Нормативы!$L$161,"КМС",IF(L165&lt;=Нормативы!$L$162,"I",IF(L165&lt;=Нормативы!$L$163,"II",IF(L165&lt;=Нормативы!$L$164,"III",IF(L165&lt;=Нормативы!$L$165,"I юн",IF(L165&lt;=Нормативы!$L$166,"II юн",IF(L165&lt;=Нормативы!$L$167,"III юн","б/р")))))))))))</f>
        <v>I юн</v>
      </c>
      <c r="N165" s="59" t="str">
        <f>IF(ISBLANK(L165)," ",IF(ISTEXT(L165)," ",IF(L165&lt;=Нормативы!$H$159,"КМС",IF(L165&lt;=Нормативы!$H$160,"КМС",IF(L165&lt;=Нормативы!$L$161,"КМС",IF(L165&lt;=Нормативы!$L$162,"I",IF(L165&lt;=Нормативы!$L$163,"II",IF(L165&lt;=Нормативы!$L$164,"III",IF(L165&lt;=Нормативы!$L$165,"I юн",IF(L165&lt;=Нормативы!$L$166,"II юн",IF(L165&lt;=Нормативы!$L$167,"III юн","б/р")))))))))))</f>
        <v>I юн</v>
      </c>
      <c r="O165" s="59"/>
      <c r="Q165" s="59" t="str">
        <f t="shared" ref="Q165" si="132">IF(ISBLANK(P165)," ",IF(ISTEXT(P165)," ",IF(P165&lt;=$H$159,"МСМК",IF(P165&lt;=$H$160,"МС",IF(P165&lt;=$H$161,"КМС",IF(P165&lt;=$H$162,"I",IF(P165&lt;=$H$163,"II",IF(P165&lt;=$H$164,"III",IF(P165&lt;=$H$165,"I юн",IF(P165&lt;=$H$166,"II юн",IF(P165&lt;=$H$167,"III юн","б/р")))))))))))</f>
        <v xml:space="preserve"> </v>
      </c>
    </row>
    <row r="166" spans="3:33" x14ac:dyDescent="0.3">
      <c r="C166" s="43"/>
      <c r="D166" s="43"/>
      <c r="E166" s="43"/>
      <c r="F166" s="43"/>
      <c r="G166" s="43"/>
      <c r="H166" s="71">
        <v>558.20000000000005</v>
      </c>
      <c r="I166" s="59" t="str">
        <f>IF(ISBLANK(H166)," ",IF(ISTEXT(H166)," ",IF(H166&lt;=Нормативы!$H$159,"МСМК",IF(H166&lt;=Нормативы!$H$160,"МС",IF(H166&lt;=Нормативы!$H$161,"КМС",IF(H166&lt;=Нормативы!$H$162,"I",IF(H166&lt;=Нормативы!$H$163,"II",IF(H166&lt;=Нормативы!$H$164,"III",IF(H166&lt;=Нормативы!$H$165,"I юн",IF(H166&lt;=Нормативы!$H$166,"II юн",IF(H166&lt;=Нормативы!$H$167,"III юн","б/р")))))))))))</f>
        <v>II юн</v>
      </c>
      <c r="J166" s="59" t="str">
        <f>IF(ISBLANK(H166)," ",IF(ISTEXT(H166)," ",IF(H166&lt;=Нормативы!$H$159,"МСМК",IF(H166&lt;=Нормативы!$H$160,"МС",IF(H166&lt;=Нормативы!$H$161,"КМС",IF(H166&lt;=Нормативы!$H$162,"I",IF(H166&lt;=Нормативы!$H$163,"II",IF(H166&lt;=Нормативы!$H$164,"III",IF(H166&lt;=Нормативы!$H$165,"I юн",IF(H166&lt;=Нормативы!$H$166,"II юн",IF(H166&lt;=Нормативы!$H$167,"III юн","б/р")))))))))))</f>
        <v>II юн</v>
      </c>
      <c r="K166" s="75"/>
      <c r="L166" s="74">
        <f t="shared" si="127"/>
        <v>558</v>
      </c>
      <c r="M166" s="59" t="str">
        <f>IF(ISBLANK(L166)," ",IF(ISTEXT(L166)," ",IF(L166&lt;=Нормативы!$H$159,"КМС",IF(L166&lt;=Нормативы!$H$160,"КМС",IF(L166&lt;=Нормативы!$L$161,"КМС",IF(L166&lt;=Нормативы!$L$162,"I",IF(L166&lt;=Нормативы!$L$163,"II",IF(L166&lt;=Нормативы!$L$164,"III",IF(L166&lt;=Нормативы!$L$165,"I юн",IF(L166&lt;=Нормативы!$L$166,"II юн",IF(L166&lt;=Нормативы!$L$167,"III юн","б/р")))))))))))</f>
        <v>II юн</v>
      </c>
      <c r="N166" s="59" t="str">
        <f>IF(ISBLANK(L166)," ",IF(ISTEXT(L166)," ",IF(L166&lt;=Нормативы!$H$159,"КМС",IF(L166&lt;=Нормативы!$H$160,"КМС",IF(L166&lt;=Нормативы!$L$161,"КМС",IF(L166&lt;=Нормативы!$L$162,"I",IF(L166&lt;=Нормативы!$L$163,"II",IF(L166&lt;=Нормативы!$L$164,"III",IF(L166&lt;=Нормативы!$L$165,"I юн",IF(L166&lt;=Нормативы!$L$166,"II юн",IF(L166&lt;=Нормативы!$L$167,"III юн","б/р")))))))))))</f>
        <v>II юн</v>
      </c>
      <c r="O166" s="59"/>
      <c r="Q166" s="59" t="str">
        <f t="shared" ref="Q166" si="133">IF(ISBLANK(P166)," ",IF(ISTEXT(P166)," ",IF(P166&lt;=$H$159,"МСМК",IF(P166&lt;=$H$160,"МС",IF(P166&lt;=$H$161,"КМС",IF(P166&lt;=$H$162,"I",IF(P166&lt;=$H$163,"II",IF(P166&lt;=$H$164,"III",IF(P166&lt;=$H$165,"I юн",IF(P166&lt;=$H$166,"II юн",IF(P166&lt;=$H$167,"III юн","б/р")))))))))))</f>
        <v xml:space="preserve"> </v>
      </c>
    </row>
    <row r="167" spans="3:33" x14ac:dyDescent="0.3">
      <c r="C167" s="43"/>
      <c r="D167" s="43"/>
      <c r="E167" s="43"/>
      <c r="F167" s="43"/>
      <c r="G167" s="43"/>
      <c r="H167" s="71">
        <v>626.20000000000005</v>
      </c>
      <c r="I167" s="59" t="str">
        <f>IF(ISBLANK(H167)," ",IF(ISTEXT(H167)," ",IF(H167&lt;=Нормативы!$H$159,"МСМК",IF(H167&lt;=Нормативы!$H$160,"МС",IF(H167&lt;=Нормативы!$H$161,"КМС",IF(H167&lt;=Нормативы!$H$162,"I",IF(H167&lt;=Нормативы!$H$163,"II",IF(H167&lt;=Нормативы!$H$164,"III",IF(H167&lt;=Нормативы!$H$165,"I юн",IF(H167&lt;=Нормативы!$H$166,"II юн",IF(H167&lt;=Нормативы!$H$167,"III юн","б/р")))))))))))</f>
        <v>III юн</v>
      </c>
      <c r="J167" s="59" t="str">
        <f>IF(ISBLANK(H167)," ",IF(ISTEXT(H167)," ",IF(H167&lt;=Нормативы!$H$159,"МСМК",IF(H167&lt;=Нормативы!$H$160,"МС",IF(H167&lt;=Нормативы!$H$161,"КМС",IF(H167&lt;=Нормативы!$H$162,"I",IF(H167&lt;=Нормативы!$H$163,"II",IF(H167&lt;=Нормативы!$H$164,"III",IF(H167&lt;=Нормативы!$H$165,"I юн",IF(H167&lt;=Нормативы!$H$166,"II юн",IF(H167&lt;=Нормативы!$H$167,"III юн","б/р")))))))))))</f>
        <v>III юн</v>
      </c>
      <c r="K167" s="75"/>
      <c r="L167" s="74">
        <f t="shared" si="127"/>
        <v>626</v>
      </c>
      <c r="M167" s="59" t="str">
        <f>IF(ISBLANK(L167)," ",IF(ISTEXT(L167)," ",IF(L167&lt;=Нормативы!$H$159,"КМС",IF(L167&lt;=Нормативы!$H$160,"КМС",IF(L167&lt;=Нормативы!$L$161,"КМС",IF(L167&lt;=Нормативы!$L$162,"I",IF(L167&lt;=Нормативы!$L$163,"II",IF(L167&lt;=Нормативы!$L$164,"III",IF(L167&lt;=Нормативы!$L$165,"I юн",IF(L167&lt;=Нормативы!$L$166,"II юн",IF(L167&lt;=Нормативы!$L$167,"III юн","б/р")))))))))))</f>
        <v>III юн</v>
      </c>
      <c r="N167" s="59" t="str">
        <f>IF(ISBLANK(L167)," ",IF(ISTEXT(L167)," ",IF(L167&lt;=Нормативы!$H$159,"КМС",IF(L167&lt;=Нормативы!$H$160,"КМС",IF(L167&lt;=Нормативы!$L$161,"КМС",IF(L167&lt;=Нормативы!$L$162,"I",IF(L167&lt;=Нормативы!$L$163,"II",IF(L167&lt;=Нормативы!$L$164,"III",IF(L167&lt;=Нормативы!$L$165,"I юн",IF(L167&lt;=Нормативы!$L$166,"II юн",IF(L167&lt;=Нормативы!$L$167,"III юн","б/р")))))))))))</f>
        <v>III юн</v>
      </c>
      <c r="O167" s="59"/>
      <c r="Q167" s="59" t="str">
        <f t="shared" ref="Q167" si="134">IF(ISBLANK(P167)," ",IF(ISTEXT(P167)," ",IF(P167&lt;=$H$159,"МСМК",IF(P167&lt;=$H$160,"МС",IF(P167&lt;=$H$161,"КМС",IF(P167&lt;=$H$162,"I",IF(P167&lt;=$H$163,"II",IF(P167&lt;=$H$164,"III",IF(P167&lt;=$H$165,"I юн",IF(P167&lt;=$H$166,"II юн",IF(P167&lt;=$H$167,"III юн","б/р")))))))))))</f>
        <v xml:space="preserve"> </v>
      </c>
    </row>
    <row r="168" spans="3:33" x14ac:dyDescent="0.3">
      <c r="C168" s="43"/>
      <c r="D168" s="43"/>
      <c r="E168" s="43"/>
      <c r="F168" s="43"/>
      <c r="G168" s="43"/>
      <c r="H168" s="74"/>
      <c r="I168" s="43"/>
      <c r="J168" s="43"/>
      <c r="K168" s="75"/>
      <c r="L168" s="43"/>
      <c r="M168" s="43"/>
      <c r="N168" s="43"/>
      <c r="P168" s="82"/>
      <c r="Q168" s="43"/>
      <c r="R168" s="82"/>
      <c r="S168" s="82"/>
      <c r="T168" s="82"/>
      <c r="U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</row>
    <row r="169" spans="3:33" x14ac:dyDescent="0.3">
      <c r="C169" s="68" t="s">
        <v>162</v>
      </c>
      <c r="D169" s="43"/>
      <c r="E169" s="43"/>
      <c r="F169" s="43"/>
      <c r="G169" s="43"/>
      <c r="H169" s="71"/>
      <c r="I169" s="43"/>
      <c r="J169" s="43"/>
      <c r="K169" s="84"/>
      <c r="L169" s="43"/>
      <c r="M169" s="43"/>
      <c r="N169" s="43"/>
      <c r="P169" s="83"/>
      <c r="Q169" s="43"/>
      <c r="R169" s="83"/>
      <c r="S169" s="83"/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</row>
    <row r="170" spans="3:33" x14ac:dyDescent="0.3">
      <c r="C170" s="43"/>
      <c r="D170" s="43"/>
      <c r="E170" s="43"/>
      <c r="F170" s="43"/>
      <c r="G170" s="43"/>
      <c r="H170" s="71">
        <v>332.4</v>
      </c>
      <c r="I170" s="59" t="str">
        <f>IF(ISBLANK(H170)," ",IF(ISTEXT(H170)," ",IF(H170&lt;=Нормативы!$H$170,"МСМК",IF(H170&lt;=Нормативы!$H$171,"МС",IF(H170&lt;=Нормативы!$H$172,"КМС",IF(H170&lt;=Нормативы!$H$173,"I",IF(H170&lt;=Нормативы!$H$174,"II",IF(H170&lt;=Нормативы!$H$175,"III",IF(H170&lt;=Нормативы!$H$176,"I юн",IF(H170&lt;=Нормативы!$H$177,"II юн",IF(H170&lt;=Нормативы!$H$178,"III юн","б/р")))))))))))</f>
        <v>МСМК</v>
      </c>
      <c r="J170" s="59" t="str">
        <f>IF(ISBLANK(H170)," ",IF(ISTEXT(H170)," ",IF(H170&lt;=Нормативы!$H$170,"МСМК",IF(H170&lt;=Нормативы!$H$171,"МС",IF(H170&lt;=Нормативы!$H$172,"КМС",IF(H170&lt;=Нормативы!$H$173,"I",IF(H170&lt;=Нормативы!$H$174,"II",IF(H170&lt;=Нормативы!$H$175,"III",IF(H170&lt;=Нормативы!$H$176,"I юн",IF(H170&lt;=Нормативы!$H$177,"II юн",IF(H170&lt;=Нормативы!$H$178,"III юн","б/р")))))))))))</f>
        <v>МСМК</v>
      </c>
      <c r="K170" s="90"/>
      <c r="L170" s="71"/>
      <c r="M170" s="59" t="str">
        <f>IF(ISBLANK(L170)," ",IF(ISTEXT(L170)," ",IF(L170&lt;=Нормативы!$H$170,"КМС",IF(L170&lt;=Нормативы!$H$171,"КМС",IF(L170&lt;=Нормативы!$L$172,"КМС",IF(L170&lt;=Нормативы!$L$173,"I",IF(L170&lt;=Нормативы!$L$174,"II",IF(L170&lt;=Нормативы!$L$175,"III",IF(L170&lt;=Нормативы!$L$176,"I юн",IF(L170&lt;=Нормативы!$L$177,"II юн",IF(L170&lt;=Нормативы!$L$178,"III юн","б/р")))))))))))</f>
        <v xml:space="preserve"> </v>
      </c>
      <c r="N170" s="59" t="str">
        <f>IF(ISBLANK(L170)," ",IF(ISTEXT(L170)," ",IF(L170&lt;=332.5,"МСМК",IF(L170&lt;=345.2,"МС",IF(L170&lt;=355,"КМС",IF(L170&lt;=410,"I",IF(L170&lt;=428,"II",IF(L170&lt;=448,"III",IF(L170&lt;=512.5,"I юн",IF(L170&lt;=538.5,"II юн",IF(L170&lt;=607,"III юн","б/р")))))))))))</f>
        <v xml:space="preserve"> </v>
      </c>
      <c r="O170" s="59"/>
      <c r="Q170" s="59" t="str">
        <f>IF(ISBLANK(P170)," ",IF(ISTEXT(P170)," ",IF(P170&lt;=$H$170,"МСМК",IF(P170&lt;=$H$171,"МС",IF(P170&lt;=$H$172,"КМС",IF(P170&lt;=$H$173,"I",IF(P170&lt;=$H$174,"II",IF(P170&lt;=$H$175,"III",IF(P170&lt;=$H$176,"I юн",IF(P170&lt;=$H$177,"II юн",IF(P170&lt;=$H$178,"III юн","б/р")))))))))))</f>
        <v xml:space="preserve"> </v>
      </c>
    </row>
    <row r="171" spans="3:33" x14ac:dyDescent="0.3">
      <c r="C171" s="43"/>
      <c r="D171" s="43"/>
      <c r="E171" s="43"/>
      <c r="F171" s="43"/>
      <c r="G171" s="43"/>
      <c r="H171" s="71">
        <v>342.5</v>
      </c>
      <c r="I171" s="59" t="str">
        <f>IF(ISBLANK(H171)," ",IF(ISTEXT(H171)," ",IF(H171&lt;=Нормативы!$H$170,"МСМК",IF(H171&lt;=Нормативы!$H$171,"МС",IF(H171&lt;=Нормативы!$H$172,"КМС",IF(H171&lt;=Нормативы!$H$173,"I",IF(H171&lt;=Нормативы!$H$174,"II",IF(H171&lt;=Нормативы!$H$175,"III",IF(H171&lt;=Нормативы!$H$176,"I юн",IF(H171&lt;=Нормативы!$H$177,"II юн",IF(H171&lt;=Нормативы!$H$178,"III юн","б/р")))))))))))</f>
        <v>МС</v>
      </c>
      <c r="J171" s="59" t="str">
        <f>IF(ISBLANK(H171)," ",IF(ISTEXT(H171)," ",IF(H171&lt;=Нормативы!$H$170,"МСМК",IF(H171&lt;=Нормативы!$H$171,"МС",IF(H171&lt;=Нормативы!$H$172,"КМС",IF(H171&lt;=Нормативы!$H$173,"I",IF(H171&lt;=Нормативы!$H$174,"II",IF(H171&lt;=Нормативы!$H$175,"III",IF(H171&lt;=Нормативы!$H$176,"I юн",IF(H171&lt;=Нормативы!$H$177,"II юн",IF(H171&lt;=Нормативы!$H$178,"III юн","б/р")))))))))))</f>
        <v>МС</v>
      </c>
      <c r="K171" s="90"/>
      <c r="L171" s="71"/>
      <c r="M171" s="59" t="str">
        <f>IF(ISBLANK(L171)," ",IF(ISTEXT(L171)," ",IF(L171&lt;=Нормативы!$H$170,"КМС",IF(L171&lt;=Нормативы!$H$171,"КМС",IF(L171&lt;=Нормативы!$L$172,"КМС",IF(L171&lt;=Нормативы!$L$173,"I",IF(L171&lt;=Нормативы!$L$174,"II",IF(L171&lt;=Нормативы!$L$175,"III",IF(L171&lt;=Нормативы!$L$176,"I юн",IF(L171&lt;=Нормативы!$L$177,"II юн",IF(L171&lt;=Нормативы!$L$178,"III юн","б/р")))))))))))</f>
        <v xml:space="preserve"> </v>
      </c>
      <c r="N171" s="59" t="str">
        <f>IF(ISBLANK(L171)," ",IF(ISTEXT(L171)," ",IF(L171&lt;=332.5,"МСМК",IF(L171&lt;=345.2,"МС",IF(L171&lt;=355,"КМС",IF(L171&lt;=410,"I",IF(L171&lt;=428,"II",IF(L171&lt;=448,"III",IF(L171&lt;=512.5,"I юн",IF(L171&lt;=538.5,"II юн",IF(L171&lt;=607,"III юн","б/р")))))))))))</f>
        <v xml:space="preserve"> </v>
      </c>
      <c r="O171" s="59"/>
      <c r="Q171" s="59" t="str">
        <f t="shared" ref="Q171" si="135">IF(ISBLANK(P171)," ",IF(ISTEXT(P171)," ",IF(P171&lt;=$H$170,"МСМК",IF(P171&lt;=$H$171,"МС",IF(P171&lt;=$H$172,"КМС",IF(P171&lt;=$H$173,"I",IF(P171&lt;=$H$174,"II",IF(P171&lt;=$H$175,"III",IF(P171&lt;=$H$176,"I юн",IF(P171&lt;=$H$177,"II юн",IF(P171&lt;=$H$178,"III юн","б/р")))))))))))</f>
        <v xml:space="preserve"> </v>
      </c>
    </row>
    <row r="172" spans="3:33" x14ac:dyDescent="0.3">
      <c r="C172" s="43"/>
      <c r="D172" s="43"/>
      <c r="E172" s="43"/>
      <c r="F172" s="43"/>
      <c r="G172" s="43"/>
      <c r="H172" s="71">
        <v>353.2</v>
      </c>
      <c r="I172" s="59" t="str">
        <f>IF(ISBLANK(H172)," ",IF(ISTEXT(H172)," ",IF(H172&lt;=Нормативы!$H$170,"МСМК",IF(H172&lt;=Нормативы!$H$171,"МС",IF(H172&lt;=Нормативы!$H$172,"КМС",IF(H172&lt;=Нормативы!$H$173,"I",IF(H172&lt;=Нормативы!$H$174,"II",IF(H172&lt;=Нормативы!$H$175,"III",IF(H172&lt;=Нормативы!$H$176,"I юн",IF(H172&lt;=Нормативы!$H$177,"II юн",IF(H172&lt;=Нормативы!$H$178,"III юн","б/р")))))))))))</f>
        <v>КМС</v>
      </c>
      <c r="J172" s="59" t="str">
        <f>IF(ISBLANK(H172)," ",IF(ISTEXT(H172)," ",IF(H172&lt;=Нормативы!$H$170,"МСМК",IF(H172&lt;=Нормативы!$H$171,"МС",IF(H172&lt;=Нормативы!$H$172,"КМС",IF(H172&lt;=Нормативы!$H$173,"I",IF(H172&lt;=Нормативы!$H$174,"II",IF(H172&lt;=Нормативы!$H$175,"III",IF(H172&lt;=Нормативы!$H$176,"I юн",IF(H172&lt;=Нормативы!$H$177,"II юн",IF(H172&lt;=Нормативы!$H$178,"III юн","б/р")))))))))))</f>
        <v>КМС</v>
      </c>
      <c r="K172" s="90"/>
      <c r="L172" s="74">
        <f t="shared" ref="L172:L178" si="136">H172-0.2</f>
        <v>353</v>
      </c>
      <c r="M172" s="59" t="str">
        <f>IF(ISBLANK(L172)," ",IF(ISTEXT(L172)," ",IF(L172&lt;=Нормативы!$H$170,"КМС",IF(L172&lt;=Нормативы!$H$171,"КМС",IF(L172&lt;=Нормативы!$L$172,"КМС",IF(L172&lt;=Нормативы!$L$173,"I",IF(L172&lt;=Нормативы!$L$174,"II",IF(L172&lt;=Нормативы!$L$175,"III",IF(L172&lt;=Нормативы!$L$176,"I юн",IF(L172&lt;=Нормативы!$L$177,"II юн",IF(L172&lt;=Нормативы!$L$178,"III юн","б/р")))))))))))</f>
        <v>КМС</v>
      </c>
      <c r="N172" s="59" t="str">
        <f>IF(ISBLANK(L172)," ",IF(ISTEXT(L172)," ",IF(L172&lt;=Нормативы!$H$170,"КМС",IF(L172&lt;=Нормативы!$H$171,"КМС",IF(L172&lt;=Нормативы!$L$172,"КМС",IF(L172&lt;=Нормативы!$L$173,"I",IF(L172&lt;=Нормативы!$L$174,"II",IF(L172&lt;=Нормативы!$L$175,"III",IF(L172&lt;=Нормативы!$L$176,"I юн",IF(L172&lt;=Нормативы!$L$177,"II юн",IF(L172&lt;=Нормативы!$L$178,"III юн","б/р")))))))))))</f>
        <v>КМС</v>
      </c>
      <c r="O172" s="59"/>
      <c r="Q172" s="59" t="str">
        <f t="shared" ref="Q172" si="137">IF(ISBLANK(P172)," ",IF(ISTEXT(P172)," ",IF(P172&lt;=$H$170,"МСМК",IF(P172&lt;=$H$171,"МС",IF(P172&lt;=$H$172,"КМС",IF(P172&lt;=$H$173,"I",IF(P172&lt;=$H$174,"II",IF(P172&lt;=$H$175,"III",IF(P172&lt;=$H$176,"I юн",IF(P172&lt;=$H$177,"II юн",IF(P172&lt;=$H$178,"III юн","б/р")))))))))))</f>
        <v xml:space="preserve"> </v>
      </c>
    </row>
    <row r="173" spans="3:33" x14ac:dyDescent="0.3">
      <c r="C173" s="43"/>
      <c r="D173" s="43"/>
      <c r="E173" s="43"/>
      <c r="F173" s="43"/>
      <c r="G173" s="43"/>
      <c r="H173" s="71">
        <v>407.2</v>
      </c>
      <c r="I173" s="59" t="str">
        <f>IF(ISBLANK(H173)," ",IF(ISTEXT(H173)," ",IF(H173&lt;=Нормативы!$H$170,"МСМК",IF(H173&lt;=Нормативы!$H$171,"МС",IF(H173&lt;=Нормативы!$H$172,"КМС",IF(H173&lt;=Нормативы!$H$173,"I",IF(H173&lt;=Нормативы!$H$174,"II",IF(H173&lt;=Нормативы!$H$175,"III",IF(H173&lt;=Нормативы!$H$176,"I юн",IF(H173&lt;=Нормативы!$H$177,"II юн",IF(H173&lt;=Нормативы!$H$178,"III юн","б/р")))))))))))</f>
        <v>I</v>
      </c>
      <c r="J173" s="59" t="str">
        <f>IF(ISBLANK(H173)," ",IF(ISTEXT(H173)," ",IF(H173&lt;=Нормативы!$H$170,"МСМК",IF(H173&lt;=Нормативы!$H$171,"МС",IF(H173&lt;=Нормативы!$H$172,"КМС",IF(H173&lt;=Нормативы!$H$173,"I",IF(H173&lt;=Нормативы!$H$174,"II",IF(H173&lt;=Нормативы!$H$175,"III",IF(H173&lt;=Нормативы!$H$176,"I юн",IF(H173&lt;=Нормативы!$H$177,"II юн",IF(H173&lt;=Нормативы!$H$178,"III юн","б/р")))))))))))</f>
        <v>I</v>
      </c>
      <c r="K173" s="90"/>
      <c r="L173" s="74">
        <f t="shared" si="136"/>
        <v>407</v>
      </c>
      <c r="M173" s="59" t="str">
        <f>IF(ISBLANK(L173)," ",IF(ISTEXT(L173)," ",IF(L173&lt;=Нормативы!$H$170,"КМС",IF(L173&lt;=Нормативы!$H$171,"КМС",IF(L173&lt;=Нормативы!$L$172,"КМС",IF(L173&lt;=Нормативы!$L$173,"I",IF(L173&lt;=Нормативы!$L$174,"II",IF(L173&lt;=Нормативы!$L$175,"III",IF(L173&lt;=Нормативы!$L$176,"I юн",IF(L173&lt;=Нормативы!$L$177,"II юн",IF(L173&lt;=Нормативы!$L$178,"III юн","б/р")))))))))))</f>
        <v>I</v>
      </c>
      <c r="N173" s="59" t="str">
        <f>IF(ISBLANK(L173)," ",IF(ISTEXT(L173)," ",IF(L173&lt;=Нормативы!$H$170,"КМС",IF(L173&lt;=Нормативы!$H$171,"КМС",IF(L173&lt;=Нормативы!$L$172,"КМС",IF(L173&lt;=Нормативы!$L$173,"I",IF(L173&lt;=Нормативы!$L$174,"II",IF(L173&lt;=Нормативы!$L$175,"III",IF(L173&lt;=Нормативы!$L$176,"I юн",IF(L173&lt;=Нормативы!$L$177,"II юн",IF(L173&lt;=Нормативы!$L$178,"III юн","б/р")))))))))))</f>
        <v>I</v>
      </c>
      <c r="O173" s="59"/>
      <c r="Q173" s="59" t="str">
        <f t="shared" ref="Q173" si="138">IF(ISBLANK(P173)," ",IF(ISTEXT(P173)," ",IF(P173&lt;=$H$170,"МСМК",IF(P173&lt;=$H$171,"МС",IF(P173&lt;=$H$172,"КМС",IF(P173&lt;=$H$173,"I",IF(P173&lt;=$H$174,"II",IF(P173&lt;=$H$175,"III",IF(P173&lt;=$H$176,"I юн",IF(P173&lt;=$H$177,"II юн",IF(P173&lt;=$H$178,"III юн","б/р")))))))))))</f>
        <v xml:space="preserve"> </v>
      </c>
    </row>
    <row r="174" spans="3:33" x14ac:dyDescent="0.3">
      <c r="C174" s="43"/>
      <c r="D174" s="43"/>
      <c r="E174" s="43"/>
      <c r="F174" s="43"/>
      <c r="G174" s="43"/>
      <c r="H174" s="71">
        <v>425.2</v>
      </c>
      <c r="I174" s="59" t="str">
        <f>IF(ISBLANK(H174)," ",IF(ISTEXT(H174)," ",IF(H174&lt;=Нормативы!$H$170,"МСМК",IF(H174&lt;=Нормативы!$H$171,"МС",IF(H174&lt;=Нормативы!$H$172,"КМС",IF(H174&lt;=Нормативы!$H$173,"I",IF(H174&lt;=Нормативы!$H$174,"II",IF(H174&lt;=Нормативы!$H$175,"III",IF(H174&lt;=Нормативы!$H$176,"I юн",IF(H174&lt;=Нормативы!$H$177,"II юн",IF(H174&lt;=Нормативы!$H$178,"III юн","б/р")))))))))))</f>
        <v>II</v>
      </c>
      <c r="J174" s="59" t="str">
        <f>IF(ISBLANK(H174)," ",IF(ISTEXT(H174)," ",IF(H174&lt;=Нормативы!$H$170,"МСМК",IF(H174&lt;=Нормативы!$H$171,"МС",IF(H174&lt;=Нормативы!$H$172,"КМС",IF(H174&lt;=Нормативы!$H$173,"I",IF(H174&lt;=Нормативы!$H$174,"II",IF(H174&lt;=Нормативы!$H$175,"III",IF(H174&lt;=Нормативы!$H$176,"I юн",IF(H174&lt;=Нормативы!$H$177,"II юн",IF(H174&lt;=Нормативы!$H$178,"III юн","б/р")))))))))))</f>
        <v>II</v>
      </c>
      <c r="K174" s="90"/>
      <c r="L174" s="74">
        <f t="shared" si="136"/>
        <v>425</v>
      </c>
      <c r="M174" s="59" t="str">
        <f>IF(ISBLANK(L174)," ",IF(ISTEXT(L174)," ",IF(L174&lt;=Нормативы!$H$170,"КМС",IF(L174&lt;=Нормативы!$H$171,"КМС",IF(L174&lt;=Нормативы!$L$172,"КМС",IF(L174&lt;=Нормативы!$L$173,"I",IF(L174&lt;=Нормативы!$L$174,"II",IF(L174&lt;=Нормативы!$L$175,"III",IF(L174&lt;=Нормативы!$L$176,"I юн",IF(L174&lt;=Нормативы!$L$177,"II юн",IF(L174&lt;=Нормативы!$L$178,"III юн","б/р")))))))))))</f>
        <v>II</v>
      </c>
      <c r="N174" s="59" t="str">
        <f>IF(ISBLANK(L174)," ",IF(ISTEXT(L174)," ",IF(L174&lt;=Нормативы!$H$170,"КМС",IF(L174&lt;=Нормативы!$H$171,"КМС",IF(L174&lt;=Нормативы!$L$172,"КМС",IF(L174&lt;=Нормативы!$L$173,"I",IF(L174&lt;=Нормативы!$L$174,"II",IF(L174&lt;=Нормативы!$L$175,"III",IF(L174&lt;=Нормативы!$L$176,"I юн",IF(L174&lt;=Нормативы!$L$177,"II юн",IF(L174&lt;=Нормативы!$L$178,"III юн","б/р")))))))))))</f>
        <v>II</v>
      </c>
      <c r="O174" s="59"/>
      <c r="Q174" s="59" t="str">
        <f t="shared" ref="Q174" si="139">IF(ISBLANK(P174)," ",IF(ISTEXT(P174)," ",IF(P174&lt;=$H$170,"МСМК",IF(P174&lt;=$H$171,"МС",IF(P174&lt;=$H$172,"КМС",IF(P174&lt;=$H$173,"I",IF(P174&lt;=$H$174,"II",IF(P174&lt;=$H$175,"III",IF(P174&lt;=$H$176,"I юн",IF(P174&lt;=$H$177,"II юн",IF(P174&lt;=$H$178,"III юн","б/р")))))))))))</f>
        <v xml:space="preserve"> </v>
      </c>
    </row>
    <row r="175" spans="3:33" x14ac:dyDescent="0.3">
      <c r="C175" s="43"/>
      <c r="D175" s="43"/>
      <c r="E175" s="43"/>
      <c r="F175" s="43"/>
      <c r="G175" s="43"/>
      <c r="H175" s="71">
        <v>445.2</v>
      </c>
      <c r="I175" s="59" t="str">
        <f>IF(ISBLANK(H175)," ",IF(ISTEXT(H175)," ",IF(H175&lt;=Нормативы!$H$170,"МСМК",IF(H175&lt;=Нормативы!$H$171,"МС",IF(H175&lt;=Нормативы!$H$172,"КМС",IF(H175&lt;=Нормативы!$H$173,"I",IF(H175&lt;=Нормативы!$H$174,"II",IF(H175&lt;=Нормативы!$H$175,"III",IF(H175&lt;=Нормативы!$H$176,"I юн",IF(H175&lt;=Нормативы!$H$177,"II юн",IF(H175&lt;=Нормативы!$H$178,"III юн","б/р")))))))))))</f>
        <v>III</v>
      </c>
      <c r="J175" s="59" t="str">
        <f>IF(ISBLANK(H175)," ",IF(ISTEXT(H175)," ",IF(H175&lt;=Нормативы!$H$170,"МСМК",IF(H175&lt;=Нормативы!$H$171,"МС",IF(H175&lt;=Нормативы!$H$172,"КМС",IF(H175&lt;=Нормативы!$H$173,"I",IF(H175&lt;=Нормативы!$H$174,"II",IF(H175&lt;=Нормативы!$H$175,"III",IF(H175&lt;=Нормативы!$H$176,"I юн",IF(H175&lt;=Нормативы!$H$177,"II юн",IF(H175&lt;=Нормативы!$H$178,"III юн","б/р")))))))))))</f>
        <v>III</v>
      </c>
      <c r="K175" s="90"/>
      <c r="L175" s="74">
        <f t="shared" si="136"/>
        <v>445</v>
      </c>
      <c r="M175" s="59" t="str">
        <f>IF(ISBLANK(L175)," ",IF(ISTEXT(L175)," ",IF(L175&lt;=Нормативы!$H$170,"КМС",IF(L175&lt;=Нормативы!$H$171,"КМС",IF(L175&lt;=Нормативы!$L$172,"КМС",IF(L175&lt;=Нормативы!$L$173,"I",IF(L175&lt;=Нормативы!$L$174,"II",IF(L175&lt;=Нормативы!$L$175,"III",IF(L175&lt;=Нормативы!$L$176,"I юн",IF(L175&lt;=Нормативы!$L$177,"II юн",IF(L175&lt;=Нормативы!$L$178,"III юн","б/р")))))))))))</f>
        <v>III</v>
      </c>
      <c r="N175" s="59" t="str">
        <f>IF(ISBLANK(L175)," ",IF(ISTEXT(L175)," ",IF(L175&lt;=Нормативы!$H$170,"КМС",IF(L175&lt;=Нормативы!$H$171,"КМС",IF(L175&lt;=Нормативы!$L$172,"КМС",IF(L175&lt;=Нормативы!$L$173,"I",IF(L175&lt;=Нормативы!$L$174,"II",IF(L175&lt;=Нормативы!$L$175,"III",IF(L175&lt;=Нормативы!$L$176,"I юн",IF(L175&lt;=Нормативы!$L$177,"II юн",IF(L175&lt;=Нормативы!$L$178,"III юн","б/р")))))))))))</f>
        <v>III</v>
      </c>
      <c r="O175" s="59"/>
      <c r="Q175" s="59" t="str">
        <f t="shared" ref="Q175" si="140">IF(ISBLANK(P175)," ",IF(ISTEXT(P175)," ",IF(P175&lt;=$H$170,"МСМК",IF(P175&lt;=$H$171,"МС",IF(P175&lt;=$H$172,"КМС",IF(P175&lt;=$H$173,"I",IF(P175&lt;=$H$174,"II",IF(P175&lt;=$H$175,"III",IF(P175&lt;=$H$176,"I юн",IF(P175&lt;=$H$177,"II юн",IF(P175&lt;=$H$178,"III юн","б/р")))))))))))</f>
        <v xml:space="preserve"> </v>
      </c>
    </row>
    <row r="176" spans="3:33" x14ac:dyDescent="0.3">
      <c r="C176" s="43"/>
      <c r="D176" s="43"/>
      <c r="E176" s="43"/>
      <c r="F176" s="43"/>
      <c r="G176" s="43"/>
      <c r="H176" s="71">
        <v>507.7</v>
      </c>
      <c r="I176" s="59" t="str">
        <f>IF(ISBLANK(H176)," ",IF(ISTEXT(H176)," ",IF(H176&lt;=Нормативы!$H$170,"МСМК",IF(H176&lt;=Нормативы!$H$171,"МС",IF(H176&lt;=Нормативы!$H$172,"КМС",IF(H176&lt;=Нормативы!$H$173,"I",IF(H176&lt;=Нормативы!$H$174,"II",IF(H176&lt;=Нормативы!$H$175,"III",IF(H176&lt;=Нормативы!$H$176,"I юн",IF(H176&lt;=Нормативы!$H$177,"II юн",IF(H176&lt;=Нормативы!$H$178,"III юн","б/р")))))))))))</f>
        <v>I юн</v>
      </c>
      <c r="J176" s="59" t="str">
        <f>IF(ISBLANK(H176)," ",IF(ISTEXT(H176)," ",IF(H176&lt;=Нормативы!$H$170,"МСМК",IF(H176&lt;=Нормативы!$H$171,"МС",IF(H176&lt;=Нормативы!$H$172,"КМС",IF(H176&lt;=Нормативы!$H$173,"I",IF(H176&lt;=Нормативы!$H$174,"II",IF(H176&lt;=Нормативы!$H$175,"III",IF(H176&lt;=Нормативы!$H$176,"I юн",IF(H176&lt;=Нормативы!$H$177,"II юн",IF(H176&lt;=Нормативы!$H$178,"III юн","б/р")))))))))))</f>
        <v>I юн</v>
      </c>
      <c r="K176" s="90"/>
      <c r="L176" s="74">
        <f t="shared" si="136"/>
        <v>507.5</v>
      </c>
      <c r="M176" s="59" t="str">
        <f>IF(ISBLANK(L176)," ",IF(ISTEXT(L176)," ",IF(L176&lt;=Нормативы!$H$170,"КМС",IF(L176&lt;=Нормативы!$H$171,"КМС",IF(L176&lt;=Нормативы!$L$172,"КМС",IF(L176&lt;=Нормативы!$L$173,"I",IF(L176&lt;=Нормативы!$L$174,"II",IF(L176&lt;=Нормативы!$L$175,"III",IF(L176&lt;=Нормативы!$L$176,"I юн",IF(L176&lt;=Нормативы!$L$177,"II юн",IF(L176&lt;=Нормативы!$L$178,"III юн","б/р")))))))))))</f>
        <v>I юн</v>
      </c>
      <c r="N176" s="59" t="str">
        <f>IF(ISBLANK(L176)," ",IF(ISTEXT(L176)," ",IF(L176&lt;=Нормативы!$H$170,"КМС",IF(L176&lt;=Нормативы!$H$171,"КМС",IF(L176&lt;=Нормативы!$L$172,"КМС",IF(L176&lt;=Нормативы!$L$173,"I",IF(L176&lt;=Нормативы!$L$174,"II",IF(L176&lt;=Нормативы!$L$175,"III",IF(L176&lt;=Нормативы!$L$176,"I юн",IF(L176&lt;=Нормативы!$L$177,"II юн",IF(L176&lt;=Нормативы!$L$178,"III юн","б/р")))))))))))</f>
        <v>I юн</v>
      </c>
      <c r="O176" s="59"/>
      <c r="Q176" s="59" t="str">
        <f t="shared" ref="Q176" si="141">IF(ISBLANK(P176)," ",IF(ISTEXT(P176)," ",IF(P176&lt;=$H$170,"МСМК",IF(P176&lt;=$H$171,"МС",IF(P176&lt;=$H$172,"КМС",IF(P176&lt;=$H$173,"I",IF(P176&lt;=$H$174,"II",IF(P176&lt;=$H$175,"III",IF(P176&lt;=$H$176,"I юн",IF(P176&lt;=$H$177,"II юн",IF(P176&lt;=$H$178,"III юн","б/р")))))))))))</f>
        <v xml:space="preserve"> </v>
      </c>
    </row>
    <row r="177" spans="3:33" x14ac:dyDescent="0.3">
      <c r="C177" s="43"/>
      <c r="D177" s="43"/>
      <c r="E177" s="43"/>
      <c r="F177" s="43"/>
      <c r="G177" s="43"/>
      <c r="H177" s="71">
        <v>530.70000000000005</v>
      </c>
      <c r="I177" s="59" t="str">
        <f>IF(ISBLANK(H177)," ",IF(ISTEXT(H177)," ",IF(H177&lt;=Нормативы!$H$170,"МСМК",IF(H177&lt;=Нормативы!$H$171,"МС",IF(H177&lt;=Нормативы!$H$172,"КМС",IF(H177&lt;=Нормативы!$H$173,"I",IF(H177&lt;=Нормативы!$H$174,"II",IF(H177&lt;=Нормативы!$H$175,"III",IF(H177&lt;=Нормативы!$H$176,"I юн",IF(H177&lt;=Нормативы!$H$177,"II юн",IF(H177&lt;=Нормативы!$H$178,"III юн","б/р")))))))))))</f>
        <v>II юн</v>
      </c>
      <c r="J177" s="59" t="str">
        <f>IF(ISBLANK(H177)," ",IF(ISTEXT(H177)," ",IF(H177&lt;=Нормативы!$H$170,"МСМК",IF(H177&lt;=Нормативы!$H$171,"МС",IF(H177&lt;=Нормативы!$H$172,"КМС",IF(H177&lt;=Нормативы!$H$173,"I",IF(H177&lt;=Нормативы!$H$174,"II",IF(H177&lt;=Нормативы!$H$175,"III",IF(H177&lt;=Нормативы!$H$176,"I юн",IF(H177&lt;=Нормативы!$H$177,"II юн",IF(H177&lt;=Нормативы!$H$178,"III юн","б/р")))))))))))</f>
        <v>II юн</v>
      </c>
      <c r="K177" s="90"/>
      <c r="L177" s="74">
        <f t="shared" si="136"/>
        <v>530.5</v>
      </c>
      <c r="M177" s="59" t="str">
        <f>IF(ISBLANK(L177)," ",IF(ISTEXT(L177)," ",IF(L177&lt;=Нормативы!$H$170,"КМС",IF(L177&lt;=Нормативы!$H$171,"КМС",IF(L177&lt;=Нормативы!$L$172,"КМС",IF(L177&lt;=Нормативы!$L$173,"I",IF(L177&lt;=Нормативы!$L$174,"II",IF(L177&lt;=Нормативы!$L$175,"III",IF(L177&lt;=Нормативы!$L$176,"I юн",IF(L177&lt;=Нормативы!$L$177,"II юн",IF(L177&lt;=Нормативы!$L$178,"III юн","б/р")))))))))))</f>
        <v>II юн</v>
      </c>
      <c r="N177" s="59" t="str">
        <f>IF(ISBLANK(L177)," ",IF(ISTEXT(L177)," ",IF(L177&lt;=Нормативы!$H$170,"КМС",IF(L177&lt;=Нормативы!$H$171,"КМС",IF(L177&lt;=Нормативы!$L$172,"КМС",IF(L177&lt;=Нормативы!$L$173,"I",IF(L177&lt;=Нормативы!$L$174,"II",IF(L177&lt;=Нормативы!$L$175,"III",IF(L177&lt;=Нормативы!$L$176,"I юн",IF(L177&lt;=Нормативы!$L$177,"II юн",IF(L177&lt;=Нормативы!$L$178,"III юн","б/р")))))))))))</f>
        <v>II юн</v>
      </c>
      <c r="O177" s="59"/>
      <c r="Q177" s="59" t="str">
        <f t="shared" ref="Q177" si="142">IF(ISBLANK(P177)," ",IF(ISTEXT(P177)," ",IF(P177&lt;=$H$170,"МСМК",IF(P177&lt;=$H$171,"МС",IF(P177&lt;=$H$172,"КМС",IF(P177&lt;=$H$173,"I",IF(P177&lt;=$H$174,"II",IF(P177&lt;=$H$175,"III",IF(P177&lt;=$H$176,"I юн",IF(P177&lt;=$H$177,"II юн",IF(P177&lt;=$H$178,"III юн","б/р")))))))))))</f>
        <v xml:space="preserve"> </v>
      </c>
    </row>
    <row r="178" spans="3:33" x14ac:dyDescent="0.3">
      <c r="C178" s="43"/>
      <c r="D178" s="43"/>
      <c r="E178" s="43"/>
      <c r="F178" s="43"/>
      <c r="G178" s="43"/>
      <c r="H178" s="71">
        <v>558.20000000000005</v>
      </c>
      <c r="I178" s="59" t="str">
        <f>IF(ISBLANK(H178)," ",IF(ISTEXT(H178)," ",IF(H178&lt;=Нормативы!$H$170,"МСМК",IF(H178&lt;=Нормативы!$H$171,"МС",IF(H178&lt;=Нормативы!$H$172,"КМС",IF(H178&lt;=Нормативы!$H$173,"I",IF(H178&lt;=Нормативы!$H$174,"II",IF(H178&lt;=Нормативы!$H$175,"III",IF(H178&lt;=Нормативы!$H$176,"I юн",IF(H178&lt;=Нормативы!$H$177,"II юн",IF(H178&lt;=Нормативы!$H$178,"III юн","б/р")))))))))))</f>
        <v>III юн</v>
      </c>
      <c r="J178" s="59" t="str">
        <f>IF(ISBLANK(H178)," ",IF(ISTEXT(H178)," ",IF(H178&lt;=Нормативы!$H$170,"МСМК",IF(H178&lt;=Нормативы!$H$171,"МС",IF(H178&lt;=Нормативы!$H$172,"КМС",IF(H178&lt;=Нормативы!$H$173,"I",IF(H178&lt;=Нормативы!$H$174,"II",IF(H178&lt;=Нормативы!$H$175,"III",IF(H178&lt;=Нормативы!$H$176,"I юн",IF(H178&lt;=Нормативы!$H$177,"II юн",IF(H178&lt;=Нормативы!$H$178,"III юн","б/р")))))))))))</f>
        <v>III юн</v>
      </c>
      <c r="K178" s="90"/>
      <c r="L178" s="74">
        <f t="shared" si="136"/>
        <v>558</v>
      </c>
      <c r="M178" s="59" t="str">
        <f>IF(ISBLANK(L178)," ",IF(ISTEXT(L178)," ",IF(L178&lt;=Нормативы!$H$170,"КМС",IF(L178&lt;=Нормативы!$H$171,"КМС",IF(L178&lt;=Нормативы!$L$172,"КМС",IF(L178&lt;=Нормативы!$L$173,"I",IF(L178&lt;=Нормативы!$L$174,"II",IF(L178&lt;=Нормативы!$L$175,"III",IF(L178&lt;=Нормативы!$L$176,"I юн",IF(L178&lt;=Нормативы!$L$177,"II юн",IF(L178&lt;=Нормативы!$L$178,"III юн","б/р")))))))))))</f>
        <v>III юн</v>
      </c>
      <c r="N178" s="59" t="str">
        <f>IF(ISBLANK(L178)," ",IF(ISTEXT(L178)," ",IF(L178&lt;=Нормативы!$H$170,"КМС",IF(L178&lt;=Нормативы!$H$171,"КМС",IF(L178&lt;=Нормативы!$L$172,"КМС",IF(L178&lt;=Нормативы!$L$173,"I",IF(L178&lt;=Нормативы!$L$174,"II",IF(L178&lt;=Нормативы!$L$175,"III",IF(L178&lt;=Нормативы!$L$176,"I юн",IF(L178&lt;=Нормативы!$L$177,"II юн",IF(L178&lt;=Нормативы!$L$178,"III юн","б/р")))))))))))</f>
        <v>III юн</v>
      </c>
      <c r="O178" s="59"/>
      <c r="Q178" s="59" t="str">
        <f t="shared" ref="Q178" si="143">IF(ISBLANK(P178)," ",IF(ISTEXT(P178)," ",IF(P178&lt;=$H$170,"МСМК",IF(P178&lt;=$H$171,"МС",IF(P178&lt;=$H$172,"КМС",IF(P178&lt;=$H$173,"I",IF(P178&lt;=$H$174,"II",IF(P178&lt;=$H$175,"III",IF(P178&lt;=$H$176,"I юн",IF(P178&lt;=$H$177,"II юн",IF(P178&lt;=$H$178,"III юн","б/р")))))))))))</f>
        <v xml:space="preserve"> </v>
      </c>
    </row>
    <row r="179" spans="3:33" x14ac:dyDescent="0.3">
      <c r="C179" s="43"/>
      <c r="D179" s="43"/>
      <c r="E179" s="43"/>
      <c r="F179" s="43"/>
      <c r="G179" s="43"/>
      <c r="H179" s="74"/>
      <c r="I179" s="59" t="str">
        <f>IF(ISBLANK(H179)," ",IF(ISTEXT(H179)," ",IF(H179&lt;=148.2,"КМС",IF(H179&lt;=156.1,"I",IF(H179&lt;=206,"II",IF(H179&lt;=216.8,"III",IF(H179&lt;=226.6,"I юн",IF(H179&lt;=243.3,"II юн",IF(H179&lt;=257,"III юн","б/р")))))))))</f>
        <v xml:space="preserve"> </v>
      </c>
      <c r="J179" s="59" t="str">
        <f>IF(ISBLANK(H179)," ",IF(ISTEXT(H179)," ",IF(H179&lt;=148.2,"КМС",IF(H179&lt;=156.1,"I",IF(H179&lt;=206,"II",IF(H179&lt;=216.8,"III",IF(H179&lt;=226.6,"I юн",IF(H179&lt;=243.3,"II юн",IF(H179&lt;=257,"III юн","б/р")))))))))</f>
        <v xml:space="preserve"> </v>
      </c>
      <c r="K179" s="90"/>
      <c r="L179" s="43"/>
      <c r="M179" s="59" t="str">
        <f>IF(ISBLANK(L179)," ",IF(ISTEXT(L179)," ",IF(L179&lt;=148.2,"КМС",IF(L179&lt;=156.1,"I",IF(L179&lt;=206,"II",IF(L179&lt;=216.8,"III",IF(L179&lt;=226.6,"I юн",IF(L179&lt;=243.3,"II юн",IF(L179&lt;=257,"III юн","б/р")))))))))</f>
        <v xml:space="preserve"> </v>
      </c>
      <c r="N179" s="59" t="str">
        <f>IF(ISBLANK(L179)," ",IF(ISTEXT(L179)," ",IF(L179&lt;=148.2,"КМС",IF(L179&lt;=156.1,"I",IF(L179&lt;=206,"II",IF(L179&lt;=216.8,"III",IF(L179&lt;=226.6,"I юн",IF(L179&lt;=243.3,"II юн",IF(L179&lt;=257,"III юн","б/р")))))))))</f>
        <v xml:space="preserve"> </v>
      </c>
      <c r="O179" s="59"/>
      <c r="Q179" s="59" t="str">
        <f>IF(ISBLANK(P179)," ",IF(ISTEXT(P179)," ",IF(P179&lt;=148.2,"КМС",IF(P179&lt;=156.1,"I",IF(P179&lt;=206,"II",IF(P179&lt;=216.8,"III",IF(P179&lt;=226.6,"I юн",IF(P179&lt;=243.3,"II юн",IF(P179&lt;=257,"III юн","б/р")))))))))</f>
        <v xml:space="preserve"> </v>
      </c>
    </row>
    <row r="180" spans="3:33" x14ac:dyDescent="0.3">
      <c r="C180" s="68" t="s">
        <v>48</v>
      </c>
      <c r="D180" s="69"/>
      <c r="E180" s="69"/>
      <c r="F180" s="68"/>
      <c r="G180" s="68"/>
      <c r="H180" s="70"/>
      <c r="I180" s="43"/>
      <c r="J180" s="43"/>
      <c r="K180" s="87"/>
      <c r="L180" s="43"/>
      <c r="M180" s="43"/>
      <c r="N180" s="43"/>
      <c r="Q180" s="43"/>
    </row>
    <row r="181" spans="3:33" x14ac:dyDescent="0.3">
      <c r="C181" s="86"/>
      <c r="D181" s="36"/>
      <c r="E181" s="36"/>
      <c r="F181" s="86"/>
      <c r="G181" s="86"/>
      <c r="H181" s="71">
        <v>703.8</v>
      </c>
      <c r="I181" s="59" t="str">
        <f>IF(ISBLANK(H181)," ",IF(ISTEXT(H181)," ",IF(H181&lt;=Нормативы!$H$181,"МСМК",IF(H181&lt;=Нормативы!$H$182,"МС",IF(H181&lt;=Нормативы!$H$183,"КМС",IF(H181&lt;=Нормативы!$H$184,"I",IF(H181&lt;=Нормативы!$H$185,"II",IF(H181&lt;=Нормативы!$H$186,"III",IF(H181&lt;=Нормативы!$H$187,"I юн",IF(H181&lt;=Нормативы!$H$188,"II юн",IF(H181&lt;=Нормативы!$H$189,"III юн","б/р")))))))))))</f>
        <v>МСМК</v>
      </c>
      <c r="J181" s="59" t="str">
        <f>IF(ISBLANK(H181)," ",IF(ISTEXT(H181)," ",IF(H181&lt;=Нормативы!$H$181,"МСМК",IF(H181&lt;=Нормативы!$H$182,"МС",IF(H181&lt;=Нормативы!$H$183,"КМС",IF(H181&lt;=Нормативы!$H$184,"I",IF(H181&lt;=Нормативы!$H$185,"II",IF(H181&lt;=Нормативы!$H$186,"III",IF(H181&lt;=Нормативы!$H$187,"I юн",IF(H181&lt;=Нормативы!$H$188,"II юн",IF(H181&lt;=Нормативы!$H$189,"III юн","б/р")))))))))))</f>
        <v>МСМК</v>
      </c>
      <c r="K181" s="75"/>
      <c r="L181" s="71"/>
      <c r="M181" s="59" t="str">
        <f>IF(ISBLANK(L181)," ",IF(ISTEXT(L181)," ",IF(L181&lt;=Нормативы!$H$181,"КМС",IF(L181&lt;=Нормативы!$H$182,"КМС",IF(L181&lt;=Нормативы!$L$183,"КМС",IF(L181&lt;=Нормативы!$L$184,"I",IF(L181&lt;=Нормативы!$L$185,"II",IF(L181&lt;=Нормативы!$L$186,"III",IF(L181&lt;=Нормативы!$L$187,"I юн",IF(L181&lt;=Нормативы!$L$188,"II юн",IF(L181&lt;=Нормативы!$L$189,"III юн","б/р")))))))))))</f>
        <v xml:space="preserve"> </v>
      </c>
      <c r="N181" s="59" t="str">
        <f>IF(ISBLANK(L181)," ",IF(ISTEXT(L181)," ",IF(L181&lt;=705.2,"МСМК",IF(L181&lt;=725.7,"МС",IF(L181&lt;=748,"КМС",IF(L181&lt;=820.5,"I",IF(L181&lt;=902.5,"II",IF(L181&lt;=944.5,"III",IF(L181&lt;=1038.5,"I юн",IF(L181&lt;=1142,"II юн",IF(L181&lt;=1236.5,"III юн","б/р")))))))))))</f>
        <v xml:space="preserve"> </v>
      </c>
      <c r="Q181" s="59" t="str">
        <f>IF(ISBLANK(P181)," ",IF(ISTEXT(P181)," ",IF(P181&lt;=$H$181,"МСМК",IF(P181&lt;=$H$182,"МС",IF(P181&lt;=$H$183,"КМС",IF(P181&lt;=$H$184,"I",IF(P181&lt;=$H$185,"II",IF(P181&lt;=$H$186,"III",IF(P181&lt;=$H$187,"I юн",IF(P181&lt;=$H$188,"II юн",IF(P181&lt;=$H$189,"III юн","б/р")))))))))))</f>
        <v xml:space="preserve"> </v>
      </c>
    </row>
    <row r="182" spans="3:33" x14ac:dyDescent="0.3">
      <c r="C182" s="86"/>
      <c r="D182" s="36"/>
      <c r="E182" s="36"/>
      <c r="F182" s="86"/>
      <c r="G182" s="86"/>
      <c r="H182" s="71">
        <v>720.7</v>
      </c>
      <c r="I182" s="59" t="str">
        <f>IF(ISBLANK(H182)," ",IF(ISTEXT(H182)," ",IF(H182&lt;=Нормативы!$H$181,"МСМК",IF(H182&lt;=Нормативы!$H$182,"МС",IF(H182&lt;=Нормативы!$H$183,"КМС",IF(H182&lt;=Нормативы!$H$184,"I",IF(H182&lt;=Нормативы!$H$185,"II",IF(H182&lt;=Нормативы!$H$186,"III",IF(H182&lt;=Нормативы!$H$187,"I юн",IF(H182&lt;=Нормативы!$H$188,"II юн",IF(H182&lt;=Нормативы!$H$189,"III юн","б/р")))))))))))</f>
        <v>МС</v>
      </c>
      <c r="J182" s="59" t="str">
        <f>IF(ISBLANK(H182)," ",IF(ISTEXT(H182)," ",IF(H182&lt;=Нормативы!$H$181,"МСМК",IF(H182&lt;=Нормативы!$H$182,"МС",IF(H182&lt;=Нормативы!$H$183,"КМС",IF(H182&lt;=Нормативы!$H$184,"I",IF(H182&lt;=Нормативы!$H$185,"II",IF(H182&lt;=Нормативы!$H$186,"III",IF(H182&lt;=Нормативы!$H$187,"I юн",IF(H182&lt;=Нормативы!$H$188,"II юн",IF(H182&lt;=Нормативы!$H$189,"III юн","б/р")))))))))))</f>
        <v>МС</v>
      </c>
      <c r="K182" s="75"/>
      <c r="L182" s="71"/>
      <c r="M182" s="59" t="str">
        <f>IF(ISBLANK(L182)," ",IF(ISTEXT(L182)," ",IF(L182&lt;=Нормативы!$H$181,"КМС",IF(L182&lt;=Нормативы!$H$182,"КМС",IF(L182&lt;=Нормативы!$L$183,"КМС",IF(L182&lt;=Нормативы!$L$184,"I",IF(L182&lt;=Нормативы!$L$185,"II",IF(L182&lt;=Нормативы!$L$186,"III",IF(L182&lt;=Нормативы!$L$187,"I юн",IF(L182&lt;=Нормативы!$L$188,"II юн",IF(L182&lt;=Нормативы!$L$189,"III юн","б/р")))))))))))</f>
        <v xml:space="preserve"> </v>
      </c>
      <c r="N182" s="59" t="str">
        <f>IF(ISBLANK(L182)," ",IF(ISTEXT(L182)," ",IF(L182&lt;=705.2,"МСМК",IF(L182&lt;=725.7,"МС",IF(L182&lt;=748,"КМС",IF(L182&lt;=820.5,"I",IF(L182&lt;=902.5,"II",IF(L182&lt;=944.5,"III",IF(L182&lt;=1038.5,"I юн",IF(L182&lt;=1142,"II юн",IF(L182&lt;=1236.5,"III юн","б/р")))))))))))</f>
        <v xml:space="preserve"> </v>
      </c>
      <c r="Q182" s="59" t="str">
        <f t="shared" ref="Q182" si="144">IF(ISBLANK(P182)," ",IF(ISTEXT(P182)," ",IF(P182&lt;=$H$181,"МСМК",IF(P182&lt;=$H$182,"МС",IF(P182&lt;=$H$183,"КМС",IF(P182&lt;=$H$184,"I",IF(P182&lt;=$H$185,"II",IF(P182&lt;=$H$186,"III",IF(P182&lt;=$H$187,"I юн",IF(P182&lt;=$H$188,"II юн",IF(P182&lt;=$H$189,"III юн","б/р")))))))))))</f>
        <v xml:space="preserve"> </v>
      </c>
    </row>
    <row r="183" spans="3:33" x14ac:dyDescent="0.3">
      <c r="C183" s="86"/>
      <c r="D183" s="36"/>
      <c r="E183" s="36"/>
      <c r="F183" s="86"/>
      <c r="G183" s="86"/>
      <c r="H183" s="71">
        <v>746.7</v>
      </c>
      <c r="I183" s="59" t="str">
        <f>IF(ISBLANK(H183)," ",IF(ISTEXT(H183)," ",IF(H183&lt;=Нормативы!$H$181,"МСМК",IF(H183&lt;=Нормативы!$H$182,"МС",IF(H183&lt;=Нормативы!$H$183,"КМС",IF(H183&lt;=Нормативы!$H$184,"I",IF(H183&lt;=Нормативы!$H$185,"II",IF(H183&lt;=Нормативы!$H$186,"III",IF(H183&lt;=Нормативы!$H$187,"I юн",IF(H183&lt;=Нормативы!$H$188,"II юн",IF(H183&lt;=Нормативы!$H$189,"III юн","б/р")))))))))))</f>
        <v>КМС</v>
      </c>
      <c r="J183" s="59" t="str">
        <f>IF(ISBLANK(H183)," ",IF(ISTEXT(H183)," ",IF(H183&lt;=Нормативы!$H$181,"МСМК",IF(H183&lt;=Нормативы!$H$182,"МС",IF(H183&lt;=Нормативы!$H$183,"КМС",IF(H183&lt;=Нормативы!$H$184,"I",IF(H183&lt;=Нормативы!$H$185,"II",IF(H183&lt;=Нормативы!$H$186,"III",IF(H183&lt;=Нормативы!$H$187,"I юн",IF(H183&lt;=Нормативы!$H$188,"II юн",IF(H183&lt;=Нормативы!$H$189,"III юн","б/р")))))))))))</f>
        <v>КМС</v>
      </c>
      <c r="K183" s="75"/>
      <c r="L183" s="74">
        <f t="shared" ref="L183:L189" si="145">H183-0.2</f>
        <v>746.5</v>
      </c>
      <c r="M183" s="59" t="str">
        <f>IF(ISBLANK(L183)," ",IF(ISTEXT(L183)," ",IF(L183&lt;=Нормативы!$H$181,"КМС",IF(L183&lt;=Нормативы!$H$182,"КМС",IF(L183&lt;=Нормативы!$L$183,"КМС",IF(L183&lt;=Нормативы!$L$184,"I",IF(L183&lt;=Нормативы!$L$185,"II",IF(L183&lt;=Нормативы!$L$186,"III",IF(L183&lt;=Нормативы!$L$187,"I юн",IF(L183&lt;=Нормативы!$L$188,"II юн",IF(L183&lt;=Нормативы!$L$189,"III юн","б/р")))))))))))</f>
        <v>КМС</v>
      </c>
      <c r="N183" s="59" t="str">
        <f>IF(ISBLANK(L183)," ",IF(ISTEXT(L183)," ",IF(L183&lt;=Нормативы!$H$181,"КМС",IF(L183&lt;=Нормативы!$H$182,"КМС",IF(L183&lt;=Нормативы!$L$183,"КМС",IF(L183&lt;=Нормативы!$L$184,"I",IF(L183&lt;=Нормативы!$L$185,"II",IF(L183&lt;=Нормативы!$L$186,"III",IF(L183&lt;=Нормативы!$L$187,"I юн",IF(L183&lt;=Нормативы!$L$188,"II юн",IF(L183&lt;=Нормативы!$L$189,"III юн","б/р")))))))))))</f>
        <v>КМС</v>
      </c>
      <c r="Q183" s="59" t="str">
        <f t="shared" ref="Q183" si="146">IF(ISBLANK(P183)," ",IF(ISTEXT(P183)," ",IF(P183&lt;=$H$181,"МСМК",IF(P183&lt;=$H$182,"МС",IF(P183&lt;=$H$183,"КМС",IF(P183&lt;=$H$184,"I",IF(P183&lt;=$H$185,"II",IF(P183&lt;=$H$186,"III",IF(P183&lt;=$H$187,"I юн",IF(P183&lt;=$H$188,"II юн",IF(P183&lt;=$H$189,"III юн","б/р")))))))))))</f>
        <v xml:space="preserve"> </v>
      </c>
    </row>
    <row r="184" spans="3:33" x14ac:dyDescent="0.3">
      <c r="C184" s="86"/>
      <c r="D184" s="36"/>
      <c r="E184" s="36"/>
      <c r="F184" s="86"/>
      <c r="G184" s="86"/>
      <c r="H184" s="71">
        <v>818.5</v>
      </c>
      <c r="I184" s="59" t="str">
        <f>IF(ISBLANK(H184)," ",IF(ISTEXT(H184)," ",IF(H184&lt;=Нормативы!$H$181,"МСМК",IF(H184&lt;=Нормативы!$H$182,"МС",IF(H184&lt;=Нормативы!$H$183,"КМС",IF(H184&lt;=Нормативы!$H$184,"I",IF(H184&lt;=Нормативы!$H$185,"II",IF(H184&lt;=Нормативы!$H$186,"III",IF(H184&lt;=Нормативы!$H$187,"I юн",IF(H184&lt;=Нормативы!$H$188,"II юн",IF(H184&lt;=Нормативы!$H$189,"III юн","б/р")))))))))))</f>
        <v>I</v>
      </c>
      <c r="J184" s="59" t="str">
        <f>IF(ISBLANK(H184)," ",IF(ISTEXT(H184)," ",IF(H184&lt;=Нормативы!$H$181,"МСМК",IF(H184&lt;=Нормативы!$H$182,"МС",IF(H184&lt;=Нормативы!$H$183,"КМС",IF(H184&lt;=Нормативы!$H$184,"I",IF(H184&lt;=Нормативы!$H$185,"II",IF(H184&lt;=Нормативы!$H$186,"III",IF(H184&lt;=Нормативы!$H$187,"I юн",IF(H184&lt;=Нормативы!$H$188,"II юн",IF(H184&lt;=Нормативы!$H$189,"III юн","б/р")))))))))))</f>
        <v>I</v>
      </c>
      <c r="K184" s="75"/>
      <c r="L184" s="74">
        <f t="shared" si="145"/>
        <v>818.3</v>
      </c>
      <c r="M184" s="59" t="str">
        <f>IF(ISBLANK(L184)," ",IF(ISTEXT(L184)," ",IF(L184&lt;=Нормативы!$H$181,"КМС",IF(L184&lt;=Нормативы!$H$182,"КМС",IF(L184&lt;=Нормативы!$L$183,"КМС",IF(L184&lt;=Нормативы!$L$184,"I",IF(L184&lt;=Нормативы!$L$185,"II",IF(L184&lt;=Нормативы!$L$186,"III",IF(L184&lt;=Нормативы!$L$187,"I юн",IF(L184&lt;=Нормативы!$L$188,"II юн",IF(L184&lt;=Нормативы!$L$189,"III юн","б/р")))))))))))</f>
        <v>I</v>
      </c>
      <c r="N184" s="59" t="str">
        <f>IF(ISBLANK(L184)," ",IF(ISTEXT(L184)," ",IF(L184&lt;=Нормативы!$H$181,"КМС",IF(L184&lt;=Нормативы!$H$182,"КМС",IF(L184&lt;=Нормативы!$L$183,"КМС",IF(L184&lt;=Нормативы!$L$184,"I",IF(L184&lt;=Нормативы!$L$185,"II",IF(L184&lt;=Нормативы!$L$186,"III",IF(L184&lt;=Нормативы!$L$187,"I юн",IF(L184&lt;=Нормативы!$L$188,"II юн",IF(L184&lt;=Нормативы!$L$189,"III юн","б/р")))))))))))</f>
        <v>I</v>
      </c>
      <c r="Q184" s="59" t="str">
        <f t="shared" ref="Q184" si="147">IF(ISBLANK(P184)," ",IF(ISTEXT(P184)," ",IF(P184&lt;=$H$181,"МСМК",IF(P184&lt;=$H$182,"МС",IF(P184&lt;=$H$183,"КМС",IF(P184&lt;=$H$184,"I",IF(P184&lt;=$H$185,"II",IF(P184&lt;=$H$186,"III",IF(P184&lt;=$H$187,"I юн",IF(P184&lt;=$H$188,"II юн",IF(P184&lt;=$H$189,"III юн","б/р")))))))))))</f>
        <v xml:space="preserve"> </v>
      </c>
    </row>
    <row r="185" spans="3:33" x14ac:dyDescent="0.3">
      <c r="C185" s="86"/>
      <c r="D185" s="36"/>
      <c r="E185" s="36"/>
      <c r="F185" s="86"/>
      <c r="G185" s="86"/>
      <c r="H185" s="71">
        <v>860</v>
      </c>
      <c r="I185" s="59" t="str">
        <f>IF(ISBLANK(H185)," ",IF(ISTEXT(H185)," ",IF(H185&lt;=Нормативы!$H$181,"МСМК",IF(H185&lt;=Нормативы!$H$182,"МС",IF(H185&lt;=Нормативы!$H$183,"КМС",IF(H185&lt;=Нормативы!$H$184,"I",IF(H185&lt;=Нормативы!$H$185,"II",IF(H185&lt;=Нормативы!$H$186,"III",IF(H185&lt;=Нормативы!$H$187,"I юн",IF(H185&lt;=Нормативы!$H$188,"II юн",IF(H185&lt;=Нормативы!$H$189,"III юн","б/р")))))))))))</f>
        <v>II</v>
      </c>
      <c r="J185" s="59" t="str">
        <f>IF(ISBLANK(H185)," ",IF(ISTEXT(H185)," ",IF(H185&lt;=Нормативы!$H$181,"МСМК",IF(H185&lt;=Нормативы!$H$182,"МС",IF(H185&lt;=Нормативы!$H$183,"КМС",IF(H185&lt;=Нормативы!$H$184,"I",IF(H185&lt;=Нормативы!$H$185,"II",IF(H185&lt;=Нормативы!$H$186,"III",IF(H185&lt;=Нормативы!$H$187,"I юн",IF(H185&lt;=Нормативы!$H$188,"II юн",IF(H185&lt;=Нормативы!$H$189,"III юн","б/р")))))))))))</f>
        <v>II</v>
      </c>
      <c r="K185" s="75"/>
      <c r="L185" s="74">
        <f t="shared" si="145"/>
        <v>859.8</v>
      </c>
      <c r="M185" s="59" t="str">
        <f>IF(ISBLANK(L185)," ",IF(ISTEXT(L185)," ",IF(L185&lt;=Нормативы!$H$181,"КМС",IF(L185&lt;=Нормативы!$H$182,"КМС",IF(L185&lt;=Нормативы!$L$183,"КМС",IF(L185&lt;=Нормативы!$L$184,"I",IF(L185&lt;=Нормативы!$L$185,"II",IF(L185&lt;=Нормативы!$L$186,"III",IF(L185&lt;=Нормативы!$L$187,"I юн",IF(L185&lt;=Нормативы!$L$188,"II юн",IF(L185&lt;=Нормативы!$L$189,"III юн","б/р")))))))))))</f>
        <v>II</v>
      </c>
      <c r="N185" s="59" t="str">
        <f>IF(ISBLANK(L185)," ",IF(ISTEXT(L185)," ",IF(L185&lt;=Нормативы!$H$181,"КМС",IF(L185&lt;=Нормативы!$H$182,"КМС",IF(L185&lt;=Нормативы!$L$183,"КМС",IF(L185&lt;=Нормативы!$L$184,"I",IF(L185&lt;=Нормативы!$L$185,"II",IF(L185&lt;=Нормативы!$L$186,"III",IF(L185&lt;=Нормативы!$L$187,"I юн",IF(L185&lt;=Нормативы!$L$188,"II юн",IF(L185&lt;=Нормативы!$L$189,"III юн","б/р")))))))))))</f>
        <v>II</v>
      </c>
      <c r="Q185" s="59" t="str">
        <f t="shared" ref="Q185" si="148">IF(ISBLANK(P185)," ",IF(ISTEXT(P185)," ",IF(P185&lt;=$H$181,"МСМК",IF(P185&lt;=$H$182,"МС",IF(P185&lt;=$H$183,"КМС",IF(P185&lt;=$H$184,"I",IF(P185&lt;=$H$185,"II",IF(P185&lt;=$H$186,"III",IF(P185&lt;=$H$187,"I юн",IF(P185&lt;=$H$188,"II юн",IF(P185&lt;=$H$189,"III юн","б/р")))))))))))</f>
        <v xml:space="preserve"> </v>
      </c>
    </row>
    <row r="186" spans="3:33" x14ac:dyDescent="0.3">
      <c r="C186" s="86"/>
      <c r="D186" s="36"/>
      <c r="E186" s="36"/>
      <c r="F186" s="86"/>
      <c r="G186" s="86"/>
      <c r="H186" s="71">
        <v>940.7</v>
      </c>
      <c r="I186" s="59" t="str">
        <f>IF(ISBLANK(H186)," ",IF(ISTEXT(H186)," ",IF(H186&lt;=Нормативы!$H$181,"МСМК",IF(H186&lt;=Нормативы!$H$182,"МС",IF(H186&lt;=Нормативы!$H$183,"КМС",IF(H186&lt;=Нормативы!$H$184,"I",IF(H186&lt;=Нормативы!$H$185,"II",IF(H186&lt;=Нормативы!$H$186,"III",IF(H186&lt;=Нормативы!$H$187,"I юн",IF(H186&lt;=Нормативы!$H$188,"II юн",IF(H186&lt;=Нормативы!$H$189,"III юн","б/р")))))))))))</f>
        <v>III</v>
      </c>
      <c r="J186" s="59" t="str">
        <f>IF(ISBLANK(H186)," ",IF(ISTEXT(H186)," ",IF(H186&lt;=Нормативы!$H$181,"МСМК",IF(H186&lt;=Нормативы!$H$182,"МС",IF(H186&lt;=Нормативы!$H$183,"КМС",IF(H186&lt;=Нормативы!$H$184,"I",IF(H186&lt;=Нормативы!$H$185,"II",IF(H186&lt;=Нормативы!$H$186,"III",IF(H186&lt;=Нормативы!$H$187,"I юн",IF(H186&lt;=Нормативы!$H$188,"II юн",IF(H186&lt;=Нормативы!$H$189,"III юн","б/р")))))))))))</f>
        <v>III</v>
      </c>
      <c r="K186" s="75"/>
      <c r="L186" s="74">
        <f t="shared" si="145"/>
        <v>940.5</v>
      </c>
      <c r="M186" s="59" t="str">
        <f>IF(ISBLANK(L186)," ",IF(ISTEXT(L186)," ",IF(L186&lt;=Нормативы!$H$181,"КМС",IF(L186&lt;=Нормативы!$H$182,"КМС",IF(L186&lt;=Нормативы!$L$183,"КМС",IF(L186&lt;=Нормативы!$L$184,"I",IF(L186&lt;=Нормативы!$L$185,"II",IF(L186&lt;=Нормативы!$L$186,"III",IF(L186&lt;=Нормативы!$L$187,"I юн",IF(L186&lt;=Нормативы!$L$188,"II юн",IF(L186&lt;=Нормативы!$L$189,"III юн","б/р")))))))))))</f>
        <v>III</v>
      </c>
      <c r="N186" s="59" t="str">
        <f>IF(ISBLANK(L186)," ",IF(ISTEXT(L186)," ",IF(L186&lt;=Нормативы!$H$181,"КМС",IF(L186&lt;=Нормативы!$H$182,"КМС",IF(L186&lt;=Нормативы!$L$183,"КМС",IF(L186&lt;=Нормативы!$L$184,"I",IF(L186&lt;=Нормативы!$L$185,"II",IF(L186&lt;=Нормативы!$L$186,"III",IF(L186&lt;=Нормативы!$L$187,"I юн",IF(L186&lt;=Нормативы!$L$188,"II юн",IF(L186&lt;=Нормативы!$L$189,"III юн","б/р")))))))))))</f>
        <v>III</v>
      </c>
      <c r="Q186" s="59" t="str">
        <f t="shared" ref="Q186" si="149">IF(ISBLANK(P186)," ",IF(ISTEXT(P186)," ",IF(P186&lt;=$H$181,"МСМК",IF(P186&lt;=$H$182,"МС",IF(P186&lt;=$H$183,"КМС",IF(P186&lt;=$H$184,"I",IF(P186&lt;=$H$185,"II",IF(P186&lt;=$H$186,"III",IF(P186&lt;=$H$187,"I юн",IF(P186&lt;=$H$188,"II юн",IF(P186&lt;=$H$189,"III юн","б/р")))))))))))</f>
        <v xml:space="preserve"> </v>
      </c>
    </row>
    <row r="187" spans="3:33" x14ac:dyDescent="0.3">
      <c r="C187" s="86"/>
      <c r="D187" s="36"/>
      <c r="E187" s="36"/>
      <c r="F187" s="86"/>
      <c r="G187" s="86"/>
      <c r="H187" s="71">
        <v>1030.7</v>
      </c>
      <c r="I187" s="59" t="str">
        <f>IF(ISBLANK(H187)," ",IF(ISTEXT(H187)," ",IF(H187&lt;=Нормативы!$H$181,"МСМК",IF(H187&lt;=Нормативы!$H$182,"МС",IF(H187&lt;=Нормативы!$H$183,"КМС",IF(H187&lt;=Нормативы!$H$184,"I",IF(H187&lt;=Нормативы!$H$185,"II",IF(H187&lt;=Нормативы!$H$186,"III",IF(H187&lt;=Нормативы!$H$187,"I юн",IF(H187&lt;=Нормативы!$H$188,"II юн",IF(H187&lt;=Нормативы!$H$189,"III юн","б/р")))))))))))</f>
        <v>I юн</v>
      </c>
      <c r="J187" s="59" t="str">
        <f>IF(ISBLANK(H187)," ",IF(ISTEXT(H187)," ",IF(H187&lt;=Нормативы!$H$181,"МСМК",IF(H187&lt;=Нормативы!$H$182,"МС",IF(H187&lt;=Нормативы!$H$183,"КМС",IF(H187&lt;=Нормативы!$H$184,"I",IF(H187&lt;=Нормативы!$H$185,"II",IF(H187&lt;=Нормативы!$H$186,"III",IF(H187&lt;=Нормативы!$H$187,"I юн",IF(H187&lt;=Нормативы!$H$188,"II юн",IF(H187&lt;=Нормативы!$H$189,"III юн","б/р")))))))))))</f>
        <v>I юн</v>
      </c>
      <c r="K187" s="75"/>
      <c r="L187" s="74">
        <f t="shared" si="145"/>
        <v>1030.5</v>
      </c>
      <c r="M187" s="59" t="str">
        <f>IF(ISBLANK(L187)," ",IF(ISTEXT(L187)," ",IF(L187&lt;=Нормативы!$H$181,"КМС",IF(L187&lt;=Нормативы!$H$182,"КМС",IF(L187&lt;=Нормативы!$L$183,"КМС",IF(L187&lt;=Нормативы!$L$184,"I",IF(L187&lt;=Нормативы!$L$185,"II",IF(L187&lt;=Нормативы!$L$186,"III",IF(L187&lt;=Нормативы!$L$187,"I юн",IF(L187&lt;=Нормативы!$L$188,"II юн",IF(L187&lt;=Нормативы!$L$189,"III юн","б/р")))))))))))</f>
        <v>I юн</v>
      </c>
      <c r="N187" s="59" t="str">
        <f>IF(ISBLANK(L187)," ",IF(ISTEXT(L187)," ",IF(L187&lt;=Нормативы!$H$181,"КМС",IF(L187&lt;=Нормативы!$H$182,"КМС",IF(L187&lt;=Нормативы!$L$183,"КМС",IF(L187&lt;=Нормативы!$L$184,"I",IF(L187&lt;=Нормативы!$L$185,"II",IF(L187&lt;=Нормативы!$L$186,"III",IF(L187&lt;=Нормативы!$L$187,"I юн",IF(L187&lt;=Нормативы!$L$188,"II юн",IF(L187&lt;=Нормативы!$L$189,"III юн","б/р")))))))))))</f>
        <v>I юн</v>
      </c>
      <c r="Q187" s="59" t="str">
        <f t="shared" ref="Q187" si="150">IF(ISBLANK(P187)," ",IF(ISTEXT(P187)," ",IF(P187&lt;=$H$181,"МСМК",IF(P187&lt;=$H$182,"МС",IF(P187&lt;=$H$183,"КМС",IF(P187&lt;=$H$184,"I",IF(P187&lt;=$H$185,"II",IF(P187&lt;=$H$186,"III",IF(P187&lt;=$H$187,"I юн",IF(P187&lt;=$H$188,"II юн",IF(P187&lt;=$H$189,"III юн","б/р")))))))))))</f>
        <v xml:space="preserve"> </v>
      </c>
    </row>
    <row r="188" spans="3:33" x14ac:dyDescent="0.3">
      <c r="C188" s="86"/>
      <c r="D188" s="36"/>
      <c r="E188" s="36"/>
      <c r="F188" s="86"/>
      <c r="G188" s="86"/>
      <c r="H188" s="71">
        <v>1137.2</v>
      </c>
      <c r="I188" s="59" t="str">
        <f>IF(ISBLANK(H188)," ",IF(ISTEXT(H188)," ",IF(H188&lt;=Нормативы!$H$181,"МСМК",IF(H188&lt;=Нормативы!$H$182,"МС",IF(H188&lt;=Нормативы!$H$183,"КМС",IF(H188&lt;=Нормативы!$H$184,"I",IF(H188&lt;=Нормативы!$H$185,"II",IF(H188&lt;=Нормативы!$H$186,"III",IF(H188&lt;=Нормативы!$H$187,"I юн",IF(H188&lt;=Нормативы!$H$188,"II юн",IF(H188&lt;=Нормативы!$H$189,"III юн","б/р")))))))))))</f>
        <v>II юн</v>
      </c>
      <c r="J188" s="59" t="str">
        <f>IF(ISBLANK(H188)," ",IF(ISTEXT(H188)," ",IF(H188&lt;=Нормативы!$H$181,"МСМК",IF(H188&lt;=Нормативы!$H$182,"МС",IF(H188&lt;=Нормативы!$H$183,"КМС",IF(H188&lt;=Нормативы!$H$184,"I",IF(H188&lt;=Нормативы!$H$185,"II",IF(H188&lt;=Нормативы!$H$186,"III",IF(H188&lt;=Нормативы!$H$187,"I юн",IF(H188&lt;=Нормативы!$H$188,"II юн",IF(H188&lt;=Нормативы!$H$189,"III юн","б/р")))))))))))</f>
        <v>II юн</v>
      </c>
      <c r="K188" s="75"/>
      <c r="L188" s="74">
        <f t="shared" si="145"/>
        <v>1137</v>
      </c>
      <c r="M188" s="59" t="str">
        <f>IF(ISBLANK(L188)," ",IF(ISTEXT(L188)," ",IF(L188&lt;=Нормативы!$H$181,"КМС",IF(L188&lt;=Нормативы!$H$182,"КМС",IF(L188&lt;=Нормативы!$L$183,"КМС",IF(L188&lt;=Нормативы!$L$184,"I",IF(L188&lt;=Нормативы!$L$185,"II",IF(L188&lt;=Нормативы!$L$186,"III",IF(L188&lt;=Нормативы!$L$187,"I юн",IF(L188&lt;=Нормативы!$L$188,"II юн",IF(L188&lt;=Нормативы!$L$189,"III юн","б/р")))))))))))</f>
        <v>II юн</v>
      </c>
      <c r="N188" s="59" t="str">
        <f>IF(ISBLANK(L188)," ",IF(ISTEXT(L188)," ",IF(L188&lt;=Нормативы!$H$181,"КМС",IF(L188&lt;=Нормативы!$H$182,"КМС",IF(L188&lt;=Нормативы!$L$183,"КМС",IF(L188&lt;=Нормативы!$L$184,"I",IF(L188&lt;=Нормативы!$L$185,"II",IF(L188&lt;=Нормативы!$L$186,"III",IF(L188&lt;=Нормативы!$L$187,"I юн",IF(L188&lt;=Нормативы!$L$188,"II юн",IF(L188&lt;=Нормативы!$L$189,"III юн","б/р")))))))))))</f>
        <v>II юн</v>
      </c>
      <c r="Q188" s="59" t="str">
        <f t="shared" ref="Q188" si="151">IF(ISBLANK(P188)," ",IF(ISTEXT(P188)," ",IF(P188&lt;=$H$181,"МСМК",IF(P188&lt;=$H$182,"МС",IF(P188&lt;=$H$183,"КМС",IF(P188&lt;=$H$184,"I",IF(P188&lt;=$H$185,"II",IF(P188&lt;=$H$186,"III",IF(P188&lt;=$H$187,"I юн",IF(P188&lt;=$H$188,"II юн",IF(P188&lt;=$H$189,"III юн","б/р")))))))))))</f>
        <v xml:space="preserve"> </v>
      </c>
    </row>
    <row r="189" spans="3:33" x14ac:dyDescent="0.3">
      <c r="C189" s="86"/>
      <c r="D189" s="36"/>
      <c r="E189" s="36"/>
      <c r="F189" s="86"/>
      <c r="G189" s="86"/>
      <c r="H189" s="71">
        <v>1230</v>
      </c>
      <c r="I189" s="59" t="str">
        <f>IF(ISBLANK(H189)," ",IF(ISTEXT(H189)," ",IF(H189&lt;=Нормативы!$H$181,"МСМК",IF(H189&lt;=Нормативы!$H$182,"МС",IF(H189&lt;=Нормативы!$H$183,"КМС",IF(H189&lt;=Нормативы!$H$184,"I",IF(H189&lt;=Нормативы!$H$185,"II",IF(H189&lt;=Нормативы!$H$186,"III",IF(H189&lt;=Нормативы!$H$187,"I юн",IF(H189&lt;=Нормативы!$H$188,"II юн",IF(H189&lt;=Нормативы!$H$189,"III юн","б/р")))))))))))</f>
        <v>III юн</v>
      </c>
      <c r="J189" s="59" t="str">
        <f>IF(ISBLANK(H189)," ",IF(ISTEXT(H189)," ",IF(H189&lt;=Нормативы!$H$181,"МСМК",IF(H189&lt;=Нормативы!$H$182,"МС",IF(H189&lt;=Нормативы!$H$183,"КМС",IF(H189&lt;=Нормативы!$H$184,"I",IF(H189&lt;=Нормативы!$H$185,"II",IF(H189&lt;=Нормативы!$H$186,"III",IF(H189&lt;=Нормативы!$H$187,"I юн",IF(H189&lt;=Нормативы!$H$188,"II юн",IF(H189&lt;=Нормативы!$H$189,"III юн","б/р")))))))))))</f>
        <v>III юн</v>
      </c>
      <c r="K189" s="75"/>
      <c r="L189" s="74">
        <f t="shared" si="145"/>
        <v>1229.8</v>
      </c>
      <c r="M189" s="59" t="str">
        <f>IF(ISBLANK(L189)," ",IF(ISTEXT(L189)," ",IF(L189&lt;=Нормативы!$H$181,"КМС",IF(L189&lt;=Нормативы!$H$182,"КМС",IF(L189&lt;=Нормативы!$L$183,"КМС",IF(L189&lt;=Нормативы!$L$184,"I",IF(L189&lt;=Нормативы!$L$185,"II",IF(L189&lt;=Нормативы!$L$186,"III",IF(L189&lt;=Нормативы!$L$187,"I юн",IF(L189&lt;=Нормативы!$L$188,"II юн",IF(L189&lt;=Нормативы!$L$189,"III юн","б/р")))))))))))</f>
        <v>III юн</v>
      </c>
      <c r="N189" s="59" t="str">
        <f>IF(ISBLANK(L189)," ",IF(ISTEXT(L189)," ",IF(L189&lt;=Нормативы!$H$181,"КМС",IF(L189&lt;=Нормативы!$H$182,"КМС",IF(L189&lt;=Нормативы!$L$183,"КМС",IF(L189&lt;=Нормативы!$L$184,"I",IF(L189&lt;=Нормативы!$L$185,"II",IF(L189&lt;=Нормативы!$L$186,"III",IF(L189&lt;=Нормативы!$L$187,"I юн",IF(L189&lt;=Нормативы!$L$188,"II юн",IF(L189&lt;=Нормативы!$L$189,"III юн","б/р")))))))))))</f>
        <v>III юн</v>
      </c>
      <c r="Q189" s="59" t="str">
        <f>IF(ISBLANK(P189)," ",IF(ISTEXT(P189)," ",IF(P189&lt;=$H$181,"МСМК",IF(P189&lt;=$H$182,"МС",IF(P189&lt;=$H$183,"КМС",IF(P189&lt;=$H$184,"I",IF(P189&lt;=$H$185,"II",IF(P189&lt;=$H$186,"III",IF(P189&lt;=$H$187,"I юн",IF(P189&lt;=$H$188,"II юн",IF(P189&lt;=$H$189,"III юн","б/р")))))))))))</f>
        <v xml:space="preserve"> </v>
      </c>
    </row>
    <row r="190" spans="3:33" x14ac:dyDescent="0.3">
      <c r="C190" s="86"/>
      <c r="D190" s="36"/>
      <c r="E190" s="36"/>
      <c r="F190" s="86"/>
      <c r="G190" s="86"/>
      <c r="H190" s="71"/>
      <c r="I190" s="43"/>
      <c r="J190" s="43"/>
      <c r="K190" s="75"/>
      <c r="L190" s="43"/>
      <c r="M190" s="43"/>
      <c r="N190" s="43"/>
      <c r="P190" s="82"/>
      <c r="Q190" s="43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</row>
    <row r="191" spans="3:33" x14ac:dyDescent="0.3">
      <c r="C191" s="68" t="s">
        <v>49</v>
      </c>
      <c r="D191" s="69"/>
      <c r="E191" s="69"/>
      <c r="F191" s="68"/>
      <c r="G191" s="68"/>
      <c r="H191" s="70"/>
      <c r="I191" s="43"/>
      <c r="J191" s="43"/>
      <c r="K191" s="84"/>
      <c r="L191" s="43"/>
      <c r="M191" s="43"/>
      <c r="N191" s="43"/>
      <c r="P191" s="83"/>
      <c r="Q191" s="43"/>
      <c r="R191" s="83"/>
      <c r="S191" s="83"/>
      <c r="T191" s="83"/>
      <c r="U191" s="83"/>
      <c r="V191" s="83"/>
      <c r="W191" s="83"/>
      <c r="X191" s="83"/>
      <c r="Y191" s="83"/>
      <c r="Z191" s="83"/>
      <c r="AA191" s="83"/>
      <c r="AB191" s="83"/>
      <c r="AC191" s="83"/>
      <c r="AD191" s="83"/>
      <c r="AE191" s="83"/>
      <c r="AF191" s="83"/>
      <c r="AG191" s="83"/>
    </row>
    <row r="192" spans="3:33" x14ac:dyDescent="0.3">
      <c r="C192" s="86"/>
      <c r="D192" s="36"/>
      <c r="E192" s="36"/>
      <c r="F192" s="86"/>
      <c r="G192" s="86"/>
      <c r="H192" s="71">
        <v>633</v>
      </c>
      <c r="I192" s="59" t="str">
        <f>IF(ISBLANK(H192)," ",IF(ISTEXT(H192)," ",IF(H192&lt;=Нормативы!$H$192,"МСМК",IF(H192&lt;=Нормативы!$H$193,"МС",IF(H192&lt;=Нормативы!$H$194,"КМС",IF(H192&lt;=Нормативы!$H$195,"I",IF(H192&lt;=Нормативы!$H$196,"II",IF(H192&lt;=Нормативы!$H$197,"III",IF(H192&lt;=Нормативы!$H$198,"I юн",IF(H192&lt;=Нормативы!$H$199,"II юн",IF(H192&lt;=Нормативы!$H$200,"III юн","б/р")))))))))))</f>
        <v>МСМК</v>
      </c>
      <c r="J192" s="59" t="str">
        <f>IF(ISBLANK(H192)," ",IF(ISTEXT(H192)," ",IF(H192&lt;=Нормативы!$H$192,"МСМК",IF(H192&lt;=Нормативы!$H$193,"МС",IF(H192&lt;=Нормативы!$H$194,"КМС",IF(H192&lt;=Нормативы!$H$195,"I",IF(H192&lt;=Нормативы!$H$196,"II",IF(H192&lt;=Нормативы!$H$197,"III",IF(H192&lt;=Нормативы!$H$198,"I юн",IF(H192&lt;=Нормативы!$H$199,"II юн",IF(H192&lt;=Нормативы!$H$200,"III юн","б/р")))))))))))</f>
        <v>МСМК</v>
      </c>
      <c r="K192" s="75"/>
      <c r="L192" s="71"/>
      <c r="M192" s="59" t="str">
        <f>IF(ISBLANK(L192)," ",IF(ISTEXT(L192)," ",IF(L192&lt;=Нормативы!$H$192,"КМС",IF(L192&lt;=Нормативы!$H$193,"КМС",IF(L192&lt;=Нормативы!$L$194,"КМС",IF(L192&lt;=Нормативы!$L$195,"I",IF(L192&lt;=Нормативы!$L$196,"II",IF(L192&lt;=Нормативы!$L$197,"III",IF(L192&lt;=Нормативы!$L$198,"I юн",IF(L192&lt;=Нормативы!$L$199,"II юн",IF(L192&lt;=Нормативы!$L$200,"III юн","б/р")))))))))))</f>
        <v xml:space="preserve"> </v>
      </c>
      <c r="N192" s="59" t="str">
        <f>IF(ISBLANK(L192)," ",IF(ISTEXT(L192)," ",IF(L192&lt;=634.7,"МСМК",IF(L192&lt;=652.2,"МС",IF(L192&lt;=714.5,"КМС",IF(L192&lt;=736,"I",IF(L192&lt;=825,"II",IF(L192&lt;=905.2,"III",IF(L192&lt;=955,"I юн",IF(L192&lt;=1054,"II юн",IF(L192&lt;=1150.5,"III юн","б/р")))))))))))</f>
        <v xml:space="preserve"> </v>
      </c>
      <c r="Q192" s="59" t="str">
        <f>IF(ISBLANK(P192)," ",IF(ISTEXT(P192)," ",IF(P192&lt;=$H$192,"МСМК",IF(P192&lt;=$H$193,"МС",IF(P192&lt;=$H$194,"КМС",IF(P192&lt;=$H$195,"I",IF(P192&lt;=$H$196,"II",IF(P192&lt;=$H$197,"III",IF(P192&lt;=$H$198,"I юн",IF(P192&lt;=$H$199,"II юн",IF(P192&lt;=$H$200,"III юн","б/р")))))))))))</f>
        <v xml:space="preserve"> </v>
      </c>
    </row>
    <row r="193" spans="3:17" x14ac:dyDescent="0.3">
      <c r="C193" s="86"/>
      <c r="D193" s="36"/>
      <c r="E193" s="36"/>
      <c r="F193" s="86"/>
      <c r="G193" s="86"/>
      <c r="H193" s="71">
        <v>650</v>
      </c>
      <c r="I193" s="59" t="str">
        <f>IF(ISBLANK(H193)," ",IF(ISTEXT(H193)," ",IF(H193&lt;=Нормативы!$H$192,"МСМК",IF(H193&lt;=Нормативы!$H$193,"МС",IF(H193&lt;=Нормативы!$H$194,"КМС",IF(H193&lt;=Нормативы!$H$195,"I",IF(H193&lt;=Нормативы!$H$196,"II",IF(H193&lt;=Нормативы!$H$197,"III",IF(H193&lt;=Нормативы!$H$198,"I юн",IF(H193&lt;=Нормативы!$H$199,"II юн",IF(H193&lt;=Нормативы!$H$200,"III юн","б/р")))))))))))</f>
        <v>МС</v>
      </c>
      <c r="J193" s="59" t="str">
        <f>IF(ISBLANK(H193)," ",IF(ISTEXT(H193)," ",IF(H193&lt;=Нормативы!$H$192,"МСМК",IF(H193&lt;=Нормативы!$H$193,"МС",IF(H193&lt;=Нормативы!$H$194,"КМС",IF(H193&lt;=Нормативы!$H$195,"I",IF(H193&lt;=Нормативы!$H$196,"II",IF(H193&lt;=Нормативы!$H$197,"III",IF(H193&lt;=Нормативы!$H$198,"I юн",IF(H193&lt;=Нормативы!$H$199,"II юн",IF(H193&lt;=Нормативы!$H$200,"III юн","б/р")))))))))))</f>
        <v>МС</v>
      </c>
      <c r="K193" s="75"/>
      <c r="L193" s="71"/>
      <c r="M193" s="59" t="str">
        <f>IF(ISBLANK(L193)," ",IF(ISTEXT(L193)," ",IF(L193&lt;=Нормативы!$H$192,"КМС",IF(L193&lt;=Нормативы!$H$193,"КМС",IF(L193&lt;=Нормативы!$L$194,"КМС",IF(L193&lt;=Нормативы!$L$195,"I",IF(L193&lt;=Нормативы!$L$196,"II",IF(L193&lt;=Нормативы!$L$197,"III",IF(L193&lt;=Нормативы!$L$198,"I юн",IF(L193&lt;=Нормативы!$L$199,"II юн",IF(L193&lt;=Нормативы!$L$200,"III юн","б/р")))))))))))</f>
        <v xml:space="preserve"> </v>
      </c>
      <c r="N193" s="59" t="str">
        <f>IF(ISBLANK(L193)," ",IF(ISTEXT(L193)," ",IF(L193&lt;=634.7,"МСМК",IF(L193&lt;=652.2,"МС",IF(L193&lt;=714.5,"КМС",IF(L193&lt;=736,"I",IF(L193&lt;=825,"II",IF(L193&lt;=905.2,"III",IF(L193&lt;=955,"I юн",IF(L193&lt;=1054,"II юн",IF(L193&lt;=1150.5,"III юн","б/р")))))))))))</f>
        <v xml:space="preserve"> </v>
      </c>
      <c r="Q193" s="59" t="str">
        <f t="shared" ref="Q193" si="152">IF(ISBLANK(P193)," ",IF(ISTEXT(P193)," ",IF(P193&lt;=$H$192,"МСМК",IF(P193&lt;=$H$193,"МС",IF(P193&lt;=$H$194,"КМС",IF(P193&lt;=$H$195,"I",IF(P193&lt;=$H$196,"II",IF(P193&lt;=$H$197,"III",IF(P193&lt;=$H$198,"I юн",IF(P193&lt;=$H$199,"II юн",IF(P193&lt;=$H$200,"III юн","б/р")))))))))))</f>
        <v xml:space="preserve"> </v>
      </c>
    </row>
    <row r="194" spans="3:17" x14ac:dyDescent="0.3">
      <c r="C194" s="86"/>
      <c r="D194" s="36"/>
      <c r="E194" s="36"/>
      <c r="F194" s="86"/>
      <c r="G194" s="86"/>
      <c r="H194" s="71">
        <v>713.7</v>
      </c>
      <c r="I194" s="59" t="str">
        <f>IF(ISBLANK(H194)," ",IF(ISTEXT(H194)," ",IF(H194&lt;=Нормативы!$H$192,"МСМК",IF(H194&lt;=Нормативы!$H$193,"МС",IF(H194&lt;=Нормативы!$H$194,"КМС",IF(H194&lt;=Нормативы!$H$195,"I",IF(H194&lt;=Нормативы!$H$196,"II",IF(H194&lt;=Нормативы!$H$197,"III",IF(H194&lt;=Нормативы!$H$198,"I юн",IF(H194&lt;=Нормативы!$H$199,"II юн",IF(H194&lt;=Нормативы!$H$200,"III юн","б/р")))))))))))</f>
        <v>КМС</v>
      </c>
      <c r="J194" s="59" t="str">
        <f>IF(ISBLANK(H194)," ",IF(ISTEXT(H194)," ",IF(H194&lt;=Нормативы!$H$192,"МСМК",IF(H194&lt;=Нормативы!$H$193,"МС",IF(H194&lt;=Нормативы!$H$194,"КМС",IF(H194&lt;=Нормативы!$H$195,"I",IF(H194&lt;=Нормативы!$H$196,"II",IF(H194&lt;=Нормативы!$H$197,"III",IF(H194&lt;=Нормативы!$H$198,"I юн",IF(H194&lt;=Нормативы!$H$199,"II юн",IF(H194&lt;=Нормативы!$H$200,"III юн","б/р")))))))))))</f>
        <v>КМС</v>
      </c>
      <c r="K194" s="75"/>
      <c r="L194" s="74">
        <f t="shared" ref="L194:L200" si="153">H194-0.2</f>
        <v>713.5</v>
      </c>
      <c r="M194" s="59" t="str">
        <f>IF(ISBLANK(L194)," ",IF(ISTEXT(L194)," ",IF(L194&lt;=Нормативы!$H$192,"КМС",IF(L194&lt;=Нормативы!$H$193,"КМС",IF(L194&lt;=Нормативы!$L$194,"КМС",IF(L194&lt;=Нормативы!$L$195,"I",IF(L194&lt;=Нормативы!$L$196,"II",IF(L194&lt;=Нормативы!$L$197,"III",IF(L194&lt;=Нормативы!$L$198,"I юн",IF(L194&lt;=Нормативы!$L$199,"II юн",IF(L194&lt;=Нормативы!$L$200,"III юн","б/р")))))))))))</f>
        <v>КМС</v>
      </c>
      <c r="N194" s="59" t="str">
        <f>IF(ISBLANK(L194)," ",IF(ISTEXT(L194)," ",IF(L194&lt;=Нормативы!$H$192,"КМС",IF(L194&lt;=Нормативы!$H$193,"КМС",IF(L194&lt;=Нормативы!$L$194,"КМС",IF(L194&lt;=Нормативы!$L$195,"I",IF(L194&lt;=Нормативы!$L$196,"II",IF(L194&lt;=Нормативы!$L$197,"III",IF(L194&lt;=Нормативы!$L$198,"I юн",IF(L194&lt;=Нормативы!$L$199,"II юн",IF(L194&lt;=Нормативы!$L$200,"III юн","б/р")))))))))))</f>
        <v>КМС</v>
      </c>
      <c r="Q194" s="59" t="str">
        <f t="shared" ref="Q194" si="154">IF(ISBLANK(P194)," ",IF(ISTEXT(P194)," ",IF(P194&lt;=$H$192,"МСМК",IF(P194&lt;=$H$193,"МС",IF(P194&lt;=$H$194,"КМС",IF(P194&lt;=$H$195,"I",IF(P194&lt;=$H$196,"II",IF(P194&lt;=$H$197,"III",IF(P194&lt;=$H$198,"I юн",IF(P194&lt;=$H$199,"II юн",IF(P194&lt;=$H$200,"III юн","б/р")))))))))))</f>
        <v xml:space="preserve"> </v>
      </c>
    </row>
    <row r="195" spans="3:17" x14ac:dyDescent="0.3">
      <c r="C195" s="86"/>
      <c r="D195" s="36"/>
      <c r="E195" s="36"/>
      <c r="F195" s="86"/>
      <c r="G195" s="86"/>
      <c r="H195" s="71">
        <v>734.7</v>
      </c>
      <c r="I195" s="59" t="str">
        <f>IF(ISBLANK(H195)," ",IF(ISTEXT(H195)," ",IF(H195&lt;=Нормативы!$H$192,"МСМК",IF(H195&lt;=Нормативы!$H$193,"МС",IF(H195&lt;=Нормативы!$H$194,"КМС",IF(H195&lt;=Нормативы!$H$195,"I",IF(H195&lt;=Нормативы!$H$196,"II",IF(H195&lt;=Нормативы!$H$197,"III",IF(H195&lt;=Нормативы!$H$198,"I юн",IF(H195&lt;=Нормативы!$H$199,"II юн",IF(H195&lt;=Нормативы!$H$200,"III юн","б/р")))))))))))</f>
        <v>I</v>
      </c>
      <c r="J195" s="59" t="str">
        <f>IF(ISBLANK(H195)," ",IF(ISTEXT(H195)," ",IF(H195&lt;=Нормативы!$H$192,"МСМК",IF(H195&lt;=Нормативы!$H$193,"МС",IF(H195&lt;=Нормативы!$H$194,"КМС",IF(H195&lt;=Нормативы!$H$195,"I",IF(H195&lt;=Нормативы!$H$196,"II",IF(H195&lt;=Нормативы!$H$197,"III",IF(H195&lt;=Нормативы!$H$198,"I юн",IF(H195&lt;=Нормативы!$H$199,"II юн",IF(H195&lt;=Нормативы!$H$200,"III юн","б/р")))))))))))</f>
        <v>I</v>
      </c>
      <c r="K195" s="75"/>
      <c r="L195" s="74">
        <f t="shared" si="153"/>
        <v>734.5</v>
      </c>
      <c r="M195" s="59" t="str">
        <f>IF(ISBLANK(L195)," ",IF(ISTEXT(L195)," ",IF(L195&lt;=Нормативы!$H$192,"КМС",IF(L195&lt;=Нормативы!$H$193,"КМС",IF(L195&lt;=Нормативы!$L$194,"КМС",IF(L195&lt;=Нормативы!$L$195,"I",IF(L195&lt;=Нормативы!$L$196,"II",IF(L195&lt;=Нормативы!$L$197,"III",IF(L195&lt;=Нормативы!$L$198,"I юн",IF(L195&lt;=Нормативы!$L$199,"II юн",IF(L195&lt;=Нормативы!$L$200,"III юн","б/р")))))))))))</f>
        <v>I</v>
      </c>
      <c r="N195" s="59" t="str">
        <f>IF(ISBLANK(L195)," ",IF(ISTEXT(L195)," ",IF(L195&lt;=Нормативы!$H$192,"КМС",IF(L195&lt;=Нормативы!$H$193,"КМС",IF(L195&lt;=Нормативы!$L$194,"КМС",IF(L195&lt;=Нормативы!$L$195,"I",IF(L195&lt;=Нормативы!$L$196,"II",IF(L195&lt;=Нормативы!$L$197,"III",IF(L195&lt;=Нормативы!$L$198,"I юн",IF(L195&lt;=Нормативы!$L$199,"II юн",IF(L195&lt;=Нормативы!$L$200,"III юн","б/р")))))))))))</f>
        <v>I</v>
      </c>
      <c r="Q195" s="59" t="str">
        <f t="shared" ref="Q195" si="155">IF(ISBLANK(P195)," ",IF(ISTEXT(P195)," ",IF(P195&lt;=$H$192,"МСМК",IF(P195&lt;=$H$193,"МС",IF(P195&lt;=$H$194,"КМС",IF(P195&lt;=$H$195,"I",IF(P195&lt;=$H$196,"II",IF(P195&lt;=$H$197,"III",IF(P195&lt;=$H$198,"I юн",IF(P195&lt;=$H$199,"II юн",IF(P195&lt;=$H$200,"III юн","б/р")))))))))))</f>
        <v xml:space="preserve"> </v>
      </c>
    </row>
    <row r="196" spans="3:17" x14ac:dyDescent="0.3">
      <c r="C196" s="86"/>
      <c r="D196" s="36"/>
      <c r="E196" s="36"/>
      <c r="F196" s="86"/>
      <c r="G196" s="86"/>
      <c r="H196" s="71">
        <v>823.2</v>
      </c>
      <c r="I196" s="59" t="str">
        <f>IF(ISBLANK(H196)," ",IF(ISTEXT(H196)," ",IF(H196&lt;=Нормативы!$H$192,"МСМК",IF(H196&lt;=Нормативы!$H$193,"МС",IF(H196&lt;=Нормативы!$H$194,"КМС",IF(H196&lt;=Нормативы!$H$195,"I",IF(H196&lt;=Нормативы!$H$196,"II",IF(H196&lt;=Нормативы!$H$197,"III",IF(H196&lt;=Нормативы!$H$198,"I юн",IF(H196&lt;=Нормативы!$H$199,"II юн",IF(H196&lt;=Нормативы!$H$200,"III юн","б/р")))))))))))</f>
        <v>II</v>
      </c>
      <c r="J196" s="59" t="str">
        <f>IF(ISBLANK(H196)," ",IF(ISTEXT(H196)," ",IF(H196&lt;=Нормативы!$H$192,"МСМК",IF(H196&lt;=Нормативы!$H$193,"МС",IF(H196&lt;=Нормативы!$H$194,"КМС",IF(H196&lt;=Нормативы!$H$195,"I",IF(H196&lt;=Нормативы!$H$196,"II",IF(H196&lt;=Нормативы!$H$197,"III",IF(H196&lt;=Нормативы!$H$198,"I юн",IF(H196&lt;=Нормативы!$H$199,"II юн",IF(H196&lt;=Нормативы!$H$200,"III юн","б/р")))))))))))</f>
        <v>II</v>
      </c>
      <c r="K196" s="75"/>
      <c r="L196" s="74">
        <f t="shared" si="153"/>
        <v>823</v>
      </c>
      <c r="M196" s="59" t="str">
        <f>IF(ISBLANK(L196)," ",IF(ISTEXT(L196)," ",IF(L196&lt;=Нормативы!$H$192,"КМС",IF(L196&lt;=Нормативы!$H$193,"КМС",IF(L196&lt;=Нормативы!$L$194,"КМС",IF(L196&lt;=Нормативы!$L$195,"I",IF(L196&lt;=Нормативы!$L$196,"II",IF(L196&lt;=Нормативы!$L$197,"III",IF(L196&lt;=Нормативы!$L$198,"I юн",IF(L196&lt;=Нормативы!$L$199,"II юн",IF(L196&lt;=Нормативы!$L$200,"III юн","б/р")))))))))))</f>
        <v>II</v>
      </c>
      <c r="N196" s="59" t="str">
        <f>IF(ISBLANK(L196)," ",IF(ISTEXT(L196)," ",IF(L196&lt;=Нормативы!$H$192,"КМС",IF(L196&lt;=Нормативы!$H$193,"КМС",IF(L196&lt;=Нормативы!$L$194,"КМС",IF(L196&lt;=Нормативы!$L$195,"I",IF(L196&lt;=Нормативы!$L$196,"II",IF(L196&lt;=Нормативы!$L$197,"III",IF(L196&lt;=Нормативы!$L$198,"I юн",IF(L196&lt;=Нормативы!$L$199,"II юн",IF(L196&lt;=Нормативы!$L$200,"III юн","б/р")))))))))))</f>
        <v>II</v>
      </c>
      <c r="Q196" s="59" t="str">
        <f t="shared" ref="Q196" si="156">IF(ISBLANK(P196)," ",IF(ISTEXT(P196)," ",IF(P196&lt;=$H$192,"МСМК",IF(P196&lt;=$H$193,"МС",IF(P196&lt;=$H$194,"КМС",IF(P196&lt;=$H$195,"I",IF(P196&lt;=$H$196,"II",IF(P196&lt;=$H$197,"III",IF(P196&lt;=$H$198,"I юн",IF(P196&lt;=$H$199,"II юн",IF(P196&lt;=$H$200,"III юн","б/р")))))))))))</f>
        <v xml:space="preserve"> </v>
      </c>
    </row>
    <row r="197" spans="3:17" x14ac:dyDescent="0.3">
      <c r="C197" s="86"/>
      <c r="D197" s="36"/>
      <c r="E197" s="36"/>
      <c r="F197" s="86"/>
      <c r="G197" s="86"/>
      <c r="H197" s="71">
        <v>903.2</v>
      </c>
      <c r="I197" s="59" t="str">
        <f>IF(ISBLANK(H197)," ",IF(ISTEXT(H197)," ",IF(H197&lt;=Нормативы!$H$192,"МСМК",IF(H197&lt;=Нормативы!$H$193,"МС",IF(H197&lt;=Нормативы!$H$194,"КМС",IF(H197&lt;=Нормативы!$H$195,"I",IF(H197&lt;=Нормативы!$H$196,"II",IF(H197&lt;=Нормативы!$H$197,"III",IF(H197&lt;=Нормативы!$H$198,"I юн",IF(H197&lt;=Нормативы!$H$199,"II юн",IF(H197&lt;=Нормативы!$H$200,"III юн","б/р")))))))))))</f>
        <v>III</v>
      </c>
      <c r="J197" s="59" t="str">
        <f>IF(ISBLANK(H197)," ",IF(ISTEXT(H197)," ",IF(H197&lt;=Нормативы!$H$192,"МСМК",IF(H197&lt;=Нормативы!$H$193,"МС",IF(H197&lt;=Нормативы!$H$194,"КМС",IF(H197&lt;=Нормативы!$H$195,"I",IF(H197&lt;=Нормативы!$H$196,"II",IF(H197&lt;=Нормативы!$H$197,"III",IF(H197&lt;=Нормативы!$H$198,"I юн",IF(H197&lt;=Нормативы!$H$199,"II юн",IF(H197&lt;=Нормативы!$H$200,"III юн","б/р")))))))))))</f>
        <v>III</v>
      </c>
      <c r="K197" s="75"/>
      <c r="L197" s="74">
        <f t="shared" si="153"/>
        <v>903</v>
      </c>
      <c r="M197" s="59" t="str">
        <f>IF(ISBLANK(L197)," ",IF(ISTEXT(L197)," ",IF(L197&lt;=Нормативы!$H$192,"КМС",IF(L197&lt;=Нормативы!$H$193,"КМС",IF(L197&lt;=Нормативы!$L$194,"КМС",IF(L197&lt;=Нормативы!$L$195,"I",IF(L197&lt;=Нормативы!$L$196,"II",IF(L197&lt;=Нормативы!$L$197,"III",IF(L197&lt;=Нормативы!$L$198,"I юн",IF(L197&lt;=Нормативы!$L$199,"II юн",IF(L197&lt;=Нормативы!$L$200,"III юн","б/р")))))))))))</f>
        <v>III</v>
      </c>
      <c r="N197" s="59" t="str">
        <f>IF(ISBLANK(L197)," ",IF(ISTEXT(L197)," ",IF(L197&lt;=Нормативы!$H$192,"КМС",IF(L197&lt;=Нормативы!$H$193,"КМС",IF(L197&lt;=Нормативы!$L$194,"КМС",IF(L197&lt;=Нормативы!$L$195,"I",IF(L197&lt;=Нормативы!$L$196,"II",IF(L197&lt;=Нормативы!$L$197,"III",IF(L197&lt;=Нормативы!$L$198,"I юн",IF(L197&lt;=Нормативы!$L$199,"II юн",IF(L197&lt;=Нормативы!$L$200,"III юн","б/р")))))))))))</f>
        <v>III</v>
      </c>
      <c r="Q197" s="59" t="str">
        <f t="shared" ref="Q197" si="157">IF(ISBLANK(P197)," ",IF(ISTEXT(P197)," ",IF(P197&lt;=$H$192,"МСМК",IF(P197&lt;=$H$193,"МС",IF(P197&lt;=$H$194,"КМС",IF(P197&lt;=$H$195,"I",IF(P197&lt;=$H$196,"II",IF(P197&lt;=$H$197,"III",IF(P197&lt;=$H$198,"I юн",IF(P197&lt;=$H$199,"II юн",IF(P197&lt;=$H$200,"III юн","б/р")))))))))))</f>
        <v xml:space="preserve"> </v>
      </c>
    </row>
    <row r="198" spans="3:17" x14ac:dyDescent="0.3">
      <c r="C198" s="86"/>
      <c r="D198" s="36"/>
      <c r="E198" s="36"/>
      <c r="F198" s="86"/>
      <c r="G198" s="86"/>
      <c r="H198" s="71">
        <v>950.40000000000009</v>
      </c>
      <c r="I198" s="59" t="str">
        <f>IF(ISBLANK(H198)," ",IF(ISTEXT(H198)," ",IF(H198&lt;=Нормативы!$H$192,"МСМК",IF(H198&lt;=Нормативы!$H$193,"МС",IF(H198&lt;=Нормативы!$H$194,"КМС",IF(H198&lt;=Нормативы!$H$195,"I",IF(H198&lt;=Нормативы!$H$196,"II",IF(H198&lt;=Нормативы!$H$197,"III",IF(H198&lt;=Нормативы!$H$198,"I юн",IF(H198&lt;=Нормативы!$H$199,"II юн",IF(H198&lt;=Нормативы!$H$200,"III юн","б/р")))))))))))</f>
        <v>I юн</v>
      </c>
      <c r="J198" s="59" t="str">
        <f>IF(ISBLANK(H198)," ",IF(ISTEXT(H198)," ",IF(H198&lt;=Нормативы!$H$192,"МСМК",IF(H198&lt;=Нормативы!$H$193,"МС",IF(H198&lt;=Нормативы!$H$194,"КМС",IF(H198&lt;=Нормативы!$H$195,"I",IF(H198&lt;=Нормативы!$H$196,"II",IF(H198&lt;=Нормативы!$H$197,"III",IF(H198&lt;=Нормативы!$H$198,"I юн",IF(H198&lt;=Нормативы!$H$199,"II юн",IF(H198&lt;=Нормативы!$H$200,"III юн","б/р")))))))))))</f>
        <v>I юн</v>
      </c>
      <c r="K198" s="75"/>
      <c r="L198" s="74">
        <f t="shared" si="153"/>
        <v>950.2</v>
      </c>
      <c r="M198" s="59" t="str">
        <f>IF(ISBLANK(L198)," ",IF(ISTEXT(L198)," ",IF(L198&lt;=Нормативы!$H$192,"КМС",IF(L198&lt;=Нормативы!$H$193,"КМС",IF(L198&lt;=Нормативы!$L$194,"КМС",IF(L198&lt;=Нормативы!$L$195,"I",IF(L198&lt;=Нормативы!$L$196,"II",IF(L198&lt;=Нормативы!$L$197,"III",IF(L198&lt;=Нормативы!$L$198,"I юн",IF(L198&lt;=Нормативы!$L$199,"II юн",IF(L198&lt;=Нормативы!$L$200,"III юн","б/р")))))))))))</f>
        <v>I юн</v>
      </c>
      <c r="N198" s="59" t="str">
        <f>IF(ISBLANK(L198)," ",IF(ISTEXT(L198)," ",IF(L198&lt;=Нормативы!$H$192,"КМС",IF(L198&lt;=Нормативы!$H$193,"КМС",IF(L198&lt;=Нормативы!$L$194,"КМС",IF(L198&lt;=Нормативы!$L$195,"I",IF(L198&lt;=Нормативы!$L$196,"II",IF(L198&lt;=Нормативы!$L$197,"III",IF(L198&lt;=Нормативы!$L$198,"I юн",IF(L198&lt;=Нормативы!$L$199,"II юн",IF(L198&lt;=Нормативы!$L$200,"III юн","б/р")))))))))))</f>
        <v>I юн</v>
      </c>
      <c r="Q198" s="59" t="str">
        <f t="shared" ref="Q198" si="158">IF(ISBLANK(P198)," ",IF(ISTEXT(P198)," ",IF(P198&lt;=$H$192,"МСМК",IF(P198&lt;=$H$193,"МС",IF(P198&lt;=$H$194,"КМС",IF(P198&lt;=$H$195,"I",IF(P198&lt;=$H$196,"II",IF(P198&lt;=$H$197,"III",IF(P198&lt;=$H$198,"I юн",IF(P198&lt;=$H$199,"II юн",IF(P198&lt;=$H$200,"III юн","б/р")))))))))))</f>
        <v xml:space="preserve"> </v>
      </c>
    </row>
    <row r="199" spans="3:17" x14ac:dyDescent="0.3">
      <c r="C199" s="86"/>
      <c r="D199" s="36"/>
      <c r="E199" s="36"/>
      <c r="F199" s="86"/>
      <c r="G199" s="86"/>
      <c r="H199" s="71">
        <v>1052</v>
      </c>
      <c r="I199" s="59" t="str">
        <f>IF(ISBLANK(H199)," ",IF(ISTEXT(H199)," ",IF(H199&lt;=Нормативы!$H$192,"МСМК",IF(H199&lt;=Нормативы!$H$193,"МС",IF(H199&lt;=Нормативы!$H$194,"КМС",IF(H199&lt;=Нормативы!$H$195,"I",IF(H199&lt;=Нормативы!$H$196,"II",IF(H199&lt;=Нормативы!$H$197,"III",IF(H199&lt;=Нормативы!$H$198,"I юн",IF(H199&lt;=Нормативы!$H$199,"II юн",IF(H199&lt;=Нормативы!$H$200,"III юн","б/р")))))))))))</f>
        <v>II юн</v>
      </c>
      <c r="J199" s="59" t="str">
        <f>IF(ISBLANK(H199)," ",IF(ISTEXT(H199)," ",IF(H199&lt;=Нормативы!$H$192,"МСМК",IF(H199&lt;=Нормативы!$H$193,"МС",IF(H199&lt;=Нормативы!$H$194,"КМС",IF(H199&lt;=Нормативы!$H$195,"I",IF(H199&lt;=Нормативы!$H$196,"II",IF(H199&lt;=Нормативы!$H$197,"III",IF(H199&lt;=Нормативы!$H$198,"I юн",IF(H199&lt;=Нормативы!$H$199,"II юн",IF(H199&lt;=Нормативы!$H$200,"III юн","б/р")))))))))))</f>
        <v>II юн</v>
      </c>
      <c r="K199" s="75"/>
      <c r="L199" s="74">
        <f t="shared" si="153"/>
        <v>1051.8</v>
      </c>
      <c r="M199" s="59" t="str">
        <f>IF(ISBLANK(L199)," ",IF(ISTEXT(L199)," ",IF(L199&lt;=Нормативы!$H$192,"КМС",IF(L199&lt;=Нормативы!$H$193,"КМС",IF(L199&lt;=Нормативы!$L$194,"КМС",IF(L199&lt;=Нормативы!$L$195,"I",IF(L199&lt;=Нормативы!$L$196,"II",IF(L199&lt;=Нормативы!$L$197,"III",IF(L199&lt;=Нормативы!$L$198,"I юн",IF(L199&lt;=Нормативы!$L$199,"II юн",IF(L199&lt;=Нормативы!$L$200,"III юн","б/р")))))))))))</f>
        <v>II юн</v>
      </c>
      <c r="N199" s="59" t="str">
        <f>IF(ISBLANK(L199)," ",IF(ISTEXT(L199)," ",IF(L199&lt;=Нормативы!$H$192,"КМС",IF(L199&lt;=Нормативы!$H$193,"КМС",IF(L199&lt;=Нормативы!$L$194,"КМС",IF(L199&lt;=Нормативы!$L$195,"I",IF(L199&lt;=Нормативы!$L$196,"II",IF(L199&lt;=Нормативы!$L$197,"III",IF(L199&lt;=Нормативы!$L$198,"I юн",IF(L199&lt;=Нормативы!$L$199,"II юн",IF(L199&lt;=Нормативы!$L$200,"III юн","б/р")))))))))))</f>
        <v>II юн</v>
      </c>
      <c r="Q199" s="59" t="str">
        <f t="shared" ref="Q199" si="159">IF(ISBLANK(P199)," ",IF(ISTEXT(P199)," ",IF(P199&lt;=$H$192,"МСМК",IF(P199&lt;=$H$193,"МС",IF(P199&lt;=$H$194,"КМС",IF(P199&lt;=$H$195,"I",IF(P199&lt;=$H$196,"II",IF(P199&lt;=$H$197,"III",IF(P199&lt;=$H$198,"I юн",IF(P199&lt;=$H$199,"II юн",IF(P199&lt;=$H$200,"III юн","б/р")))))))))))</f>
        <v xml:space="preserve"> </v>
      </c>
    </row>
    <row r="200" spans="3:17" x14ac:dyDescent="0.3">
      <c r="C200" s="86"/>
      <c r="D200" s="36"/>
      <c r="E200" s="36"/>
      <c r="F200" s="86"/>
      <c r="G200" s="86"/>
      <c r="H200" s="71">
        <v>1145.2</v>
      </c>
      <c r="I200" s="59" t="str">
        <f>IF(ISBLANK(H200)," ",IF(ISTEXT(H200)," ",IF(H200&lt;=Нормативы!$H$192,"МСМК",IF(H200&lt;=Нормативы!$H$193,"МС",IF(H200&lt;=Нормативы!$H$194,"КМС",IF(H200&lt;=Нормативы!$H$195,"I",IF(H200&lt;=Нормативы!$H$196,"II",IF(H200&lt;=Нормативы!$H$197,"III",IF(H200&lt;=Нормативы!$H$198,"I юн",IF(H200&lt;=Нормативы!$H$199,"II юн",IF(H200&lt;=Нормативы!$H$200,"III юн","б/р")))))))))))</f>
        <v>III юн</v>
      </c>
      <c r="J200" s="59" t="str">
        <f>IF(ISBLANK(H200)," ",IF(ISTEXT(H200)," ",IF(H200&lt;=Нормативы!$H$192,"МСМК",IF(H200&lt;=Нормативы!$H$193,"МС",IF(H200&lt;=Нормативы!$H$194,"КМС",IF(H200&lt;=Нормативы!$H$195,"I",IF(H200&lt;=Нормативы!$H$196,"II",IF(H200&lt;=Нормативы!$H$197,"III",IF(H200&lt;=Нормативы!$H$198,"I юн",IF(H200&lt;=Нормативы!$H$199,"II юн",IF(H200&lt;=Нормативы!$H$200,"III юн","б/р")))))))))))</f>
        <v>III юн</v>
      </c>
      <c r="K200" s="75"/>
      <c r="L200" s="74">
        <f t="shared" si="153"/>
        <v>1145</v>
      </c>
      <c r="M200" s="59" t="str">
        <f>IF(ISBLANK(L200)," ",IF(ISTEXT(L200)," ",IF(L200&lt;=Нормативы!$H$192,"КМС",IF(L200&lt;=Нормативы!$H$193,"КМС",IF(L200&lt;=Нормативы!$L$194,"КМС",IF(L200&lt;=Нормативы!$L$195,"I",IF(L200&lt;=Нормативы!$L$196,"II",IF(L200&lt;=Нормативы!$L$197,"III",IF(L200&lt;=Нормативы!$L$198,"I юн",IF(L200&lt;=Нормативы!$L$199,"II юн",IF(L200&lt;=Нормативы!$L$200,"III юн","б/р")))))))))))</f>
        <v>III юн</v>
      </c>
      <c r="N200" s="59" t="str">
        <f>IF(ISBLANK(L200)," ",IF(ISTEXT(L200)," ",IF(L200&lt;=Нормативы!$H$192,"КМС",IF(L200&lt;=Нормативы!$H$193,"КМС",IF(L200&lt;=Нормативы!$L$194,"КМС",IF(L200&lt;=Нормативы!$L$195,"I",IF(L200&lt;=Нормативы!$L$196,"II",IF(L200&lt;=Нормативы!$L$197,"III",IF(L200&lt;=Нормативы!$L$198,"I юн",IF(L200&lt;=Нормативы!$L$199,"II юн",IF(L200&lt;=Нормативы!$L$200,"III юн","б/р")))))))))))</f>
        <v>III юн</v>
      </c>
      <c r="Q200" s="59" t="str">
        <f t="shared" ref="Q200" si="160">IF(ISBLANK(P200)," ",IF(ISTEXT(P200)," ",IF(P200&lt;=$H$192,"МСМК",IF(P200&lt;=$H$193,"МС",IF(P200&lt;=$H$194,"КМС",IF(P200&lt;=$H$195,"I",IF(P200&lt;=$H$196,"II",IF(P200&lt;=$H$197,"III",IF(P200&lt;=$H$198,"I юн",IF(P200&lt;=$H$199,"II юн",IF(P200&lt;=$H$200,"III юн","б/р")))))))))))</f>
        <v xml:space="preserve"> </v>
      </c>
    </row>
    <row r="201" spans="3:17" x14ac:dyDescent="0.3">
      <c r="C201" s="86"/>
      <c r="D201" s="36"/>
      <c r="E201" s="36"/>
      <c r="F201" s="86"/>
      <c r="G201" s="86"/>
      <c r="H201" s="71"/>
      <c r="I201" s="43"/>
      <c r="J201" s="43"/>
      <c r="K201" s="75"/>
      <c r="L201" s="43"/>
      <c r="M201" s="43"/>
      <c r="N201" s="43"/>
      <c r="Q201" s="43"/>
    </row>
    <row r="202" spans="3:17" x14ac:dyDescent="0.3">
      <c r="C202" s="68" t="s">
        <v>50</v>
      </c>
      <c r="D202" s="69"/>
      <c r="E202" s="69"/>
      <c r="F202" s="68"/>
      <c r="G202" s="68"/>
      <c r="H202" s="70"/>
      <c r="I202" s="43"/>
      <c r="J202" s="43"/>
      <c r="K202" s="87"/>
      <c r="L202" s="43"/>
      <c r="M202" s="43"/>
      <c r="N202" s="43"/>
      <c r="Q202" s="43"/>
    </row>
    <row r="203" spans="3:17" x14ac:dyDescent="0.3">
      <c r="C203" s="86"/>
      <c r="D203" s="36"/>
      <c r="E203" s="36"/>
      <c r="F203" s="86"/>
      <c r="G203" s="86"/>
      <c r="H203" s="71">
        <v>1339</v>
      </c>
      <c r="I203" s="59" t="str">
        <f>IF(ISBLANK(H203)," ",IF(ISTEXT(H203)," ",IF(H203&lt;=Нормативы!$H$203,"МСМК",IF(H203&lt;=Нормативы!$H$204,"МС",IF(H203&lt;=Нормативы!$H$205,"КМС",IF(H203&lt;=Нормативы!$H$206,"I",IF(H203&lt;=Нормативы!$H$207,"II",IF(H203&lt;=Нормативы!$H$208,"III","б/р"))))))))</f>
        <v>МСМК</v>
      </c>
      <c r="J203" s="59" t="str">
        <f>IF(ISBLANK(H203)," ",IF(ISTEXT(H203)," ",IF(H203&lt;=Нормативы!$H$203,"МСМК",IF(H203&lt;=Нормативы!$H$204,"МС",IF(H203&lt;=Нормативы!$H$205,"КМС",IF(H203&lt;=Нормативы!$H$206,"I",IF(H203&lt;=Нормативы!$H$207,"II",IF(H203&lt;=Нормативы!$H$208,"III","б/р"))))))))</f>
        <v>МСМК</v>
      </c>
      <c r="K203" s="75"/>
      <c r="L203" s="71"/>
      <c r="M203" s="59" t="str">
        <f>IF(ISBLANK(L203)," ",IF(ISTEXT(L203)," ",IF(L203&lt;=Нормативы!$H$203,"КМС",IF(L203&lt;=Нормативы!$H$204,"КМС",IF(L203&lt;=Нормативы!$L$205,"КМС",IF(L203&lt;=Нормативы!$L$206,"I",IF(L203&lt;=Нормативы!$L$207,"II",IF(L203&lt;=Нормативы!$L$208,"III","б/р"))))))))</f>
        <v xml:space="preserve"> </v>
      </c>
      <c r="N203" s="59" t="str">
        <f>IF(ISBLANK(L203)," ",IF(ISTEXT(L203)," ",IF(L203&lt;=1339.2,"МСМК",IF(L203&lt;=1418.2,"МС",IF(L203&lt;=1458.5,"КМС",IF(L203&lt;=1600,"I",IF(L203&lt;=1724.5,"II",IF(L203&lt;=1850,"III","б/р"))))))))</f>
        <v xml:space="preserve"> </v>
      </c>
      <c r="Q203" s="59" t="str">
        <f>IF(ISBLANK(P203)," ",IF(ISTEXT(P203)," ",IF(P203&lt;=$H$203,"МСМК",IF(P203&lt;=$H$204,"МС",IF(P203&lt;=$H$205,"КМС",IF(P203&lt;=$H$206,"I",IF(P203&lt;=$H$207,"II",IF(P203&lt;=$H$208,"III","б/р"))))))))</f>
        <v xml:space="preserve"> </v>
      </c>
    </row>
    <row r="204" spans="3:17" x14ac:dyDescent="0.3">
      <c r="C204" s="86"/>
      <c r="D204" s="36"/>
      <c r="E204" s="36"/>
      <c r="F204" s="86"/>
      <c r="G204" s="86"/>
      <c r="H204" s="71">
        <v>1415</v>
      </c>
      <c r="I204" s="59" t="str">
        <f>IF(ISBLANK(H204)," ",IF(ISTEXT(H204)," ",IF(H204&lt;=Нормативы!$H$203,"МСМК",IF(H204&lt;=Нормативы!$H$204,"МС",IF(H204&lt;=Нормативы!$H$205,"КМС",IF(H204&lt;=Нормативы!$H$206,"I",IF(H204&lt;=Нормативы!$H$207,"II",IF(H204&lt;=Нормативы!$H$208,"III","б/р"))))))))</f>
        <v>МС</v>
      </c>
      <c r="J204" s="59" t="str">
        <f>IF(ISBLANK(H204)," ",IF(ISTEXT(H204)," ",IF(H204&lt;=Нормативы!$H$203,"МСМК",IF(H204&lt;=Нормативы!$H$204,"МС",IF(H204&lt;=Нормативы!$H$205,"КМС",IF(H204&lt;=Нормативы!$H$206,"I",IF(H204&lt;=Нормативы!$H$207,"II",IF(H204&lt;=Нормативы!$H$208,"III","б/р"))))))))</f>
        <v>МС</v>
      </c>
      <c r="K204" s="75"/>
      <c r="L204" s="71"/>
      <c r="M204" s="59" t="str">
        <f>IF(ISBLANK(L204)," ",IF(ISTEXT(L204)," ",IF(L204&lt;=Нормативы!$H$203,"КМС",IF(L204&lt;=Нормативы!$H$204,"КМС",IF(L204&lt;=Нормативы!$L$205,"КМС",IF(L204&lt;=Нормативы!$L$206,"I",IF(L204&lt;=Нормативы!$L$207,"II",IF(L204&lt;=Нормативы!$L$208,"III","б/р"))))))))</f>
        <v xml:space="preserve"> </v>
      </c>
      <c r="N204" s="59" t="str">
        <f>IF(ISBLANK(L204)," ",IF(ISTEXT(L204)," ",IF(L204&lt;=1339.2,"МСМК",IF(L204&lt;=1418.2,"МС",IF(L204&lt;=1458.5,"КМС",IF(L204&lt;=1600,"I",IF(L204&lt;=1724.5,"II",IF(L204&lt;=1850,"III","б/р"))))))))</f>
        <v xml:space="preserve"> </v>
      </c>
      <c r="Q204" s="59" t="str">
        <f t="shared" ref="Q204" si="161">IF(ISBLANK(P204)," ",IF(ISTEXT(P204)," ",IF(P204&lt;=$H$203,"МСМК",IF(P204&lt;=$H$204,"МС",IF(P204&lt;=$H$205,"КМС",IF(P204&lt;=$H$206,"I",IF(P204&lt;=$H$207,"II",IF(P204&lt;=$H$208,"III","б/р"))))))))</f>
        <v xml:space="preserve"> </v>
      </c>
    </row>
    <row r="205" spans="3:17" x14ac:dyDescent="0.3">
      <c r="C205" s="86"/>
      <c r="D205" s="36"/>
      <c r="E205" s="36"/>
      <c r="F205" s="86"/>
      <c r="G205" s="86"/>
      <c r="H205" s="71">
        <v>1456.2</v>
      </c>
      <c r="I205" s="59" t="str">
        <f>IF(ISBLANK(H205)," ",IF(ISTEXT(H205)," ",IF(H205&lt;=Нормативы!$H$203,"МСМК",IF(H205&lt;=Нормативы!$H$204,"МС",IF(H205&lt;=Нормативы!$H$205,"КМС",IF(H205&lt;=Нормативы!$H$206,"I",IF(H205&lt;=Нормативы!$H$207,"II",IF(H205&lt;=Нормативы!$H$208,"III","б/р"))))))))</f>
        <v>КМС</v>
      </c>
      <c r="J205" s="59" t="str">
        <f>IF(ISBLANK(H205)," ",IF(ISTEXT(H205)," ",IF(H205&lt;=Нормативы!$H$203,"МСМК",IF(H205&lt;=Нормативы!$H$204,"МС",IF(H205&lt;=Нормативы!$H$205,"КМС",IF(H205&lt;=Нормативы!$H$206,"I",IF(H205&lt;=Нормативы!$H$207,"II",IF(H205&lt;=Нормативы!$H$208,"III","б/р"))))))))</f>
        <v>КМС</v>
      </c>
      <c r="K205" s="75"/>
      <c r="L205" s="74">
        <f t="shared" ref="L205:L208" si="162">H205-0.2</f>
        <v>1456</v>
      </c>
      <c r="M205" s="59" t="str">
        <f>IF(ISBLANK(L205)," ",IF(ISTEXT(L205)," ",IF(L205&lt;=Нормативы!$H$203,"КМС",IF(L205&lt;=Нормативы!$H$204,"КМС",IF(L205&lt;=Нормативы!$L$205,"КМС",IF(L205&lt;=Нормативы!$L$206,"I",IF(L205&lt;=Нормативы!$L$207,"II",IF(L205&lt;=Нормативы!$L$208,"III","б/р"))))))))</f>
        <v>КМС</v>
      </c>
      <c r="N205" s="59" t="str">
        <f>IF(ISBLANK(L205)," ",IF(ISTEXT(L205)," ",IF(L205&lt;=Нормативы!$H$203,"КМС",IF(L205&lt;=Нормативы!$H$204,"КМС",IF(L205&lt;=Нормативы!$L$205,"КМС",IF(L205&lt;=Нормативы!$L$206,"I",IF(L205&lt;=Нормативы!$L$207,"II",IF(L205&lt;=Нормативы!$L$208,"III","б/р"))))))))</f>
        <v>КМС</v>
      </c>
      <c r="Q205" s="59" t="str">
        <f t="shared" ref="Q205" si="163">IF(ISBLANK(P205)," ",IF(ISTEXT(P205)," ",IF(P205&lt;=$H$203,"МСМК",IF(P205&lt;=$H$204,"МС",IF(P205&lt;=$H$205,"КМС",IF(P205&lt;=$H$206,"I",IF(P205&lt;=$H$207,"II",IF(P205&lt;=$H$208,"III","б/р"))))))))</f>
        <v xml:space="preserve"> </v>
      </c>
    </row>
    <row r="206" spans="3:17" x14ac:dyDescent="0.3">
      <c r="C206" s="86"/>
      <c r="D206" s="36"/>
      <c r="E206" s="36"/>
      <c r="F206" s="86"/>
      <c r="G206" s="86"/>
      <c r="H206" s="71">
        <v>1556.7</v>
      </c>
      <c r="I206" s="59" t="str">
        <f>IF(ISBLANK(H206)," ",IF(ISTEXT(H206)," ",IF(H206&lt;=Нормативы!$H$203,"МСМК",IF(H206&lt;=Нормативы!$H$204,"МС",IF(H206&lt;=Нормативы!$H$205,"КМС",IF(H206&lt;=Нормативы!$H$206,"I",IF(H206&lt;=Нормативы!$H$207,"II",IF(H206&lt;=Нормативы!$H$208,"III","б/р"))))))))</f>
        <v>I</v>
      </c>
      <c r="J206" s="59" t="str">
        <f>IF(ISBLANK(H206)," ",IF(ISTEXT(H206)," ",IF(H206&lt;=Нормативы!$H$203,"МСМК",IF(H206&lt;=Нормативы!$H$204,"МС",IF(H206&lt;=Нормативы!$H$205,"КМС",IF(H206&lt;=Нормативы!$H$206,"I",IF(H206&lt;=Нормативы!$H$207,"II",IF(H206&lt;=Нормативы!$H$208,"III","б/р"))))))))</f>
        <v>I</v>
      </c>
      <c r="K206" s="75"/>
      <c r="L206" s="74">
        <f t="shared" si="162"/>
        <v>1556.5</v>
      </c>
      <c r="M206" s="59" t="str">
        <f>IF(ISBLANK(L206)," ",IF(ISTEXT(L206)," ",IF(L206&lt;=Нормативы!$H$203,"КМС",IF(L206&lt;=Нормативы!$H$204,"КМС",IF(L206&lt;=Нормативы!$L$205,"КМС",IF(L206&lt;=Нормативы!$L$206,"I",IF(L206&lt;=Нормативы!$L$207,"II",IF(L206&lt;=Нормативы!$L$208,"III","б/р"))))))))</f>
        <v>I</v>
      </c>
      <c r="N206" s="59" t="str">
        <f>IF(ISBLANK(L206)," ",IF(ISTEXT(L206)," ",IF(L206&lt;=Нормативы!$H$203,"КМС",IF(L206&lt;=Нормативы!$H$204,"КМС",IF(L206&lt;=Нормативы!$L$205,"КМС",IF(L206&lt;=Нормативы!$L$206,"I",IF(L206&lt;=Нормативы!$L$207,"II",IF(L206&lt;=Нормативы!$L$208,"III","б/р"))))))))</f>
        <v>I</v>
      </c>
      <c r="Q206" s="59" t="str">
        <f t="shared" ref="Q206" si="164">IF(ISBLANK(P206)," ",IF(ISTEXT(P206)," ",IF(P206&lt;=$H$203,"МСМК",IF(P206&lt;=$H$204,"МС",IF(P206&lt;=$H$205,"КМС",IF(P206&lt;=$H$206,"I",IF(P206&lt;=$H$207,"II",IF(P206&lt;=$H$208,"III","б/р"))))))))</f>
        <v xml:space="preserve"> </v>
      </c>
    </row>
    <row r="207" spans="3:17" x14ac:dyDescent="0.3">
      <c r="C207" s="86"/>
      <c r="D207" s="36"/>
      <c r="E207" s="36"/>
      <c r="F207" s="86"/>
      <c r="G207" s="86"/>
      <c r="H207" s="71">
        <v>1720.2</v>
      </c>
      <c r="I207" s="59" t="str">
        <f>IF(ISBLANK(H207)," ",IF(ISTEXT(H207)," ",IF(H207&lt;=Нормативы!$H$203,"МСМК",IF(H207&lt;=Нормативы!$H$204,"МС",IF(H207&lt;=Нормативы!$H$205,"КМС",IF(H207&lt;=Нормативы!$H$206,"I",IF(H207&lt;=Нормативы!$H$207,"II",IF(H207&lt;=Нормативы!$H$208,"III","б/р"))))))))</f>
        <v>II</v>
      </c>
      <c r="J207" s="59" t="str">
        <f>IF(ISBLANK(H207)," ",IF(ISTEXT(H207)," ",IF(H207&lt;=Нормативы!$H$203,"МСМК",IF(H207&lt;=Нормативы!$H$204,"МС",IF(H207&lt;=Нормативы!$H$205,"КМС",IF(H207&lt;=Нормативы!$H$206,"I",IF(H207&lt;=Нормативы!$H$207,"II",IF(H207&lt;=Нормативы!$H$208,"III","б/р"))))))))</f>
        <v>II</v>
      </c>
      <c r="K207" s="75"/>
      <c r="L207" s="74">
        <f t="shared" si="162"/>
        <v>1720</v>
      </c>
      <c r="M207" s="59" t="str">
        <f>IF(ISBLANK(L207)," ",IF(ISTEXT(L207)," ",IF(L207&lt;=Нормативы!$H$203,"КМС",IF(L207&lt;=Нормативы!$H$204,"КМС",IF(L207&lt;=Нормативы!$L$205,"КМС",IF(L207&lt;=Нормативы!$L$206,"I",IF(L207&lt;=Нормативы!$L$207,"II",IF(L207&lt;=Нормативы!$L$208,"III","б/р"))))))))</f>
        <v>II</v>
      </c>
      <c r="N207" s="59" t="str">
        <f>IF(ISBLANK(L207)," ",IF(ISTEXT(L207)," ",IF(L207&lt;=Нормативы!$H$203,"КМС",IF(L207&lt;=Нормативы!$H$204,"КМС",IF(L207&lt;=Нормативы!$L$205,"КМС",IF(L207&lt;=Нормативы!$L$206,"I",IF(L207&lt;=Нормативы!$L$207,"II",IF(L207&lt;=Нормативы!$L$208,"III","б/р"))))))))</f>
        <v>II</v>
      </c>
      <c r="Q207" s="59" t="str">
        <f t="shared" ref="Q207" si="165">IF(ISBLANK(P207)," ",IF(ISTEXT(P207)," ",IF(P207&lt;=$H$203,"МСМК",IF(P207&lt;=$H$204,"МС",IF(P207&lt;=$H$205,"КМС",IF(P207&lt;=$H$206,"I",IF(P207&lt;=$H$207,"II",IF(P207&lt;=$H$208,"III","б/р"))))))))</f>
        <v xml:space="preserve"> </v>
      </c>
    </row>
    <row r="208" spans="3:17" x14ac:dyDescent="0.3">
      <c r="C208" s="86"/>
      <c r="D208" s="36"/>
      <c r="E208" s="36"/>
      <c r="F208" s="86"/>
      <c r="G208" s="86"/>
      <c r="H208" s="71">
        <v>1845</v>
      </c>
      <c r="I208" s="59" t="str">
        <f>IF(ISBLANK(H208)," ",IF(ISTEXT(H208)," ",IF(H208&lt;=Нормативы!$H$203,"МСМК",IF(H208&lt;=Нормативы!$H$204,"МС",IF(H208&lt;=Нормативы!$H$205,"КМС",IF(H208&lt;=Нормативы!$H$206,"I",IF(H208&lt;=Нормативы!$H$207,"II",IF(H208&lt;=Нормативы!$H$208,"III","б/р"))))))))</f>
        <v>III</v>
      </c>
      <c r="J208" s="59" t="str">
        <f>IF(ISBLANK(H208)," ",IF(ISTEXT(H208)," ",IF(H208&lt;=Нормативы!$H$203,"МСМК",IF(H208&lt;=Нормативы!$H$204,"МС",IF(H208&lt;=Нормативы!$H$205,"КМС",IF(H208&lt;=Нормативы!$H$206,"I",IF(H208&lt;=Нормативы!$H$207,"II",IF(H208&lt;=Нормативы!$H$208,"III","б/р"))))))))</f>
        <v>III</v>
      </c>
      <c r="K208" s="75"/>
      <c r="L208" s="74">
        <f t="shared" si="162"/>
        <v>1844.8</v>
      </c>
      <c r="M208" s="59" t="str">
        <f>IF(ISBLANK(L208)," ",IF(ISTEXT(L208)," ",IF(L208&lt;=Нормативы!$H$203,"КМС",IF(L208&lt;=Нормативы!$H$204,"КМС",IF(L208&lt;=Нормативы!$L$205,"КМС",IF(L208&lt;=Нормативы!$L$206,"I",IF(L208&lt;=Нормативы!$L$207,"II",IF(L208&lt;=Нормативы!$L$208,"III","б/р"))))))))</f>
        <v>III</v>
      </c>
      <c r="N208" s="59" t="str">
        <f>IF(ISBLANK(L208)," ",IF(ISTEXT(L208)," ",IF(L208&lt;=Нормативы!$H$203,"КМС",IF(L208&lt;=Нормативы!$H$204,"КМС",IF(L208&lt;=Нормативы!$L$205,"КМС",IF(L208&lt;=Нормативы!$L$206,"I",IF(L208&lt;=Нормативы!$L$207,"II",IF(L208&lt;=Нормативы!$L$208,"III","б/р"))))))))</f>
        <v>III</v>
      </c>
      <c r="Q208" s="59" t="str">
        <f t="shared" ref="Q208" si="166">IF(ISBLANK(P208)," ",IF(ISTEXT(P208)," ",IF(P208&lt;=$H$203,"МСМК",IF(P208&lt;=$H$204,"МС",IF(P208&lt;=$H$205,"КМС",IF(P208&lt;=$H$206,"I",IF(P208&lt;=$H$207,"II",IF(P208&lt;=$H$208,"III","б/р"))))))))</f>
        <v xml:space="preserve"> </v>
      </c>
    </row>
    <row r="209" spans="3:27" x14ac:dyDescent="0.3">
      <c r="C209" s="43"/>
      <c r="D209" s="43"/>
      <c r="E209" s="43"/>
      <c r="F209" s="43"/>
      <c r="G209" s="43"/>
      <c r="H209" s="42"/>
      <c r="I209" s="43"/>
      <c r="J209" s="43"/>
      <c r="K209" s="75"/>
      <c r="L209" s="43"/>
      <c r="M209" s="43"/>
      <c r="N209" s="43"/>
      <c r="P209" s="82"/>
      <c r="Q209" s="43"/>
      <c r="R209" s="82"/>
      <c r="S209" s="82"/>
      <c r="T209" s="82"/>
      <c r="U209" s="82"/>
      <c r="V209" s="82"/>
      <c r="W209" s="82"/>
      <c r="X209" s="82"/>
      <c r="Y209" s="82"/>
      <c r="Z209" s="82"/>
      <c r="AA209" s="82"/>
    </row>
    <row r="210" spans="3:27" x14ac:dyDescent="0.3">
      <c r="C210" s="68" t="s">
        <v>51</v>
      </c>
      <c r="D210" s="69"/>
      <c r="E210" s="69"/>
      <c r="F210" s="68"/>
      <c r="G210" s="68"/>
      <c r="H210" s="70"/>
      <c r="I210" s="43"/>
      <c r="J210" s="43"/>
      <c r="K210" s="84"/>
      <c r="L210" s="43"/>
      <c r="M210" s="43"/>
      <c r="N210" s="43"/>
      <c r="P210" s="83"/>
      <c r="Q210" s="43"/>
      <c r="R210" s="83"/>
      <c r="S210" s="83"/>
      <c r="T210" s="83"/>
      <c r="U210" s="83"/>
      <c r="V210" s="83"/>
      <c r="W210" s="83"/>
      <c r="X210" s="83"/>
      <c r="Y210" s="83"/>
      <c r="Z210" s="83"/>
      <c r="AA210" s="83"/>
    </row>
    <row r="211" spans="3:27" x14ac:dyDescent="0.3">
      <c r="C211" s="86"/>
      <c r="D211" s="36"/>
      <c r="E211" s="36"/>
      <c r="F211" s="86"/>
      <c r="G211" s="86"/>
      <c r="H211" s="71"/>
      <c r="I211" s="43"/>
      <c r="J211" s="43"/>
      <c r="K211" s="84"/>
      <c r="L211" s="43"/>
      <c r="M211" s="43"/>
      <c r="N211" s="43"/>
      <c r="Q211" s="43"/>
    </row>
    <row r="212" spans="3:27" x14ac:dyDescent="0.3">
      <c r="C212" s="86"/>
      <c r="D212" s="36"/>
      <c r="E212" s="36"/>
      <c r="F212" s="86"/>
      <c r="G212" s="86"/>
      <c r="H212" s="71">
        <v>1240</v>
      </c>
      <c r="I212" s="59" t="str">
        <f>IF(ISBLANK(H212)," ",IF(ISTEXT(H212)," ",IF(H212&lt;=Нормативы!$H$212,"МСМК",IF(H212&lt;=Нормативы!$H$213,"МС",IF(H212&lt;=Нормативы!$H$214,"КМС",IF(H212&lt;=Нормативы!$H$215,"I",IF(H212&lt;=Нормативы!$H$216,"II",IF(H212&lt;=Нормативы!$H$217,"III","б/р"))))))))</f>
        <v>МСМК</v>
      </c>
      <c r="J212" s="59" t="str">
        <f>IF(ISBLANK(H212)," ",IF(ISTEXT(H212)," ",IF(H212&lt;=Нормативы!$H$212,"МСМК",IF(H212&lt;=Нормативы!$H$213,"МС",IF(H212&lt;=Нормативы!$H$214,"КМС",IF(H212&lt;=Нормативы!$H$215,"I",IF(H212&lt;=Нормативы!$H$216,"II",IF(H212&lt;=Нормативы!$H$217,"III","б/р"))))))))</f>
        <v>МСМК</v>
      </c>
      <c r="K212" s="75"/>
      <c r="L212" s="71"/>
      <c r="M212" s="59" t="str">
        <f>IF(ISBLANK(L212)," ",IF(ISTEXT(L212)," ",IF(L212&lt;=Нормативы!$H$212,"КМС",IF(L212&lt;=Нормативы!$H$213,"КМС",IF(L212&lt;=Нормативы!$L$214,"КМС",IF(L212&lt;=Нормативы!$L$215,"I",IF(L212&lt;=Нормативы!$L$216,"II",IF(L212&lt;=Нормативы!$L$217,"III","б/р"))))))))</f>
        <v xml:space="preserve"> </v>
      </c>
      <c r="N212" s="59" t="str">
        <f>IF(ISBLANK(L212)," ",IF(ISTEXT(L212)," ",IF(L212&lt;=1241.2,"МСМК",IF(L212&lt;=1320.7,"МС",IF(L212&lt;=1358,"КМС",IF(L212&lt;=1452.5,"I",IF(L212&lt;=1615,"II",IF(L212&lt;=1733,"III","б/р"))))))))</f>
        <v xml:space="preserve"> </v>
      </c>
      <c r="Q212" s="59" t="str">
        <f>IF(ISBLANK(P212)," ",IF(ISTEXT(P212)," ",IF(P212&lt;=$H$212,"МСМК",IF(P212&lt;=$H$213,"МС",IF(P212&lt;=$H$214,"КМС",IF(P212&lt;=$H$215,"I",IF(P212&lt;=$H$216,"II",IF(P212&lt;=$H$217,"III","б/р"))))))))</f>
        <v xml:space="preserve"> </v>
      </c>
    </row>
    <row r="213" spans="3:27" x14ac:dyDescent="0.3">
      <c r="C213" s="86"/>
      <c r="D213" s="36"/>
      <c r="E213" s="36"/>
      <c r="F213" s="86"/>
      <c r="G213" s="86"/>
      <c r="H213" s="71">
        <v>1320</v>
      </c>
      <c r="I213" s="59" t="str">
        <f>IF(ISBLANK(H213)," ",IF(ISTEXT(H213)," ",IF(H213&lt;=Нормативы!$H$212,"МСМК",IF(H213&lt;=Нормативы!$H$213,"МС",IF(H213&lt;=Нормативы!$H$214,"КМС",IF(H213&lt;=Нормативы!$H$215,"I",IF(H213&lt;=Нормативы!$H$216,"II",IF(H213&lt;=Нормативы!$H$217,"III","б/р"))))))))</f>
        <v>МС</v>
      </c>
      <c r="J213" s="59" t="str">
        <f>IF(ISBLANK(H213)," ",IF(ISTEXT(H213)," ",IF(H213&lt;=Нормативы!$H$212,"МСМК",IF(H213&lt;=Нормативы!$H$213,"МС",IF(H213&lt;=Нормативы!$H$214,"КМС",IF(H213&lt;=Нормативы!$H$215,"I",IF(H213&lt;=Нормативы!$H$216,"II",IF(H213&lt;=Нормативы!$H$217,"III","б/р"))))))))</f>
        <v>МС</v>
      </c>
      <c r="K213" s="75"/>
      <c r="L213" s="71"/>
      <c r="M213" s="59" t="str">
        <f>IF(ISBLANK(L213)," ",IF(ISTEXT(L213)," ",IF(L213&lt;=Нормативы!$H$212,"КМС",IF(L213&lt;=Нормативы!$H$213,"КМС",IF(L213&lt;=Нормативы!$L$214,"КМС",IF(L213&lt;=Нормативы!$L$215,"I",IF(L213&lt;=Нормативы!$L$216,"II",IF(L213&lt;=Нормативы!$L$217,"III","б/р"))))))))</f>
        <v xml:space="preserve"> </v>
      </c>
      <c r="N213" s="59" t="str">
        <f>IF(ISBLANK(L213)," ",IF(ISTEXT(L213)," ",IF(L213&lt;=1241.2,"МСМК",IF(L213&lt;=1320.7,"МС",IF(L213&lt;=1358,"КМС",IF(L213&lt;=1452.5,"I",IF(L213&lt;=1615,"II",IF(L213&lt;=1733,"III","б/р"))))))))</f>
        <v xml:space="preserve"> </v>
      </c>
      <c r="Q213" s="59" t="str">
        <f t="shared" ref="Q213" si="167">IF(ISBLANK(P213)," ",IF(ISTEXT(P213)," ",IF(P213&lt;=$H$212,"МСМК",IF(P213&lt;=$H$213,"МС",IF(P213&lt;=$H$214,"КМС",IF(P213&lt;=$H$215,"I",IF(P213&lt;=$H$216,"II",IF(P213&lt;=$H$217,"III","б/р"))))))))</f>
        <v xml:space="preserve"> </v>
      </c>
    </row>
    <row r="214" spans="3:27" x14ac:dyDescent="0.3">
      <c r="C214" s="86"/>
      <c r="D214" s="36"/>
      <c r="E214" s="36"/>
      <c r="F214" s="86"/>
      <c r="G214" s="86"/>
      <c r="H214" s="71">
        <v>1356</v>
      </c>
      <c r="I214" s="59" t="str">
        <f>IF(ISBLANK(H214)," ",IF(ISTEXT(H214)," ",IF(H214&lt;=Нормативы!$H$212,"МСМК",IF(H214&lt;=Нормативы!$H$213,"МС",IF(H214&lt;=Нормативы!$H$214,"КМС",IF(H214&lt;=Нормативы!$H$215,"I",IF(H214&lt;=Нормативы!$H$216,"II",IF(H214&lt;=Нормативы!$H$217,"III","б/р"))))))))</f>
        <v>КМС</v>
      </c>
      <c r="J214" s="59" t="str">
        <f>IF(ISBLANK(H214)," ",IF(ISTEXT(H214)," ",IF(H214&lt;=Нормативы!$H$212,"МСМК",IF(H214&lt;=Нормативы!$H$213,"МС",IF(H214&lt;=Нормативы!$H$214,"КМС",IF(H214&lt;=Нормативы!$H$215,"I",IF(H214&lt;=Нормативы!$H$216,"II",IF(H214&lt;=Нормативы!$H$217,"III","б/р"))))))))</f>
        <v>КМС</v>
      </c>
      <c r="K214" s="75"/>
      <c r="L214" s="74">
        <f t="shared" ref="L214:L217" si="168">H214-0.2</f>
        <v>1355.8</v>
      </c>
      <c r="M214" s="59" t="str">
        <f>IF(ISBLANK(L214)," ",IF(ISTEXT(L214)," ",IF(L214&lt;=Нормативы!$H$212,"КМС",IF(L214&lt;=Нормативы!$H$213,"КМС",IF(L214&lt;=Нормативы!$L$214,"КМС",IF(L214&lt;=Нормативы!$L$215,"I",IF(L214&lt;=Нормативы!$L$216,"II",IF(L214&lt;=Нормативы!$L$217,"III","б/р"))))))))</f>
        <v>КМС</v>
      </c>
      <c r="N214" s="59" t="str">
        <f>IF(ISBLANK(L214)," ",IF(ISTEXT(L214)," ",IF(L214&lt;=Нормативы!$H$212,"КМС",IF(L214&lt;=Нормативы!$H$213,"КМС",IF(L214&lt;=Нормативы!$L$214,"КМС",IF(L214&lt;=Нормативы!$L$215,"I",IF(L214&lt;=Нормативы!$L$216,"II",IF(L214&lt;=Нормативы!$L$217,"III","б/р"))))))))</f>
        <v>КМС</v>
      </c>
      <c r="Q214" s="59" t="str">
        <f t="shared" ref="Q214" si="169">IF(ISBLANK(P214)," ",IF(ISTEXT(P214)," ",IF(P214&lt;=$H$212,"МСМК",IF(P214&lt;=$H$213,"МС",IF(P214&lt;=$H$214,"КМС",IF(P214&lt;=$H$215,"I",IF(P214&lt;=$H$216,"II",IF(P214&lt;=$H$217,"III","б/р"))))))))</f>
        <v xml:space="preserve"> </v>
      </c>
    </row>
    <row r="215" spans="3:27" x14ac:dyDescent="0.3">
      <c r="C215" s="86"/>
      <c r="D215" s="36"/>
      <c r="E215" s="36"/>
      <c r="F215" s="86"/>
      <c r="G215" s="86"/>
      <c r="H215" s="71">
        <v>1450.5</v>
      </c>
      <c r="I215" s="59" t="str">
        <f>IF(ISBLANK(H215)," ",IF(ISTEXT(H215)," ",IF(H215&lt;=Нормативы!$H$212,"МСМК",IF(H215&lt;=Нормативы!$H$213,"МС",IF(H215&lt;=Нормативы!$H$214,"КМС",IF(H215&lt;=Нормативы!$H$215,"I",IF(H215&lt;=Нормативы!$H$216,"II",IF(H215&lt;=Нормативы!$H$217,"III","б/р"))))))))</f>
        <v>I</v>
      </c>
      <c r="J215" s="59" t="str">
        <f>IF(ISBLANK(H215)," ",IF(ISTEXT(H215)," ",IF(H215&lt;=Нормативы!$H$212,"МСМК",IF(H215&lt;=Нормативы!$H$213,"МС",IF(H215&lt;=Нормативы!$H$214,"КМС",IF(H215&lt;=Нормативы!$H$215,"I",IF(H215&lt;=Нормативы!$H$216,"II",IF(H215&lt;=Нормативы!$H$217,"III","б/р"))))))))</f>
        <v>I</v>
      </c>
      <c r="K215" s="75"/>
      <c r="L215" s="74">
        <f t="shared" si="168"/>
        <v>1450.3</v>
      </c>
      <c r="M215" s="59" t="str">
        <f>IF(ISBLANK(L215)," ",IF(ISTEXT(L215)," ",IF(L215&lt;=Нормативы!$H$212,"КМС",IF(L215&lt;=Нормативы!$H$213,"КМС",IF(L215&lt;=Нормативы!$L$214,"КМС",IF(L215&lt;=Нормативы!$L$215,"I",IF(L215&lt;=Нормативы!$L$216,"II",IF(L215&lt;=Нормативы!$L$217,"III","б/р"))))))))</f>
        <v>I</v>
      </c>
      <c r="N215" s="59" t="str">
        <f>IF(ISBLANK(L215)," ",IF(ISTEXT(L215)," ",IF(L215&lt;=Нормативы!$H$212,"КМС",IF(L215&lt;=Нормативы!$H$213,"КМС",IF(L215&lt;=Нормативы!$L$214,"КМС",IF(L215&lt;=Нормативы!$L$215,"I",IF(L215&lt;=Нормативы!$L$216,"II",IF(L215&lt;=Нормативы!$L$217,"III","б/р"))))))))</f>
        <v>I</v>
      </c>
      <c r="Q215" s="59" t="str">
        <f t="shared" ref="Q215" si="170">IF(ISBLANK(P215)," ",IF(ISTEXT(P215)," ",IF(P215&lt;=$H$212,"МСМК",IF(P215&lt;=$H$213,"МС",IF(P215&lt;=$H$214,"КМС",IF(P215&lt;=$H$215,"I",IF(P215&lt;=$H$216,"II",IF(P215&lt;=$H$217,"III","б/р"))))))))</f>
        <v xml:space="preserve"> </v>
      </c>
    </row>
    <row r="216" spans="3:27" x14ac:dyDescent="0.3">
      <c r="C216" s="86"/>
      <c r="D216" s="36"/>
      <c r="E216" s="36"/>
      <c r="F216" s="86"/>
      <c r="G216" s="86"/>
      <c r="H216" s="71">
        <v>1610.2</v>
      </c>
      <c r="I216" s="59" t="str">
        <f>IF(ISBLANK(H216)," ",IF(ISTEXT(H216)," ",IF(H216&lt;=Нормативы!$H$212,"МСМК",IF(H216&lt;=Нормативы!$H$213,"МС",IF(H216&lt;=Нормативы!$H$214,"КМС",IF(H216&lt;=Нормативы!$H$215,"I",IF(H216&lt;=Нормативы!$H$216,"II",IF(H216&lt;=Нормативы!$H$217,"III","б/р"))))))))</f>
        <v>II</v>
      </c>
      <c r="J216" s="59" t="str">
        <f>IF(ISBLANK(H216)," ",IF(ISTEXT(H216)," ",IF(H216&lt;=Нормативы!$H$212,"МСМК",IF(H216&lt;=Нормативы!$H$213,"МС",IF(H216&lt;=Нормативы!$H$214,"КМС",IF(H216&lt;=Нормативы!$H$215,"I",IF(H216&lt;=Нормативы!$H$216,"II",IF(H216&lt;=Нормативы!$H$217,"III","б/р"))))))))</f>
        <v>II</v>
      </c>
      <c r="K216" s="75"/>
      <c r="L216" s="74">
        <f t="shared" si="168"/>
        <v>1610</v>
      </c>
      <c r="M216" s="59" t="str">
        <f>IF(ISBLANK(L216)," ",IF(ISTEXT(L216)," ",IF(L216&lt;=Нормативы!$H$212,"КМС",IF(L216&lt;=Нормативы!$H$213,"КМС",IF(L216&lt;=Нормативы!$L$214,"КМС",IF(L216&lt;=Нормативы!$L$215,"I",IF(L216&lt;=Нормативы!$L$216,"II",IF(L216&lt;=Нормативы!$L$217,"III","б/р"))))))))</f>
        <v>II</v>
      </c>
      <c r="N216" s="59" t="str">
        <f>IF(ISBLANK(L216)," ",IF(ISTEXT(L216)," ",IF(L216&lt;=Нормативы!$H$212,"КМС",IF(L216&lt;=Нормативы!$H$213,"КМС",IF(L216&lt;=Нормативы!$L$214,"КМС",IF(L216&lt;=Нормативы!$L$215,"I",IF(L216&lt;=Нормативы!$L$216,"II",IF(L216&lt;=Нормативы!$L$217,"III","б/р"))))))))</f>
        <v>II</v>
      </c>
      <c r="Q216" s="59" t="str">
        <f t="shared" ref="Q216" si="171">IF(ISBLANK(P216)," ",IF(ISTEXT(P216)," ",IF(P216&lt;=$H$212,"МСМК",IF(P216&lt;=$H$213,"МС",IF(P216&lt;=$H$214,"КМС",IF(P216&lt;=$H$215,"I",IF(P216&lt;=$H$216,"II",IF(P216&lt;=$H$217,"III","б/р"))))))))</f>
        <v xml:space="preserve"> </v>
      </c>
    </row>
    <row r="217" spans="3:27" x14ac:dyDescent="0.3">
      <c r="C217" s="86"/>
      <c r="D217" s="36"/>
      <c r="E217" s="36"/>
      <c r="F217" s="86"/>
      <c r="G217" s="86"/>
      <c r="H217" s="71">
        <v>1730</v>
      </c>
      <c r="I217" s="59" t="str">
        <f>IF(ISBLANK(H217)," ",IF(ISTEXT(H217)," ",IF(H217&lt;=Нормативы!$H$212,"МСМК",IF(H217&lt;=Нормативы!$H$213,"МС",IF(H217&lt;=Нормативы!$H$214,"КМС",IF(H217&lt;=Нормативы!$H$215,"I",IF(H217&lt;=Нормативы!$H$216,"II",IF(H217&lt;=Нормативы!$H$217,"III","б/р"))))))))</f>
        <v>III</v>
      </c>
      <c r="J217" s="59" t="str">
        <f>IF(ISBLANK(H217)," ",IF(ISTEXT(H217)," ",IF(H217&lt;=Нормативы!$H$212,"МСМК",IF(H217&lt;=Нормативы!$H$213,"МС",IF(H217&lt;=Нормативы!$H$214,"КМС",IF(H217&lt;=Нормативы!$H$215,"I",IF(H217&lt;=Нормативы!$H$216,"II",IF(H217&lt;=Нормативы!$H$217,"III","б/р"))))))))</f>
        <v>III</v>
      </c>
      <c r="K217" s="75"/>
      <c r="L217" s="74">
        <f t="shared" si="168"/>
        <v>1729.8</v>
      </c>
      <c r="M217" s="59" t="str">
        <f>IF(ISBLANK(L217)," ",IF(ISTEXT(L217)," ",IF(L217&lt;=Нормативы!$H$212,"КМС",IF(L217&lt;=Нормативы!$H$213,"КМС",IF(L217&lt;=Нормативы!$L$214,"КМС",IF(L217&lt;=Нормативы!$L$215,"I",IF(L217&lt;=Нормативы!$L$216,"II",IF(L217&lt;=Нормативы!$L$217,"III","б/р"))))))))</f>
        <v>III</v>
      </c>
      <c r="N217" s="59" t="str">
        <f>IF(ISBLANK(L217)," ",IF(ISTEXT(L217)," ",IF(L217&lt;=Нормативы!$H$212,"КМС",IF(L217&lt;=Нормативы!$H$213,"КМС",IF(L217&lt;=Нормативы!$L$214,"КМС",IF(L217&lt;=Нормативы!$L$215,"I",IF(L217&lt;=Нормативы!$L$216,"II",IF(L217&lt;=Нормативы!$L$217,"III","б/р"))))))))</f>
        <v>III</v>
      </c>
      <c r="Q217" s="59" t="str">
        <f t="shared" ref="Q217" si="172">IF(ISBLANK(P217)," ",IF(ISTEXT(P217)," ",IF(P217&lt;=$H$212,"МСМК",IF(P217&lt;=$H$213,"МС",IF(P217&lt;=$H$214,"КМС",IF(P217&lt;=$H$215,"I",IF(P217&lt;=$H$216,"II",IF(P217&lt;=$H$217,"III","б/р"))))))))</f>
        <v xml:space="preserve"> </v>
      </c>
    </row>
    <row r="218" spans="3:27" x14ac:dyDescent="0.3">
      <c r="C218" s="86"/>
      <c r="D218" s="36"/>
      <c r="E218" s="36"/>
      <c r="F218" s="86"/>
      <c r="G218" s="86"/>
      <c r="H218" s="71"/>
      <c r="I218" s="43"/>
      <c r="J218" s="43"/>
      <c r="K218" s="75"/>
      <c r="L218" s="43"/>
      <c r="M218" s="43"/>
      <c r="N218" s="43"/>
      <c r="Q218" s="43"/>
    </row>
    <row r="219" spans="3:27" x14ac:dyDescent="0.3">
      <c r="C219" s="68" t="s">
        <v>52</v>
      </c>
      <c r="D219" s="69"/>
      <c r="E219" s="69"/>
      <c r="F219" s="68"/>
      <c r="G219" s="68"/>
      <c r="H219" s="70"/>
      <c r="I219" s="43"/>
      <c r="J219" s="43"/>
      <c r="K219" s="84"/>
      <c r="L219" s="43"/>
      <c r="M219" s="43"/>
      <c r="N219" s="43"/>
      <c r="Q219" s="43"/>
    </row>
    <row r="220" spans="3:27" x14ac:dyDescent="0.3">
      <c r="C220" s="86"/>
      <c r="D220" s="36"/>
      <c r="E220" s="36"/>
      <c r="F220" s="86"/>
      <c r="G220" s="86"/>
      <c r="H220" s="71">
        <v>36</v>
      </c>
      <c r="I220" s="59" t="str">
        <f>IF(ISBLANK(H220)," ",IF(ISTEXT(H220)," ",IF(H220&lt;=Нормативы!$H$220,"МСМК",IF(H220&lt;=Нормативы!$H$221,"МС",IF(H220&lt;=Нормативы!$H$222,"КМС",IF(H220&lt;=Нормативы!$H$223,"I",IF(H220&lt;=Нормативы!$H$224,"II",IF(H220&lt;=Нормативы!$H$225,"III",IF(H220&lt;=Нормативы!$H$226,"I юн",IF(H220&lt;=Нормативы!$H$227,"II юн",IF(H220&lt;=Нормативы!$H$228,"III юн","б/р")))))))))))</f>
        <v>МСМК</v>
      </c>
      <c r="J220" s="59" t="str">
        <f>IF(ISBLANK(H220)," ",IF(ISTEXT(H220)," ",IF(H220&lt;=Нормативы!$H$220,"МСМК",IF(H220&lt;=Нормативы!$H$221,"МС",IF(H220&lt;=Нормативы!$H$222,"КМС",IF(H220&lt;=Нормативы!$H$223,"I",IF(H220&lt;=Нормативы!$H$224,"II",IF(H220&lt;=Нормативы!$H$225,"III",IF(H220&lt;=Нормативы!$H$226,"I юн",IF(H220&lt;=Нормативы!$H$227,"II юн",IF(H220&lt;=Нормативы!$H$228,"III юн","б/р")))))))))))</f>
        <v>МСМК</v>
      </c>
      <c r="K220" s="75"/>
      <c r="L220" s="71"/>
      <c r="M220" s="59" t="str">
        <f>IF(ISBLANK(L220)," ",IF(ISTEXT(L220)," ",IF(L220&lt;=Нормативы!$H$220,"КМС",IF(L220&lt;=Нормативы!$H$221,"КМС",IF(L220&lt;=Нормативы!$L$222,"КМС",IF(L220&lt;=Нормативы!$L$223,"I",IF(L220&lt;=Нормативы!$L$224,"II",IF(L220&lt;=Нормативы!$L$225,"III",IF(L220&lt;=Нормативы!$L$226,"I юн",IF(L220&lt;=Нормативы!$L$227,"II юн",IF(L220&lt;=Нормативы!$L$228,"III юн","б/р")))))))))))</f>
        <v xml:space="preserve"> </v>
      </c>
      <c r="N220" s="59" t="str">
        <f>IF(ISBLANK(L220)," ",IF(ISTEXT(L220)," ",IF(L220&lt;=36.3,"МСМК",IF(L220&lt;=38.1,"МС",IF(L220&lt;=39.7,"КМС",IF(L220&lt;=42.6,"I",IF(L220&lt;=46.2,"II",IF(L220&lt;=50.2,"III",IF(L220&lt;=55,"I юн",IF(L220&lt;=100,"II юн",IF(L220&lt;=105.2,"III юн","б/р")))))))))))</f>
        <v xml:space="preserve"> </v>
      </c>
      <c r="Q220" s="59" t="str">
        <f>IF(ISBLANK(P220)," ",IF(ISTEXT(P220)," ",IF(P220&lt;=$H$220,"МСМК",IF(P220&lt;=$H$221,"МС",IF(P220&lt;=$H$222,"КМС",IF(P220&lt;=$H$223,"I",IF(P220&lt;=$H$224,"II",IF(P220&lt;=$H$225,"III",IF(P220&lt;=$H$226,"I юн",IF(P220&lt;=$H$227,"II юн",IF(P220&lt;=$H$228,"III юн","б/р")))))))))))</f>
        <v xml:space="preserve"> </v>
      </c>
    </row>
    <row r="221" spans="3:27" x14ac:dyDescent="0.3">
      <c r="C221" s="86"/>
      <c r="D221" s="36"/>
      <c r="E221" s="36"/>
      <c r="F221" s="86"/>
      <c r="G221" s="86"/>
      <c r="H221" s="71">
        <v>37.9</v>
      </c>
      <c r="I221" s="59" t="str">
        <f>IF(ISBLANK(H221)," ",IF(ISTEXT(H221)," ",IF(H221&lt;=Нормативы!$H$220,"МСМК",IF(H221&lt;=Нормативы!$H$221,"МС",IF(H221&lt;=Нормативы!$H$222,"КМС",IF(H221&lt;=Нормативы!$H$223,"I",IF(H221&lt;=Нормативы!$H$224,"II",IF(H221&lt;=Нормативы!$H$225,"III",IF(H221&lt;=Нормативы!$H$226,"I юн",IF(H221&lt;=Нормативы!$H$227,"II юн",IF(H221&lt;=Нормативы!$H$228,"III юн","б/р")))))))))))</f>
        <v>МС</v>
      </c>
      <c r="J221" s="59" t="str">
        <f>IF(ISBLANK(H221)," ",IF(ISTEXT(H221)," ",IF(H221&lt;=Нормативы!$H$220,"МСМК",IF(H221&lt;=Нормативы!$H$221,"МС",IF(H221&lt;=Нормативы!$H$222,"КМС",IF(H221&lt;=Нормативы!$H$223,"I",IF(H221&lt;=Нормативы!$H$224,"II",IF(H221&lt;=Нормативы!$H$225,"III",IF(H221&lt;=Нормативы!$H$226,"I юн",IF(H221&lt;=Нормативы!$H$227,"II юн",IF(H221&lt;=Нормативы!$H$228,"III юн","б/р")))))))))))</f>
        <v>МС</v>
      </c>
      <c r="K221" s="75"/>
      <c r="L221" s="71"/>
      <c r="M221" s="59" t="str">
        <f>IF(ISBLANK(L221)," ",IF(ISTEXT(L221)," ",IF(L221&lt;=Нормативы!$H$220,"КМС",IF(L221&lt;=Нормативы!$H$221,"КМС",IF(L221&lt;=Нормативы!$L$222,"КМС",IF(L221&lt;=Нормативы!$L$223,"I",IF(L221&lt;=Нормативы!$L$224,"II",IF(L221&lt;=Нормативы!$L$225,"III",IF(L221&lt;=Нормативы!$L$226,"I юн",IF(L221&lt;=Нормативы!$L$227,"II юн",IF(L221&lt;=Нормативы!$L$228,"III юн","б/р")))))))))))</f>
        <v xml:space="preserve"> </v>
      </c>
      <c r="N221" s="59" t="str">
        <f>IF(ISBLANK(L221)," ",IF(ISTEXT(L221)," ",IF(L221&lt;=36.3,"МСМК",IF(L221&lt;=38.1,"МС",IF(L221&lt;=39.7,"КМС",IF(L221&lt;=42.6,"I",IF(L221&lt;=46.2,"II",IF(L221&lt;=50.2,"III",IF(L221&lt;=55,"I юн",IF(L221&lt;=100,"II юн",IF(L221&lt;=105.2,"III юн","б/р")))))))))))</f>
        <v xml:space="preserve"> </v>
      </c>
      <c r="Q221" s="59" t="str">
        <f t="shared" ref="Q221" si="173">IF(ISBLANK(P221)," ",IF(ISTEXT(P221)," ",IF(P221&lt;=$H$220,"МСМК",IF(P221&lt;=$H$221,"МС",IF(P221&lt;=$H$222,"КМС",IF(P221&lt;=$H$223,"I",IF(P221&lt;=$H$224,"II",IF(P221&lt;=$H$225,"III",IF(P221&lt;=$H$226,"I юн",IF(P221&lt;=$H$227,"II юн",IF(P221&lt;=$H$228,"III юн","б/р")))))))))))</f>
        <v xml:space="preserve"> </v>
      </c>
    </row>
    <row r="222" spans="3:27" x14ac:dyDescent="0.3">
      <c r="C222" s="86"/>
      <c r="D222" s="36"/>
      <c r="E222" s="36"/>
      <c r="F222" s="86"/>
      <c r="G222" s="86"/>
      <c r="H222" s="71">
        <v>39.700000000000003</v>
      </c>
      <c r="I222" s="59" t="str">
        <f>IF(ISBLANK(H222)," ",IF(ISTEXT(H222)," ",IF(H222&lt;=Нормативы!$H$220,"МСМК",IF(H222&lt;=Нормативы!$H$221,"МС",IF(H222&lt;=Нормативы!$H$222,"КМС",IF(H222&lt;=Нормативы!$H$223,"I",IF(H222&lt;=Нормативы!$H$224,"II",IF(H222&lt;=Нормативы!$H$225,"III",IF(H222&lt;=Нормативы!$H$226,"I юн",IF(H222&lt;=Нормативы!$H$227,"II юн",IF(H222&lt;=Нормативы!$H$228,"III юн","б/р")))))))))))</f>
        <v>КМС</v>
      </c>
      <c r="J222" s="59" t="str">
        <f>IF(ISBLANK(H222)," ",IF(ISTEXT(H222)," ",IF(H222&lt;=Нормативы!$H$220,"МСМК",IF(H222&lt;=Нормативы!$H$221,"МС",IF(H222&lt;=Нормативы!$H$222,"КМС",IF(H222&lt;=Нормативы!$H$223,"I",IF(H222&lt;=Нормативы!$H$224,"II",IF(H222&lt;=Нормативы!$H$225,"III",IF(H222&lt;=Нормативы!$H$226,"I юн",IF(H222&lt;=Нормативы!$H$227,"II юн",IF(H222&lt;=Нормативы!$H$228,"III юн","б/р")))))))))))</f>
        <v>КМС</v>
      </c>
      <c r="K222" s="75"/>
      <c r="L222" s="74">
        <f t="shared" ref="L222:L228" si="174">H222-0.2</f>
        <v>39.5</v>
      </c>
      <c r="M222" s="59" t="str">
        <f>IF(ISBLANK(L222)," ",IF(ISTEXT(L222)," ",IF(L222&lt;=Нормативы!$H$220,"КМС",IF(L222&lt;=Нормативы!$H$221,"КМС",IF(L222&lt;=Нормативы!$L$222,"КМС",IF(L222&lt;=Нормативы!$L$223,"I",IF(L222&lt;=Нормативы!$L$224,"II",IF(L222&lt;=Нормативы!$L$225,"III",IF(L222&lt;=Нормативы!$L$226,"I юн",IF(L222&lt;=Нормативы!$L$227,"II юн",IF(L222&lt;=Нормативы!$L$228,"III юн","б/р")))))))))))</f>
        <v>КМС</v>
      </c>
      <c r="N222" s="59" t="str">
        <f>IF(ISBLANK(L222)," ",IF(ISTEXT(L222)," ",IF(L222&lt;=Нормативы!$H$220,"КМС",IF(L222&lt;=Нормативы!$H$221,"КМС",IF(L222&lt;=Нормативы!$L$222,"КМС",IF(L222&lt;=Нормативы!$L$223,"I",IF(L222&lt;=Нормативы!$L$224,"II",IF(L222&lt;=Нормативы!$L$225,"III",IF(L222&lt;=Нормативы!$L$226,"I юн",IF(L222&lt;=Нормативы!$L$227,"II юн",IF(L222&lt;=Нормативы!$L$228,"III юн","б/р")))))))))))</f>
        <v>КМС</v>
      </c>
      <c r="Q222" s="59" t="str">
        <f t="shared" ref="Q222" si="175">IF(ISBLANK(P222)," ",IF(ISTEXT(P222)," ",IF(P222&lt;=$H$220,"МСМК",IF(P222&lt;=$H$221,"МС",IF(P222&lt;=$H$222,"КМС",IF(P222&lt;=$H$223,"I",IF(P222&lt;=$H$224,"II",IF(P222&lt;=$H$225,"III",IF(P222&lt;=$H$226,"I юн",IF(P222&lt;=$H$227,"II юн",IF(P222&lt;=$H$228,"III юн","б/р")))))))))))</f>
        <v xml:space="preserve"> </v>
      </c>
    </row>
    <row r="223" spans="3:27" x14ac:dyDescent="0.3">
      <c r="C223" s="86"/>
      <c r="D223" s="36"/>
      <c r="E223" s="36"/>
      <c r="F223" s="86"/>
      <c r="G223" s="86"/>
      <c r="H223" s="71">
        <v>42.7</v>
      </c>
      <c r="I223" s="59" t="str">
        <f>IF(ISBLANK(H223)," ",IF(ISTEXT(H223)," ",IF(H223&lt;=Нормативы!$H$220,"МСМК",IF(H223&lt;=Нормативы!$H$221,"МС",IF(H223&lt;=Нормативы!$H$222,"КМС",IF(H223&lt;=Нормативы!$H$223,"I",IF(H223&lt;=Нормативы!$H$224,"II",IF(H223&lt;=Нормативы!$H$225,"III",IF(H223&lt;=Нормативы!$H$226,"I юн",IF(H223&lt;=Нормативы!$H$227,"II юн",IF(H223&lt;=Нормативы!$H$228,"III юн","б/р")))))))))))</f>
        <v>I</v>
      </c>
      <c r="J223" s="59" t="str">
        <f>IF(ISBLANK(H223)," ",IF(ISTEXT(H223)," ",IF(H223&lt;=Нормативы!$H$220,"МСМК",IF(H223&lt;=Нормативы!$H$221,"МС",IF(H223&lt;=Нормативы!$H$222,"КМС",IF(H223&lt;=Нормативы!$H$223,"I",IF(H223&lt;=Нормативы!$H$224,"II",IF(H223&lt;=Нормативы!$H$225,"III",IF(H223&lt;=Нормативы!$H$226,"I юн",IF(H223&lt;=Нормативы!$H$227,"II юн",IF(H223&lt;=Нормативы!$H$228,"III юн","б/р")))))))))))</f>
        <v>I</v>
      </c>
      <c r="K223" s="75"/>
      <c r="L223" s="74">
        <f t="shared" si="174"/>
        <v>42.5</v>
      </c>
      <c r="M223" s="59" t="str">
        <f>IF(ISBLANK(L223)," ",IF(ISTEXT(L223)," ",IF(L223&lt;=Нормативы!$H$220,"КМС",IF(L223&lt;=Нормативы!$H$221,"КМС",IF(L223&lt;=Нормативы!$L$222,"КМС",IF(L223&lt;=Нормативы!$L$223,"I",IF(L223&lt;=Нормативы!$L$224,"II",IF(L223&lt;=Нормативы!$L$225,"III",IF(L223&lt;=Нормативы!$L$226,"I юн",IF(L223&lt;=Нормативы!$L$227,"II юн",IF(L223&lt;=Нормативы!$L$228,"III юн","б/р")))))))))))</f>
        <v>I</v>
      </c>
      <c r="N223" s="59" t="str">
        <f>IF(ISBLANK(L223)," ",IF(ISTEXT(L223)," ",IF(L223&lt;=Нормативы!$H$220,"КМС",IF(L223&lt;=Нормативы!$H$221,"КМС",IF(L223&lt;=Нормативы!$L$222,"КМС",IF(L223&lt;=Нормативы!$L$223,"I",IF(L223&lt;=Нормативы!$L$224,"II",IF(L223&lt;=Нормативы!$L$225,"III",IF(L223&lt;=Нормативы!$L$226,"I юн",IF(L223&lt;=Нормативы!$L$227,"II юн",IF(L223&lt;=Нормативы!$L$228,"III юн","б/р")))))))))))</f>
        <v>I</v>
      </c>
      <c r="Q223" s="59" t="str">
        <f t="shared" ref="Q223" si="176">IF(ISBLANK(P223)," ",IF(ISTEXT(P223)," ",IF(P223&lt;=$H$220,"МСМК",IF(P223&lt;=$H$221,"МС",IF(P223&lt;=$H$222,"КМС",IF(P223&lt;=$H$223,"I",IF(P223&lt;=$H$224,"II",IF(P223&lt;=$H$225,"III",IF(P223&lt;=$H$226,"I юн",IF(P223&lt;=$H$227,"II юн",IF(P223&lt;=$H$228,"III юн","б/р")))))))))))</f>
        <v xml:space="preserve"> </v>
      </c>
    </row>
    <row r="224" spans="3:27" x14ac:dyDescent="0.3">
      <c r="C224" s="86"/>
      <c r="D224" s="36"/>
      <c r="E224" s="36"/>
      <c r="F224" s="86"/>
      <c r="G224" s="86"/>
      <c r="H224" s="71">
        <v>46.2</v>
      </c>
      <c r="I224" s="59" t="str">
        <f>IF(ISBLANK(H224)," ",IF(ISTEXT(H224)," ",IF(H224&lt;=Нормативы!$H$220,"МСМК",IF(H224&lt;=Нормативы!$H$221,"МС",IF(H224&lt;=Нормативы!$H$222,"КМС",IF(H224&lt;=Нормативы!$H$223,"I",IF(H224&lt;=Нормативы!$H$224,"II",IF(H224&lt;=Нормативы!$H$225,"III",IF(H224&lt;=Нормативы!$H$226,"I юн",IF(H224&lt;=Нормативы!$H$227,"II юн",IF(H224&lt;=Нормативы!$H$228,"III юн","б/р")))))))))))</f>
        <v>II</v>
      </c>
      <c r="J224" s="59" t="str">
        <f>IF(ISBLANK(H224)," ",IF(ISTEXT(H224)," ",IF(H224&lt;=Нормативы!$H$220,"МСМК",IF(H224&lt;=Нормативы!$H$221,"МС",IF(H224&lt;=Нормативы!$H$222,"КМС",IF(H224&lt;=Нормативы!$H$223,"I",IF(H224&lt;=Нормативы!$H$224,"II",IF(H224&lt;=Нормативы!$H$225,"III",IF(H224&lt;=Нормативы!$H$226,"I юн",IF(H224&lt;=Нормативы!$H$227,"II юн",IF(H224&lt;=Нормативы!$H$228,"III юн","б/р")))))))))))</f>
        <v>II</v>
      </c>
      <c r="K224" s="75"/>
      <c r="L224" s="74">
        <f t="shared" si="174"/>
        <v>46</v>
      </c>
      <c r="M224" s="59" t="str">
        <f>IF(ISBLANK(L224)," ",IF(ISTEXT(L224)," ",IF(L224&lt;=Нормативы!$H$220,"КМС",IF(L224&lt;=Нормативы!$H$221,"КМС",IF(L224&lt;=Нормативы!$L$222,"КМС",IF(L224&lt;=Нормативы!$L$223,"I",IF(L224&lt;=Нормативы!$L$224,"II",IF(L224&lt;=Нормативы!$L$225,"III",IF(L224&lt;=Нормативы!$L$226,"I юн",IF(L224&lt;=Нормативы!$L$227,"II юн",IF(L224&lt;=Нормативы!$L$228,"III юн","б/р")))))))))))</f>
        <v>II</v>
      </c>
      <c r="N224" s="59" t="str">
        <f>IF(ISBLANK(L224)," ",IF(ISTEXT(L224)," ",IF(L224&lt;=Нормативы!$H$220,"КМС",IF(L224&lt;=Нормативы!$H$221,"КМС",IF(L224&lt;=Нормативы!$L$222,"КМС",IF(L224&lt;=Нормативы!$L$223,"I",IF(L224&lt;=Нормативы!$L$224,"II",IF(L224&lt;=Нормативы!$L$225,"III",IF(L224&lt;=Нормативы!$L$226,"I юн",IF(L224&lt;=Нормативы!$L$227,"II юн",IF(L224&lt;=Нормативы!$L$228,"III юн","б/р")))))))))))</f>
        <v>II</v>
      </c>
      <c r="Q224" s="59" t="str">
        <f t="shared" ref="Q224" si="177">IF(ISBLANK(P224)," ",IF(ISTEXT(P224)," ",IF(P224&lt;=$H$220,"МСМК",IF(P224&lt;=$H$221,"МС",IF(P224&lt;=$H$222,"КМС",IF(P224&lt;=$H$223,"I",IF(P224&lt;=$H$224,"II",IF(P224&lt;=$H$225,"III",IF(P224&lt;=$H$226,"I юн",IF(P224&lt;=$H$227,"II юн",IF(P224&lt;=$H$228,"III юн","б/р")))))))))))</f>
        <v xml:space="preserve"> </v>
      </c>
    </row>
    <row r="225" spans="3:33" x14ac:dyDescent="0.3">
      <c r="C225" s="86"/>
      <c r="D225" s="36"/>
      <c r="E225" s="36"/>
      <c r="F225" s="86"/>
      <c r="G225" s="86"/>
      <c r="H225" s="71">
        <v>50</v>
      </c>
      <c r="I225" s="59" t="str">
        <f>IF(ISBLANK(H225)," ",IF(ISTEXT(H225)," ",IF(H225&lt;=Нормативы!$H$220,"МСМК",IF(H225&lt;=Нормативы!$H$221,"МС",IF(H225&lt;=Нормативы!$H$222,"КМС",IF(H225&lt;=Нормативы!$H$223,"I",IF(H225&lt;=Нормативы!$H$224,"II",IF(H225&lt;=Нормативы!$H$225,"III",IF(H225&lt;=Нормативы!$H$226,"I юн",IF(H225&lt;=Нормативы!$H$227,"II юн",IF(H225&lt;=Нормативы!$H$228,"III юн","б/р")))))))))))</f>
        <v>III</v>
      </c>
      <c r="J225" s="59" t="str">
        <f>IF(ISBLANK(H225)," ",IF(ISTEXT(H225)," ",IF(H225&lt;=Нормативы!$H$220,"МСМК",IF(H225&lt;=Нормативы!$H$221,"МС",IF(H225&lt;=Нормативы!$H$222,"КМС",IF(H225&lt;=Нормативы!$H$223,"I",IF(H225&lt;=Нормативы!$H$224,"II",IF(H225&lt;=Нормативы!$H$225,"III",IF(H225&lt;=Нормативы!$H$226,"I юн",IF(H225&lt;=Нормативы!$H$227,"II юн",IF(H225&lt;=Нормативы!$H$228,"III юн","б/р")))))))))))</f>
        <v>III</v>
      </c>
      <c r="K225" s="75"/>
      <c r="L225" s="74">
        <f t="shared" si="174"/>
        <v>49.8</v>
      </c>
      <c r="M225" s="59" t="str">
        <f>IF(ISBLANK(L225)," ",IF(ISTEXT(L225)," ",IF(L225&lt;=Нормативы!$H$220,"КМС",IF(L225&lt;=Нормативы!$H$221,"КМС",IF(L225&lt;=Нормативы!$L$222,"КМС",IF(L225&lt;=Нормативы!$L$223,"I",IF(L225&lt;=Нормативы!$L$224,"II",IF(L225&lt;=Нормативы!$L$225,"III",IF(L225&lt;=Нормативы!$L$226,"I юн",IF(L225&lt;=Нормативы!$L$227,"II юн",IF(L225&lt;=Нормативы!$L$228,"III юн","б/р")))))))))))</f>
        <v>III</v>
      </c>
      <c r="N225" s="59" t="str">
        <f>IF(ISBLANK(L225)," ",IF(ISTEXT(L225)," ",IF(L225&lt;=Нормативы!$H$220,"КМС",IF(L225&lt;=Нормативы!$H$221,"КМС",IF(L225&lt;=Нормативы!$L$222,"КМС",IF(L225&lt;=Нормативы!$L$223,"I",IF(L225&lt;=Нормативы!$L$224,"II",IF(L225&lt;=Нормативы!$L$225,"III",IF(L225&lt;=Нормативы!$L$226,"I юн",IF(L225&lt;=Нормативы!$L$227,"II юн",IF(L225&lt;=Нормативы!$L$228,"III юн","б/р")))))))))))</f>
        <v>III</v>
      </c>
      <c r="Q225" s="59" t="str">
        <f t="shared" ref="Q225" si="178">IF(ISBLANK(P225)," ",IF(ISTEXT(P225)," ",IF(P225&lt;=$H$220,"МСМК",IF(P225&lt;=$H$221,"МС",IF(P225&lt;=$H$222,"КМС",IF(P225&lt;=$H$223,"I",IF(P225&lt;=$H$224,"II",IF(P225&lt;=$H$225,"III",IF(P225&lt;=$H$226,"I юн",IF(P225&lt;=$H$227,"II юн",IF(P225&lt;=$H$228,"III юн","б/р")))))))))))</f>
        <v xml:space="preserve"> </v>
      </c>
    </row>
    <row r="226" spans="3:33" x14ac:dyDescent="0.3">
      <c r="C226" s="86"/>
      <c r="D226" s="36"/>
      <c r="E226" s="36"/>
      <c r="F226" s="86"/>
      <c r="G226" s="86"/>
      <c r="H226" s="71">
        <v>54.7</v>
      </c>
      <c r="I226" s="59" t="str">
        <f>IF(ISBLANK(H226)," ",IF(ISTEXT(H226)," ",IF(H226&lt;=Нормативы!$H$220,"МСМК",IF(H226&lt;=Нормативы!$H$221,"МС",IF(H226&lt;=Нормативы!$H$222,"КМС",IF(H226&lt;=Нормативы!$H$223,"I",IF(H226&lt;=Нормативы!$H$224,"II",IF(H226&lt;=Нормативы!$H$225,"III",IF(H226&lt;=Нормативы!$H$226,"I юн",IF(H226&lt;=Нормативы!$H$227,"II юн",IF(H226&lt;=Нормативы!$H$228,"III юн","б/р")))))))))))</f>
        <v>I юн</v>
      </c>
      <c r="J226" s="59" t="str">
        <f>IF(ISBLANK(H226)," ",IF(ISTEXT(H226)," ",IF(H226&lt;=Нормативы!$H$220,"МСМК",IF(H226&lt;=Нормативы!$H$221,"МС",IF(H226&lt;=Нормативы!$H$222,"КМС",IF(H226&lt;=Нормативы!$H$223,"I",IF(H226&lt;=Нормативы!$H$224,"II",IF(H226&lt;=Нормативы!$H$225,"III",IF(H226&lt;=Нормативы!$H$226,"I юн",IF(H226&lt;=Нормативы!$H$227,"II юн",IF(H226&lt;=Нормативы!$H$228,"III юн","б/р")))))))))))</f>
        <v>I юн</v>
      </c>
      <c r="K226" s="75"/>
      <c r="L226" s="74">
        <f t="shared" si="174"/>
        <v>54.5</v>
      </c>
      <c r="M226" s="59" t="str">
        <f>IF(ISBLANK(L226)," ",IF(ISTEXT(L226)," ",IF(L226&lt;=Нормативы!$H$220,"КМС",IF(L226&lt;=Нормативы!$H$221,"КМС",IF(L226&lt;=Нормативы!$L$222,"КМС",IF(L226&lt;=Нормативы!$L$223,"I",IF(L226&lt;=Нормативы!$L$224,"II",IF(L226&lt;=Нормативы!$L$225,"III",IF(L226&lt;=Нормативы!$L$226,"I юн",IF(L226&lt;=Нормативы!$L$227,"II юн",IF(L226&lt;=Нормативы!$L$228,"III юн","б/р")))))))))))</f>
        <v>I юн</v>
      </c>
      <c r="N226" s="59" t="str">
        <f>IF(ISBLANK(L226)," ",IF(ISTEXT(L226)," ",IF(L226&lt;=Нормативы!$H$220,"КМС",IF(L226&lt;=Нормативы!$H$221,"КМС",IF(L226&lt;=Нормативы!$L$222,"КМС",IF(L226&lt;=Нормативы!$L$223,"I",IF(L226&lt;=Нормативы!$L$224,"II",IF(L226&lt;=Нормативы!$L$225,"III",IF(L226&lt;=Нормативы!$L$226,"I юн",IF(L226&lt;=Нормативы!$L$227,"II юн",IF(L226&lt;=Нормативы!$L$228,"III юн","б/р")))))))))))</f>
        <v>I юн</v>
      </c>
      <c r="Q226" s="59" t="str">
        <f t="shared" ref="Q226" si="179">IF(ISBLANK(P226)," ",IF(ISTEXT(P226)," ",IF(P226&lt;=$H$220,"МСМК",IF(P226&lt;=$H$221,"МС",IF(P226&lt;=$H$222,"КМС",IF(P226&lt;=$H$223,"I",IF(P226&lt;=$H$224,"II",IF(P226&lt;=$H$225,"III",IF(P226&lt;=$H$226,"I юн",IF(P226&lt;=$H$227,"II юн",IF(P226&lt;=$H$228,"III юн","б/р")))))))))))</f>
        <v xml:space="preserve"> </v>
      </c>
    </row>
    <row r="227" spans="3:33" x14ac:dyDescent="0.3">
      <c r="C227" s="86"/>
      <c r="D227" s="36"/>
      <c r="E227" s="36"/>
      <c r="F227" s="86"/>
      <c r="G227" s="86"/>
      <c r="H227" s="71">
        <v>59.900000000000006</v>
      </c>
      <c r="I227" s="59" t="str">
        <f>IF(ISBLANK(H227)," ",IF(ISTEXT(H227)," ",IF(H227&lt;=Нормативы!$H$220,"МСМК",IF(H227&lt;=Нормативы!$H$221,"МС",IF(H227&lt;=Нормативы!$H$222,"КМС",IF(H227&lt;=Нормативы!$H$223,"I",IF(H227&lt;=Нормативы!$H$224,"II",IF(H227&lt;=Нормативы!$H$225,"III",IF(H227&lt;=Нормативы!$H$226,"I юн",IF(H227&lt;=Нормативы!$H$227,"II юн",IF(H227&lt;=Нормативы!$H$228,"III юн","б/р")))))))))))</f>
        <v>II юн</v>
      </c>
      <c r="J227" s="59" t="str">
        <f>IF(ISBLANK(H227)," ",IF(ISTEXT(H227)," ",IF(H227&lt;=Нормативы!$H$220,"МСМК",IF(H227&lt;=Нормативы!$H$221,"МС",IF(H227&lt;=Нормативы!$H$222,"КМС",IF(H227&lt;=Нормативы!$H$223,"I",IF(H227&lt;=Нормативы!$H$224,"II",IF(H227&lt;=Нормативы!$H$225,"III",IF(H227&lt;=Нормативы!$H$226,"I юн",IF(H227&lt;=Нормативы!$H$227,"II юн",IF(H227&lt;=Нормативы!$H$228,"III юн","б/р")))))))))))</f>
        <v>II юн</v>
      </c>
      <c r="K227" s="75"/>
      <c r="L227" s="74">
        <f t="shared" si="174"/>
        <v>59.7</v>
      </c>
      <c r="M227" s="59" t="str">
        <f>IF(ISBLANK(L227)," ",IF(ISTEXT(L227)," ",IF(L227&lt;=Нормативы!$H$220,"КМС",IF(L227&lt;=Нормативы!$H$221,"КМС",IF(L227&lt;=Нормативы!$L$222,"КМС",IF(L227&lt;=Нормативы!$L$223,"I",IF(L227&lt;=Нормативы!$L$224,"II",IF(L227&lt;=Нормативы!$L$225,"III",IF(L227&lt;=Нормативы!$L$226,"I юн",IF(L227&lt;=Нормативы!$L$227,"II юн",IF(L227&lt;=Нормативы!$L$228,"III юн","б/р")))))))))))</f>
        <v>II юн</v>
      </c>
      <c r="N227" s="59" t="str">
        <f>IF(ISBLANK(L227)," ",IF(ISTEXT(L227)," ",IF(L227&lt;=Нормативы!$H$220,"КМС",IF(L227&lt;=Нормативы!$H$221,"КМС",IF(L227&lt;=Нормативы!$L$222,"КМС",IF(L227&lt;=Нормативы!$L$223,"I",IF(L227&lt;=Нормативы!$L$224,"II",IF(L227&lt;=Нормативы!$L$225,"III",IF(L227&lt;=Нормативы!$L$226,"I юн",IF(L227&lt;=Нормативы!$L$227,"II юн",IF(L227&lt;=Нормативы!$L$228,"III юн","б/р")))))))))))</f>
        <v>II юн</v>
      </c>
      <c r="Q227" s="59" t="str">
        <f t="shared" ref="Q227" si="180">IF(ISBLANK(P227)," ",IF(ISTEXT(P227)," ",IF(P227&lt;=$H$220,"МСМК",IF(P227&lt;=$H$221,"МС",IF(P227&lt;=$H$222,"КМС",IF(P227&lt;=$H$223,"I",IF(P227&lt;=$H$224,"II",IF(P227&lt;=$H$225,"III",IF(P227&lt;=$H$226,"I юн",IF(P227&lt;=$H$227,"II юн",IF(P227&lt;=$H$228,"III юн","б/р")))))))))))</f>
        <v xml:space="preserve"> </v>
      </c>
    </row>
    <row r="228" spans="3:33" x14ac:dyDescent="0.3">
      <c r="C228" s="86"/>
      <c r="D228" s="36"/>
      <c r="E228" s="36"/>
      <c r="F228" s="86"/>
      <c r="G228" s="86"/>
      <c r="H228" s="71">
        <v>104.9</v>
      </c>
      <c r="I228" s="59" t="str">
        <f>IF(ISBLANK(H228)," ",IF(ISTEXT(H228)," ",IF(H228&lt;=Нормативы!$H$220,"МСМК",IF(H228&lt;=Нормативы!$H$221,"МС",IF(H228&lt;=Нормативы!$H$222,"КМС",IF(H228&lt;=Нормативы!$H$223,"I",IF(H228&lt;=Нормативы!$H$224,"II",IF(H228&lt;=Нормативы!$H$225,"III",IF(H228&lt;=Нормативы!$H$226,"I юн",IF(H228&lt;=Нормативы!$H$227,"II юн",IF(H228&lt;=Нормативы!$H$228,"III юн","б/р")))))))))))</f>
        <v>III юн</v>
      </c>
      <c r="J228" s="59" t="str">
        <f>IF(ISBLANK(H228)," ",IF(ISTEXT(H228)," ",IF(H228&lt;=Нормативы!$H$220,"МСМК",IF(H228&lt;=Нормативы!$H$221,"МС",IF(H228&lt;=Нормативы!$H$222,"КМС",IF(H228&lt;=Нормативы!$H$223,"I",IF(H228&lt;=Нормативы!$H$224,"II",IF(H228&lt;=Нормативы!$H$225,"III",IF(H228&lt;=Нормативы!$H$226,"I юн",IF(H228&lt;=Нормативы!$H$227,"II юн",IF(H228&lt;=Нормативы!$H$228,"III юн","б/р")))))))))))</f>
        <v>III юн</v>
      </c>
      <c r="K228" s="75"/>
      <c r="L228" s="74">
        <f t="shared" si="174"/>
        <v>104.7</v>
      </c>
      <c r="M228" s="59" t="str">
        <f>IF(ISBLANK(L228)," ",IF(ISTEXT(L228)," ",IF(L228&lt;=Нормативы!$H$220,"КМС",IF(L228&lt;=Нормативы!$H$221,"КМС",IF(L228&lt;=Нормативы!$L$222,"КМС",IF(L228&lt;=Нормативы!$L$223,"I",IF(L228&lt;=Нормативы!$L$224,"II",IF(L228&lt;=Нормативы!$L$225,"III",IF(L228&lt;=Нормативы!$L$226,"I юн",IF(L228&lt;=Нормативы!$L$227,"II юн",IF(L228&lt;=Нормативы!$L$228,"III юн","б/р")))))))))))</f>
        <v>III юн</v>
      </c>
      <c r="N228" s="59" t="str">
        <f>IF(ISBLANK(L228)," ",IF(ISTEXT(L228)," ",IF(L228&lt;=Нормативы!$H$220,"КМС",IF(L228&lt;=Нормативы!$H$221,"КМС",IF(L228&lt;=Нормативы!$L$222,"КМС",IF(L228&lt;=Нормативы!$L$223,"I",IF(L228&lt;=Нормативы!$L$224,"II",IF(L228&lt;=Нормативы!$L$225,"III",IF(L228&lt;=Нормативы!$L$226,"I юн",IF(L228&lt;=Нормативы!$L$227,"II юн",IF(L228&lt;=Нормативы!$L$228,"III юн","б/р")))))))))))</f>
        <v>III юн</v>
      </c>
      <c r="P228" s="82"/>
      <c r="Q228" s="59" t="str">
        <f t="shared" ref="Q228" si="181">IF(ISBLANK(P228)," ",IF(ISTEXT(P228)," ",IF(P228&lt;=$H$220,"МСМК",IF(P228&lt;=$H$221,"МС",IF(P228&lt;=$H$222,"КМС",IF(P228&lt;=$H$223,"I",IF(P228&lt;=$H$224,"II",IF(P228&lt;=$H$225,"III",IF(P228&lt;=$H$226,"I юн",IF(P228&lt;=$H$227,"II юн",IF(P228&lt;=$H$228,"III юн","б/р")))))))))))</f>
        <v xml:space="preserve"> </v>
      </c>
      <c r="R228" s="82"/>
      <c r="S228" s="82"/>
      <c r="T228" s="82"/>
      <c r="U228" s="82"/>
      <c r="V228" s="82"/>
      <c r="W228" s="82"/>
      <c r="X228" s="82"/>
      <c r="Y228" s="82"/>
      <c r="Z228" s="82"/>
      <c r="AA228" s="82"/>
      <c r="AB228" s="83"/>
      <c r="AC228" s="83"/>
      <c r="AD228" s="83"/>
      <c r="AE228" s="83"/>
      <c r="AF228" s="83"/>
      <c r="AG228" s="83"/>
    </row>
    <row r="229" spans="3:33" x14ac:dyDescent="0.3">
      <c r="C229" s="86"/>
      <c r="D229" s="36"/>
      <c r="E229" s="36"/>
      <c r="F229" s="86"/>
      <c r="G229" s="86"/>
      <c r="H229" s="74"/>
      <c r="I229" s="43"/>
      <c r="J229" s="43"/>
      <c r="K229" s="75"/>
      <c r="L229" s="43"/>
      <c r="M229" s="43"/>
      <c r="N229" s="43"/>
      <c r="P229" s="83"/>
      <c r="Q229" s="43"/>
      <c r="R229" s="83"/>
      <c r="S229" s="83"/>
      <c r="T229" s="83"/>
      <c r="U229" s="83"/>
      <c r="V229" s="83"/>
      <c r="W229" s="83"/>
      <c r="X229" s="83"/>
      <c r="Y229" s="83"/>
      <c r="Z229" s="83"/>
      <c r="AA229" s="83"/>
      <c r="AB229" s="83"/>
      <c r="AC229" s="83"/>
      <c r="AD229" s="83"/>
      <c r="AE229" s="83"/>
      <c r="AF229" s="83"/>
      <c r="AG229" s="83"/>
    </row>
    <row r="230" spans="3:33" x14ac:dyDescent="0.3">
      <c r="C230" s="68" t="s">
        <v>53</v>
      </c>
      <c r="D230" s="43"/>
      <c r="E230" s="43"/>
      <c r="F230" s="44"/>
      <c r="G230" s="44"/>
      <c r="H230" s="42"/>
      <c r="I230" s="43"/>
      <c r="J230" s="43"/>
      <c r="K230" s="84"/>
      <c r="L230" s="43"/>
      <c r="M230" s="43"/>
      <c r="N230" s="43"/>
      <c r="Q230" s="43"/>
    </row>
    <row r="231" spans="3:33" x14ac:dyDescent="0.3">
      <c r="C231" s="86"/>
      <c r="D231" s="43"/>
      <c r="E231" s="43"/>
      <c r="F231" s="43"/>
      <c r="G231" s="43"/>
      <c r="H231" s="71">
        <v>33</v>
      </c>
      <c r="I231" s="59" t="str">
        <f>IF(ISBLANK(H231)," ",IF(ISTEXT(H231)," ",IF(H231&lt;=Нормативы!$H$231,"МСМК",IF(H231&lt;=Нормативы!$H$232,"МС",IF(H231&lt;=Нормативы!$H$233,"КМС",IF(H231&lt;=Нормативы!$H$234,"I",IF(H231&lt;=Нормативы!$H$235,"II",IF(H231&lt;=Нормативы!$H$236,"III",IF(H231&lt;=Нормативы!$H$237,"I юн",IF(H231&lt;=Нормативы!$H$238,"II юн",IF(H231&lt;=Нормативы!$H$239,"III юн","б/р")))))))))))</f>
        <v>МСМК</v>
      </c>
      <c r="J231" s="59" t="str">
        <f>IF(ISBLANK(H231)," ",IF(ISTEXT(H231)," ",IF(H231&lt;=Нормативы!$H$231,"МСМК",IF(H231&lt;=Нормативы!$H$232,"МС",IF(H231&lt;=Нормативы!$H$233,"КМС",IF(H231&lt;=Нормативы!$H$234,"I",IF(H231&lt;=Нормативы!$H$235,"II",IF(H231&lt;=Нормативы!$H$236,"III",IF(H231&lt;=Нормативы!$H$237,"I юн",IF(H231&lt;=Нормативы!$H$238,"II юн",IF(H231&lt;=Нормативы!$H$239,"III юн","б/р")))))))))))</f>
        <v>МСМК</v>
      </c>
      <c r="K231" s="75"/>
      <c r="L231" s="71"/>
      <c r="M231" s="59" t="str">
        <f>IF(ISBLANK(L231)," ",IF(ISTEXT(L231)," ",IF(L231&lt;=Нормативы!$H$231,"КМС",IF(L231&lt;=Нормативы!$H$232,"КМС",IF(L231&lt;=Нормативы!$L$233,"КМС",IF(L231&lt;=Нормативы!$L$234,"I",IF(L231&lt;=Нормативы!$L$235,"II",IF(L231&lt;=Нормативы!$L$236,"III",IF(L231&lt;=Нормативы!$L$237,"I юн",IF(L231&lt;=Нормативы!$L$238,"II юн",IF(L231&lt;=Нормативы!$L$239,"III юн","б/р")))))))))))</f>
        <v xml:space="preserve"> </v>
      </c>
      <c r="N231" s="59" t="str">
        <f>IF(ISBLANK(L231)," ",IF(ISTEXT(L231)," ",IF(L231&lt;=Нормативы!$H$231,"КМС",IF(L231&lt;=Нормативы!$H$232,"КМС",IF(L231&lt;=Нормативы!$L$233,"КМС",IF(L231&lt;=Нормативы!$L$234,"I",IF(L231&lt;=Нормативы!$L$235,"II",IF(L231&lt;=Нормативы!$L$236,"III",IF(L231&lt;=Нормативы!$L$237,"I юн",IF(L231&lt;=Нормативы!$L$238,"II юн",IF(L231&lt;=Нормативы!$L$239,"III юн","б/р")))))))))))</f>
        <v xml:space="preserve"> </v>
      </c>
      <c r="Q231" s="59" t="str">
        <f>IF(ISBLANK(P231)," ",IF(ISTEXT(P231)," ",IF(P231&lt;=$H$231,"МСМК",IF(P231&lt;=$H$232,"МС",IF(P231&lt;=$H$233,"КМС",IF(P231&lt;=$H$234,"I",IF(P231&lt;=$H$235,"II",IF(P231&lt;=$H$236,"III",IF(P231&lt;=$H$237,"I юн",IF(P231&lt;=$H$238,"II юн",IF(P231&lt;=$H$239,"III юн","б/р")))))))))))</f>
        <v xml:space="preserve"> </v>
      </c>
    </row>
    <row r="232" spans="3:33" x14ac:dyDescent="0.3">
      <c r="C232" s="86"/>
      <c r="D232" s="43"/>
      <c r="E232" s="43"/>
      <c r="F232" s="43"/>
      <c r="G232" s="43"/>
      <c r="H232" s="71">
        <v>34.5</v>
      </c>
      <c r="I232" s="59" t="str">
        <f>IF(ISBLANK(H232)," ",IF(ISTEXT(H232)," ",IF(H232&lt;=Нормативы!$H$231,"МСМК",IF(H232&lt;=Нормативы!$H$232,"МС",IF(H232&lt;=Нормативы!$H$233,"КМС",IF(H232&lt;=Нормативы!$H$234,"I",IF(H232&lt;=Нормативы!$H$235,"II",IF(H232&lt;=Нормативы!$H$236,"III",IF(H232&lt;=Нормативы!$H$237,"I юн",IF(H232&lt;=Нормативы!$H$238,"II юн",IF(H232&lt;=Нормативы!$H$239,"III юн","б/р")))))))))))</f>
        <v>МС</v>
      </c>
      <c r="J232" s="59" t="str">
        <f>IF(ISBLANK(H232)," ",IF(ISTEXT(H232)," ",IF(H232&lt;=Нормативы!$H$231,"МСМК",IF(H232&lt;=Нормативы!$H$232,"МС",IF(H232&lt;=Нормативы!$H$233,"КМС",IF(H232&lt;=Нормативы!$H$234,"I",IF(H232&lt;=Нормативы!$H$235,"II",IF(H232&lt;=Нормативы!$H$236,"III",IF(H232&lt;=Нормативы!$H$237,"I юн",IF(H232&lt;=Нормативы!$H$238,"II юн",IF(H232&lt;=Нормативы!$H$239,"III юн","б/р")))))))))))</f>
        <v>МС</v>
      </c>
      <c r="K232" s="75"/>
      <c r="L232" s="71"/>
      <c r="M232" s="59" t="str">
        <f>IF(ISBLANK(L232)," ",IF(ISTEXT(L232)," ",IF(L232&lt;=Нормативы!$H$231,"КМС",IF(L232&lt;=Нормативы!$H$232,"КМС",IF(L232&lt;=Нормативы!$L$233,"КМС",IF(L232&lt;=Нормативы!$L$234,"I",IF(L232&lt;=Нормативы!$L$235,"II",IF(L232&lt;=Нормативы!$L$236,"III",IF(L232&lt;=Нормативы!$L$237,"I юн",IF(L232&lt;=Нормативы!$L$238,"II юн",IF(L232&lt;=Нормативы!$L$239,"III юн","б/р")))))))))))</f>
        <v xml:space="preserve"> </v>
      </c>
      <c r="N232" s="59" t="str">
        <f>IF(ISBLANK(L232)," ",IF(ISTEXT(L232)," ",IF(L232&lt;=Нормативы!$H$231,"КМС",IF(L232&lt;=Нормативы!$H$232,"КМС",IF(L232&lt;=Нормативы!$L$233,"КМС",IF(L232&lt;=Нормативы!$L$234,"I",IF(L232&lt;=Нормативы!$L$235,"II",IF(L232&lt;=Нормативы!$L$236,"III",IF(L232&lt;=Нормативы!$L$237,"I юн",IF(L232&lt;=Нормативы!$L$238,"II юн",IF(L232&lt;=Нормативы!$L$239,"III юн","б/р")))))))))))</f>
        <v xml:space="preserve"> </v>
      </c>
      <c r="Q232" s="59" t="str">
        <f t="shared" ref="Q232" si="182">IF(ISBLANK(P232)," ",IF(ISTEXT(P232)," ",IF(P232&lt;=$H$231,"МСМК",IF(P232&lt;=$H$232,"МС",IF(P232&lt;=$H$233,"КМС",IF(P232&lt;=$H$234,"I",IF(P232&lt;=$H$235,"II",IF(P232&lt;=$H$236,"III",IF(P232&lt;=$H$237,"I юн",IF(P232&lt;=$H$238,"II юн",IF(P232&lt;=$H$239,"III юн","б/р")))))))))))</f>
        <v xml:space="preserve"> </v>
      </c>
    </row>
    <row r="233" spans="3:33" x14ac:dyDescent="0.3">
      <c r="C233" s="86"/>
      <c r="D233" s="43"/>
      <c r="E233" s="43"/>
      <c r="F233" s="43"/>
      <c r="G233" s="43"/>
      <c r="H233" s="71">
        <v>36.200000000000003</v>
      </c>
      <c r="I233" s="59" t="str">
        <f>IF(ISBLANK(H233)," ",IF(ISTEXT(H233)," ",IF(H233&lt;=Нормативы!$H$231,"МСМК",IF(H233&lt;=Нормативы!$H$232,"МС",IF(H233&lt;=Нормативы!$H$233,"КМС",IF(H233&lt;=Нормативы!$H$234,"I",IF(H233&lt;=Нормативы!$H$235,"II",IF(H233&lt;=Нормативы!$H$236,"III",IF(H233&lt;=Нормативы!$H$237,"I юн",IF(H233&lt;=Нормативы!$H$238,"II юн",IF(H233&lt;=Нормативы!$H$239,"III юн","б/р")))))))))))</f>
        <v>КМС</v>
      </c>
      <c r="J233" s="59" t="str">
        <f>IF(ISBLANK(H233)," ",IF(ISTEXT(H233)," ",IF(H233&lt;=Нормативы!$H$231,"МСМК",IF(H233&lt;=Нормативы!$H$232,"МС",IF(H233&lt;=Нормативы!$H$233,"КМС",IF(H233&lt;=Нормативы!$H$234,"I",IF(H233&lt;=Нормативы!$H$235,"II",IF(H233&lt;=Нормативы!$H$236,"III",IF(H233&lt;=Нормативы!$H$237,"I юн",IF(H233&lt;=Нормативы!$H$238,"II юн",IF(H233&lt;=Нормативы!$H$239,"III юн","б/р")))))))))))</f>
        <v>КМС</v>
      </c>
      <c r="K233" s="75"/>
      <c r="L233" s="74">
        <f t="shared" ref="L233:L239" si="183">H233-0.2</f>
        <v>36</v>
      </c>
      <c r="M233" s="59" t="str">
        <f>IF(ISBLANK(L233)," ",IF(ISTEXT(L233)," ",IF(L233&lt;=Нормативы!$H$231,"КМС",IF(L233&lt;=Нормативы!$H$232,"КМС",IF(L233&lt;=Нормативы!$L$233,"КМС",IF(L233&lt;=Нормативы!$L$234,"I",IF(L233&lt;=Нормативы!$L$235,"II",IF(L233&lt;=Нормативы!$L$236,"III",IF(L233&lt;=Нормативы!$L$237,"I юн",IF(L233&lt;=Нормативы!$L$238,"II юн",IF(L233&lt;=Нормативы!$L$239,"III юн","б/р")))))))))))</f>
        <v>КМС</v>
      </c>
      <c r="N233" s="59" t="str">
        <f>IF(ISBLANK(L233)," ",IF(ISTEXT(L233)," ",IF(L233&lt;=Нормативы!$H$231,"КМС",IF(L233&lt;=Нормативы!$H$232,"КМС",IF(L233&lt;=Нормативы!$L$233,"КМС",IF(L233&lt;=Нормативы!$L$234,"I",IF(L233&lt;=Нормативы!$L$235,"II",IF(L233&lt;=Нормативы!$L$236,"III",IF(L233&lt;=Нормативы!$L$237,"I юн",IF(L233&lt;=Нормативы!$L$238,"II юн",IF(L233&lt;=Нормативы!$L$239,"III юн","б/р")))))))))))</f>
        <v>КМС</v>
      </c>
      <c r="Q233" s="59" t="str">
        <f t="shared" ref="Q233" si="184">IF(ISBLANK(P233)," ",IF(ISTEXT(P233)," ",IF(P233&lt;=$H$231,"МСМК",IF(P233&lt;=$H$232,"МС",IF(P233&lt;=$H$233,"КМС",IF(P233&lt;=$H$234,"I",IF(P233&lt;=$H$235,"II",IF(P233&lt;=$H$236,"III",IF(P233&lt;=$H$237,"I юн",IF(P233&lt;=$H$238,"II юн",IF(P233&lt;=$H$239,"III юн","б/р")))))))))))</f>
        <v xml:space="preserve"> </v>
      </c>
    </row>
    <row r="234" spans="3:33" x14ac:dyDescent="0.3">
      <c r="C234" s="86"/>
      <c r="D234" s="43"/>
      <c r="E234" s="43"/>
      <c r="F234" s="43"/>
      <c r="G234" s="43"/>
      <c r="H234" s="71">
        <v>39.900000000000006</v>
      </c>
      <c r="I234" s="59" t="str">
        <f>IF(ISBLANK(H234)," ",IF(ISTEXT(H234)," ",IF(H234&lt;=Нормативы!$H$231,"МСМК",IF(H234&lt;=Нормативы!$H$232,"МС",IF(H234&lt;=Нормативы!$H$233,"КМС",IF(H234&lt;=Нормативы!$H$234,"I",IF(H234&lt;=Нормативы!$H$235,"II",IF(H234&lt;=Нормативы!$H$236,"III",IF(H234&lt;=Нормативы!$H$237,"I юн",IF(H234&lt;=Нормативы!$H$238,"II юн",IF(H234&lt;=Нормативы!$H$239,"III юн","б/р")))))))))))</f>
        <v>I</v>
      </c>
      <c r="J234" s="59" t="str">
        <f>IF(ISBLANK(H234)," ",IF(ISTEXT(H234)," ",IF(H234&lt;=Нормативы!$H$231,"МСМК",IF(H234&lt;=Нормативы!$H$232,"МС",IF(H234&lt;=Нормативы!$H$233,"КМС",IF(H234&lt;=Нормативы!$H$234,"I",IF(H234&lt;=Нормативы!$H$235,"II",IF(H234&lt;=Нормативы!$H$236,"III",IF(H234&lt;=Нормативы!$H$237,"I юн",IF(H234&lt;=Нормативы!$H$238,"II юн",IF(H234&lt;=Нормативы!$H$239,"III юн","б/р")))))))))))</f>
        <v>I</v>
      </c>
      <c r="K234" s="75"/>
      <c r="L234" s="74">
        <f t="shared" si="183"/>
        <v>39.700000000000003</v>
      </c>
      <c r="M234" s="59" t="str">
        <f>IF(ISBLANK(L234)," ",IF(ISTEXT(L234)," ",IF(L234&lt;=Нормативы!$H$231,"КМС",IF(L234&lt;=Нормативы!$H$232,"КМС",IF(L234&lt;=Нормативы!$L$233,"КМС",IF(L234&lt;=Нормативы!$L$234,"I",IF(L234&lt;=Нормативы!$L$235,"II",IF(L234&lt;=Нормативы!$L$236,"III",IF(L234&lt;=Нормативы!$L$237,"I юн",IF(L234&lt;=Нормативы!$L$238,"II юн",IF(L234&lt;=Нормативы!$L$239,"III юн","б/р")))))))))))</f>
        <v>I</v>
      </c>
      <c r="N234" s="59" t="str">
        <f>IF(ISBLANK(L234)," ",IF(ISTEXT(L234)," ",IF(L234&lt;=Нормативы!$H$231,"КМС",IF(L234&lt;=Нормативы!$H$232,"КМС",IF(L234&lt;=Нормативы!$L$233,"КМС",IF(L234&lt;=Нормативы!$L$234,"I",IF(L234&lt;=Нормативы!$L$235,"II",IF(L234&lt;=Нормативы!$L$236,"III",IF(L234&lt;=Нормативы!$L$237,"I юн",IF(L234&lt;=Нормативы!$L$238,"II юн",IF(L234&lt;=Нормативы!$L$239,"III юн","б/р")))))))))))</f>
        <v>I</v>
      </c>
      <c r="Q234" s="59" t="str">
        <f t="shared" ref="Q234" si="185">IF(ISBLANK(P234)," ",IF(ISTEXT(P234)," ",IF(P234&lt;=$H$231,"МСМК",IF(P234&lt;=$H$232,"МС",IF(P234&lt;=$H$233,"КМС",IF(P234&lt;=$H$234,"I",IF(P234&lt;=$H$235,"II",IF(P234&lt;=$H$236,"III",IF(P234&lt;=$H$237,"I юн",IF(P234&lt;=$H$238,"II юн",IF(P234&lt;=$H$239,"III юн","б/р")))))))))))</f>
        <v xml:space="preserve"> </v>
      </c>
    </row>
    <row r="235" spans="3:33" x14ac:dyDescent="0.3">
      <c r="C235" s="86"/>
      <c r="D235" s="43"/>
      <c r="E235" s="43"/>
      <c r="F235" s="43"/>
      <c r="G235" s="43"/>
      <c r="H235" s="71">
        <v>42.2</v>
      </c>
      <c r="I235" s="59" t="str">
        <f>IF(ISBLANK(H235)," ",IF(ISTEXT(H235)," ",IF(H235&lt;=Нормативы!$H$231,"МСМК",IF(H235&lt;=Нормативы!$H$232,"МС",IF(H235&lt;=Нормативы!$H$233,"КМС",IF(H235&lt;=Нормативы!$H$234,"I",IF(H235&lt;=Нормативы!$H$235,"II",IF(H235&lt;=Нормативы!$H$236,"III",IF(H235&lt;=Нормативы!$H$237,"I юн",IF(H235&lt;=Нормативы!$H$238,"II юн",IF(H235&lt;=Нормативы!$H$239,"III юн","б/р")))))))))))</f>
        <v>II</v>
      </c>
      <c r="J235" s="59" t="str">
        <f>IF(ISBLANK(H235)," ",IF(ISTEXT(H235)," ",IF(H235&lt;=Нормативы!$H$231,"МСМК",IF(H235&lt;=Нормативы!$H$232,"МС",IF(H235&lt;=Нормативы!$H$233,"КМС",IF(H235&lt;=Нормативы!$H$234,"I",IF(H235&lt;=Нормативы!$H$235,"II",IF(H235&lt;=Нормативы!$H$236,"III",IF(H235&lt;=Нормативы!$H$237,"I юн",IF(H235&lt;=Нормативы!$H$238,"II юн",IF(H235&lt;=Нормативы!$H$239,"III юн","б/р")))))))))))</f>
        <v>II</v>
      </c>
      <c r="K235" s="75"/>
      <c r="L235" s="74">
        <f t="shared" si="183"/>
        <v>42</v>
      </c>
      <c r="M235" s="59" t="str">
        <f>IF(ISBLANK(L235)," ",IF(ISTEXT(L235)," ",IF(L235&lt;=Нормативы!$H$231,"КМС",IF(L235&lt;=Нормативы!$H$232,"КМС",IF(L235&lt;=Нормативы!$L$233,"КМС",IF(L235&lt;=Нормативы!$L$234,"I",IF(L235&lt;=Нормативы!$L$235,"II",IF(L235&lt;=Нормативы!$L$236,"III",IF(L235&lt;=Нормативы!$L$237,"I юн",IF(L235&lt;=Нормативы!$L$238,"II юн",IF(L235&lt;=Нормативы!$L$239,"III юн","б/р")))))))))))</f>
        <v>II</v>
      </c>
      <c r="N235" s="59" t="str">
        <f>IF(ISBLANK(L235)," ",IF(ISTEXT(L235)," ",IF(L235&lt;=Нормативы!$H$231,"КМС",IF(L235&lt;=Нормативы!$H$232,"КМС",IF(L235&lt;=Нормативы!$L$233,"КМС",IF(L235&lt;=Нормативы!$L$234,"I",IF(L235&lt;=Нормативы!$L$235,"II",IF(L235&lt;=Нормативы!$L$236,"III",IF(L235&lt;=Нормативы!$L$237,"I юн",IF(L235&lt;=Нормативы!$L$238,"II юн",IF(L235&lt;=Нормативы!$L$239,"III юн","б/р")))))))))))</f>
        <v>II</v>
      </c>
      <c r="Q235" s="59" t="str">
        <f t="shared" ref="Q235" si="186">IF(ISBLANK(P235)," ",IF(ISTEXT(P235)," ",IF(P235&lt;=$H$231,"МСМК",IF(P235&lt;=$H$232,"МС",IF(P235&lt;=$H$233,"КМС",IF(P235&lt;=$H$234,"I",IF(P235&lt;=$H$235,"II",IF(P235&lt;=$H$236,"III",IF(P235&lt;=$H$237,"I юн",IF(P235&lt;=$H$238,"II юн",IF(P235&lt;=$H$239,"III юн","б/р")))))))))))</f>
        <v xml:space="preserve"> </v>
      </c>
    </row>
    <row r="236" spans="3:33" x14ac:dyDescent="0.3">
      <c r="C236" s="86"/>
      <c r="D236" s="43"/>
      <c r="E236" s="43"/>
      <c r="F236" s="43"/>
      <c r="G236" s="43"/>
      <c r="H236" s="71">
        <v>45.900000000000006</v>
      </c>
      <c r="I236" s="59" t="str">
        <f>IF(ISBLANK(H236)," ",IF(ISTEXT(H236)," ",IF(H236&lt;=Нормативы!$H$231,"МСМК",IF(H236&lt;=Нормативы!$H$232,"МС",IF(H236&lt;=Нормативы!$H$233,"КМС",IF(H236&lt;=Нормативы!$H$234,"I",IF(H236&lt;=Нормативы!$H$235,"II",IF(H236&lt;=Нормативы!$H$236,"III",IF(H236&lt;=Нормативы!$H$237,"I юн",IF(H236&lt;=Нормативы!$H$238,"II юн",IF(H236&lt;=Нормативы!$H$239,"III юн","б/р")))))))))))</f>
        <v>III</v>
      </c>
      <c r="J236" s="59" t="str">
        <f>IF(ISBLANK(H236)," ",IF(ISTEXT(H236)," ",IF(H236&lt;=Нормативы!$H$231,"МСМК",IF(H236&lt;=Нормативы!$H$232,"МС",IF(H236&lt;=Нормативы!$H$233,"КМС",IF(H236&lt;=Нормативы!$H$234,"I",IF(H236&lt;=Нормативы!$H$235,"II",IF(H236&lt;=Нормативы!$H$236,"III",IF(H236&lt;=Нормативы!$H$237,"I юн",IF(H236&lt;=Нормативы!$H$238,"II юн",IF(H236&lt;=Нормативы!$H$239,"III юн","б/р")))))))))))</f>
        <v>III</v>
      </c>
      <c r="K236" s="75"/>
      <c r="L236" s="74">
        <f t="shared" si="183"/>
        <v>45.7</v>
      </c>
      <c r="M236" s="59" t="str">
        <f>IF(ISBLANK(L236)," ",IF(ISTEXT(L236)," ",IF(L236&lt;=Нормативы!$H$231,"КМС",IF(L236&lt;=Нормативы!$H$232,"КМС",IF(L236&lt;=Нормативы!$L$233,"КМС",IF(L236&lt;=Нормативы!$L$234,"I",IF(L236&lt;=Нормативы!$L$235,"II",IF(L236&lt;=Нормативы!$L$236,"III",IF(L236&lt;=Нормативы!$L$237,"I юн",IF(L236&lt;=Нормативы!$L$238,"II юн",IF(L236&lt;=Нормативы!$L$239,"III юн","б/р")))))))))))</f>
        <v>III</v>
      </c>
      <c r="N236" s="59" t="str">
        <f>IF(ISBLANK(L236)," ",IF(ISTEXT(L236)," ",IF(L236&lt;=Нормативы!$H$231,"КМС",IF(L236&lt;=Нормативы!$H$232,"КМС",IF(L236&lt;=Нормативы!$L$233,"КМС",IF(L236&lt;=Нормативы!$L$234,"I",IF(L236&lt;=Нормативы!$L$235,"II",IF(L236&lt;=Нормативы!$L$236,"III",IF(L236&lt;=Нормативы!$L$237,"I юн",IF(L236&lt;=Нормативы!$L$238,"II юн",IF(L236&lt;=Нормативы!$L$239,"III юн","б/р")))))))))))</f>
        <v>III</v>
      </c>
      <c r="Q236" s="59" t="str">
        <f t="shared" ref="Q236" si="187">IF(ISBLANK(P236)," ",IF(ISTEXT(P236)," ",IF(P236&lt;=$H$231,"МСМК",IF(P236&lt;=$H$232,"МС",IF(P236&lt;=$H$233,"КМС",IF(P236&lt;=$H$234,"I",IF(P236&lt;=$H$235,"II",IF(P236&lt;=$H$236,"III",IF(P236&lt;=$H$237,"I юн",IF(P236&lt;=$H$238,"II юн",IF(P236&lt;=$H$239,"III юн","б/р")))))))))))</f>
        <v xml:space="preserve"> </v>
      </c>
    </row>
    <row r="237" spans="3:33" x14ac:dyDescent="0.3">
      <c r="C237" s="86"/>
      <c r="D237" s="43"/>
      <c r="E237" s="43"/>
      <c r="F237" s="43"/>
      <c r="G237" s="43"/>
      <c r="H237" s="71">
        <v>50.2</v>
      </c>
      <c r="I237" s="59" t="str">
        <f>IF(ISBLANK(H237)," ",IF(ISTEXT(H237)," ",IF(H237&lt;=Нормативы!$H$231,"МСМК",IF(H237&lt;=Нормативы!$H$232,"МС",IF(H237&lt;=Нормативы!$H$233,"КМС",IF(H237&lt;=Нормативы!$H$234,"I",IF(H237&lt;=Нормативы!$H$235,"II",IF(H237&lt;=Нормативы!$H$236,"III",IF(H237&lt;=Нормативы!$H$237,"I юн",IF(H237&lt;=Нормативы!$H$238,"II юн",IF(H237&lt;=Нормативы!$H$239,"III юн","б/р")))))))))))</f>
        <v>I юн</v>
      </c>
      <c r="J237" s="59" t="str">
        <f>IF(ISBLANK(H237)," ",IF(ISTEXT(H237)," ",IF(H237&lt;=Нормативы!$H$231,"МСМК",IF(H237&lt;=Нормативы!$H$232,"МС",IF(H237&lt;=Нормативы!$H$233,"КМС",IF(H237&lt;=Нормативы!$H$234,"I",IF(H237&lt;=Нормативы!$H$235,"II",IF(H237&lt;=Нормативы!$H$236,"III",IF(H237&lt;=Нормативы!$H$237,"I юн",IF(H237&lt;=Нормативы!$H$238,"II юн",IF(H237&lt;=Нормативы!$H$239,"III юн","б/р")))))))))))</f>
        <v>I юн</v>
      </c>
      <c r="K237" s="75"/>
      <c r="L237" s="74">
        <f t="shared" si="183"/>
        <v>50</v>
      </c>
      <c r="M237" s="59" t="str">
        <f>IF(ISBLANK(L237)," ",IF(ISTEXT(L237)," ",IF(L237&lt;=Нормативы!$H$231,"КМС",IF(L237&lt;=Нормативы!$H$232,"КМС",IF(L237&lt;=Нормативы!$L$233,"КМС",IF(L237&lt;=Нормативы!$L$234,"I",IF(L237&lt;=Нормативы!$L$235,"II",IF(L237&lt;=Нормативы!$L$236,"III",IF(L237&lt;=Нормативы!$L$237,"I юн",IF(L237&lt;=Нормативы!$L$238,"II юн",IF(L237&lt;=Нормативы!$L$239,"III юн","б/р")))))))))))</f>
        <v>I юн</v>
      </c>
      <c r="N237" s="59" t="str">
        <f>IF(ISBLANK(L237)," ",IF(ISTEXT(L237)," ",IF(L237&lt;=Нормативы!$H$231,"КМС",IF(L237&lt;=Нормативы!$H$232,"КМС",IF(L237&lt;=Нормативы!$L$233,"КМС",IF(L237&lt;=Нормативы!$L$234,"I",IF(L237&lt;=Нормативы!$L$235,"II",IF(L237&lt;=Нормативы!$L$236,"III",IF(L237&lt;=Нормативы!$L$237,"I юн",IF(L237&lt;=Нормативы!$L$238,"II юн",IF(L237&lt;=Нормативы!$L$239,"III юн","б/р")))))))))))</f>
        <v>I юн</v>
      </c>
      <c r="Q237" s="59" t="str">
        <f t="shared" ref="Q237" si="188">IF(ISBLANK(P237)," ",IF(ISTEXT(P237)," ",IF(P237&lt;=$H$231,"МСМК",IF(P237&lt;=$H$232,"МС",IF(P237&lt;=$H$233,"КМС",IF(P237&lt;=$H$234,"I",IF(P237&lt;=$H$235,"II",IF(P237&lt;=$H$236,"III",IF(P237&lt;=$H$237,"I юн",IF(P237&lt;=$H$238,"II юн",IF(P237&lt;=$H$239,"III юн","б/р")))))))))))</f>
        <v xml:space="preserve"> </v>
      </c>
    </row>
    <row r="238" spans="3:33" x14ac:dyDescent="0.3">
      <c r="C238" s="86"/>
      <c r="D238" s="43"/>
      <c r="E238" s="43"/>
      <c r="F238" s="43"/>
      <c r="G238" s="43"/>
      <c r="H238" s="71">
        <v>54.900000000000006</v>
      </c>
      <c r="I238" s="59" t="str">
        <f>IF(ISBLANK(H238)," ",IF(ISTEXT(H238)," ",IF(H238&lt;=Нормативы!$H$231,"МСМК",IF(H238&lt;=Нормативы!$H$232,"МС",IF(H238&lt;=Нормативы!$H$233,"КМС",IF(H238&lt;=Нормативы!$H$234,"I",IF(H238&lt;=Нормативы!$H$235,"II",IF(H238&lt;=Нормативы!$H$236,"III",IF(H238&lt;=Нормативы!$H$237,"I юн",IF(H238&lt;=Нормативы!$H$238,"II юн",IF(H238&lt;=Нормативы!$H$239,"III юн","б/р")))))))))))</f>
        <v>II юн</v>
      </c>
      <c r="J238" s="59" t="str">
        <f>IF(ISBLANK(H238)," ",IF(ISTEXT(H238)," ",IF(H238&lt;=Нормативы!$H$231,"МСМК",IF(H238&lt;=Нормативы!$H$232,"МС",IF(H238&lt;=Нормативы!$H$233,"КМС",IF(H238&lt;=Нормативы!$H$234,"I",IF(H238&lt;=Нормативы!$H$235,"II",IF(H238&lt;=Нормативы!$H$236,"III",IF(H238&lt;=Нормативы!$H$237,"I юн",IF(H238&lt;=Нормативы!$H$238,"II юн",IF(H238&lt;=Нормативы!$H$239,"III юн","б/р")))))))))))</f>
        <v>II юн</v>
      </c>
      <c r="K238" s="75"/>
      <c r="L238" s="74">
        <f t="shared" si="183"/>
        <v>54.7</v>
      </c>
      <c r="M238" s="59" t="str">
        <f>IF(ISBLANK(L238)," ",IF(ISTEXT(L238)," ",IF(L238&lt;=Нормативы!$H$231,"КМС",IF(L238&lt;=Нормативы!$H$232,"КМС",IF(L238&lt;=Нормативы!$L$233,"КМС",IF(L238&lt;=Нормативы!$L$234,"I",IF(L238&lt;=Нормативы!$L$235,"II",IF(L238&lt;=Нормативы!$L$236,"III",IF(L238&lt;=Нормативы!$L$237,"I юн",IF(L238&lt;=Нормативы!$L$238,"II юн",IF(L238&lt;=Нормативы!$L$239,"III юн","б/р")))))))))))</f>
        <v>II юн</v>
      </c>
      <c r="N238" s="59" t="str">
        <f>IF(ISBLANK(L238)," ",IF(ISTEXT(L238)," ",IF(L238&lt;=Нормативы!$H$231,"КМС",IF(L238&lt;=Нормативы!$H$232,"КМС",IF(L238&lt;=Нормативы!$L$233,"КМС",IF(L238&lt;=Нормативы!$L$234,"I",IF(L238&lt;=Нормативы!$L$235,"II",IF(L238&lt;=Нормативы!$L$236,"III",IF(L238&lt;=Нормативы!$L$237,"I юн",IF(L238&lt;=Нормативы!$L$238,"II юн",IF(L238&lt;=Нормативы!$L$239,"III юн","б/р")))))))))))</f>
        <v>II юн</v>
      </c>
      <c r="Q238" s="59" t="str">
        <f t="shared" ref="Q238" si="189">IF(ISBLANK(P238)," ",IF(ISTEXT(P238)," ",IF(P238&lt;=$H$231,"МСМК",IF(P238&lt;=$H$232,"МС",IF(P238&lt;=$H$233,"КМС",IF(P238&lt;=$H$234,"I",IF(P238&lt;=$H$235,"II",IF(P238&lt;=$H$236,"III",IF(P238&lt;=$H$237,"I юн",IF(P238&lt;=$H$238,"II юн",IF(P238&lt;=$H$239,"III юн","б/р")))))))))))</f>
        <v xml:space="preserve"> </v>
      </c>
    </row>
    <row r="239" spans="3:33" x14ac:dyDescent="0.3">
      <c r="C239" s="86"/>
      <c r="D239" s="43"/>
      <c r="E239" s="43"/>
      <c r="F239" s="43"/>
      <c r="G239" s="43"/>
      <c r="H239" s="71">
        <v>59.2</v>
      </c>
      <c r="I239" s="59" t="str">
        <f>IF(ISBLANK(H239)," ",IF(ISTEXT(H239)," ",IF(H239&lt;=Нормативы!$H$231,"МСМК",IF(H239&lt;=Нормативы!$H$232,"МС",IF(H239&lt;=Нормативы!$H$233,"КМС",IF(H239&lt;=Нормативы!$H$234,"I",IF(H239&lt;=Нормативы!$H$235,"II",IF(H239&lt;=Нормативы!$H$236,"III",IF(H239&lt;=Нормативы!$H$237,"I юн",IF(H239&lt;=Нормативы!$H$238,"II юн",IF(H239&lt;=Нормативы!$H$239,"III юн","б/р")))))))))))</f>
        <v>III юн</v>
      </c>
      <c r="J239" s="59" t="str">
        <f>IF(ISBLANK(H239)," ",IF(ISTEXT(H239)," ",IF(H239&lt;=Нормативы!$H$231,"МСМК",IF(H239&lt;=Нормативы!$H$232,"МС",IF(H239&lt;=Нормативы!$H$233,"КМС",IF(H239&lt;=Нормативы!$H$234,"I",IF(H239&lt;=Нормативы!$H$235,"II",IF(H239&lt;=Нормативы!$H$236,"III",IF(H239&lt;=Нормативы!$H$237,"I юн",IF(H239&lt;=Нормативы!$H$238,"II юн",IF(H239&lt;=Нормативы!$H$239,"III юн","б/р")))))))))))</f>
        <v>III юн</v>
      </c>
      <c r="K239" s="75"/>
      <c r="L239" s="74">
        <f t="shared" si="183"/>
        <v>59</v>
      </c>
      <c r="M239" s="59" t="str">
        <f>IF(ISBLANK(L239)," ",IF(ISTEXT(L239)," ",IF(L239&lt;=Нормативы!$H$231,"КМС",IF(L239&lt;=Нормативы!$H$232,"КМС",IF(L239&lt;=Нормативы!$L$233,"КМС",IF(L239&lt;=Нормативы!$L$234,"I",IF(L239&lt;=Нормативы!$L$235,"II",IF(L239&lt;=Нормативы!$L$236,"III",IF(L239&lt;=Нормативы!$L$237,"I юн",IF(L239&lt;=Нормативы!$L$238,"II юн",IF(L239&lt;=Нормативы!$L$239,"III юн","б/р")))))))))))</f>
        <v>III юн</v>
      </c>
      <c r="N239" s="59" t="str">
        <f>IF(ISBLANK(L239)," ",IF(ISTEXT(L239)," ",IF(L239&lt;=Нормативы!$H$231,"КМС",IF(L239&lt;=Нормативы!$H$232,"КМС",IF(L239&lt;=Нормативы!$L$233,"КМС",IF(L239&lt;=Нормативы!$L$234,"I",IF(L239&lt;=Нормативы!$L$235,"II",IF(L239&lt;=Нормативы!$L$236,"III",IF(L239&lt;=Нормативы!$L$237,"I юн",IF(L239&lt;=Нормативы!$L$238,"II юн",IF(L239&lt;=Нормативы!$L$239,"III юн","б/р")))))))))))</f>
        <v>III юн</v>
      </c>
      <c r="Q239" s="59" t="str">
        <f t="shared" ref="Q239" si="190">IF(ISBLANK(P239)," ",IF(ISTEXT(P239)," ",IF(P239&lt;=$H$231,"МСМК",IF(P239&lt;=$H$232,"МС",IF(P239&lt;=$H$233,"КМС",IF(P239&lt;=$H$234,"I",IF(P239&lt;=$H$235,"II",IF(P239&lt;=$H$236,"III",IF(P239&lt;=$H$237,"I юн",IF(P239&lt;=$H$238,"II юн",IF(P239&lt;=$H$239,"III юн","б/р")))))))))))</f>
        <v xml:space="preserve"> </v>
      </c>
    </row>
    <row r="240" spans="3:33" x14ac:dyDescent="0.3">
      <c r="C240" s="86"/>
      <c r="D240" s="43"/>
      <c r="E240" s="43"/>
      <c r="F240" s="43"/>
      <c r="G240" s="43"/>
      <c r="H240" s="71"/>
      <c r="I240" s="43"/>
      <c r="J240" s="43"/>
      <c r="K240" s="75"/>
      <c r="L240" s="43"/>
      <c r="M240" s="43"/>
      <c r="N240" s="43"/>
      <c r="Q240" s="43"/>
    </row>
    <row r="241" spans="3:27" hidden="1" x14ac:dyDescent="0.3">
      <c r="C241" s="68" t="s">
        <v>166</v>
      </c>
      <c r="D241" s="69"/>
      <c r="E241" s="69"/>
      <c r="F241" s="68"/>
      <c r="G241" s="68"/>
      <c r="H241" s="70"/>
      <c r="I241" s="43"/>
      <c r="J241" s="43"/>
      <c r="K241" s="84"/>
      <c r="L241" s="43"/>
      <c r="M241" s="43"/>
      <c r="N241" s="43"/>
      <c r="Q241" s="43"/>
    </row>
    <row r="242" spans="3:27" hidden="1" x14ac:dyDescent="0.3">
      <c r="C242" s="86"/>
      <c r="D242" s="36"/>
      <c r="E242" s="36"/>
      <c r="F242" s="86"/>
      <c r="G242" s="86"/>
      <c r="H242" s="71">
        <v>0</v>
      </c>
      <c r="I242" s="59" t="str">
        <f t="shared" ref="I242:I247" si="191">IF(ISBLANK(H242)," ",IF(ISTEXT(H242)," ",IF(H242&lt;=304.6,"МСМК",IF(H242&lt;=314.4,"МС",IF(H242&lt;=323,"КМС",IF(H242&lt;=338,"I",IF(H242&lt;=356,"II",IF(H242&lt;=415,"III","б/р"))))))))</f>
        <v>МСМК</v>
      </c>
      <c r="J242" s="59" t="str">
        <f t="shared" ref="J242:J247" si="192">IF(ISBLANK(H242)," ",IF(ISTEXT(H242)," ",IF(H242&lt;=304.6,"МСМК",IF(H242&lt;=314.4,"МС",IF(H242&lt;=323,"КМС",IF(H242&lt;=338,"I",IF(H242&lt;=356,"II",IF(H242&lt;=415,"III","б/р"))))))))</f>
        <v>МСМК</v>
      </c>
      <c r="K242" s="75"/>
      <c r="L242" s="71">
        <v>0</v>
      </c>
      <c r="M242" s="59" t="str">
        <f t="shared" ref="M242:M247" si="193">IF(ISBLANK(L242)," ",IF(ISTEXT(L242)," ",IF(L242&lt;=304.6,"МСМК",IF(L242&lt;=314.4,"МС",IF(L242&lt;=323,"КМС",IF(L242&lt;=338,"I",IF(L242&lt;=356,"II",IF(L242&lt;=415,"III","б/р"))))))))</f>
        <v>МСМК</v>
      </c>
      <c r="N242" s="59" t="str">
        <f t="shared" ref="N242:N247" si="194">IF(ISBLANK(L242)," ",IF(ISTEXT(L242)," ",IF(L242&lt;=304.6,"МСМК",IF(L242&lt;=314.4,"МС",IF(L242&lt;=323,"КМС",IF(L242&lt;=338,"I",IF(L242&lt;=356,"II",IF(L242&lt;=415,"III","б/р"))))))))</f>
        <v>МСМК</v>
      </c>
      <c r="Q242" s="59" t="str">
        <f t="shared" ref="Q242:Q247" si="195">IF(ISBLANK(P242)," ",IF(ISTEXT(P242)," ",IF(P242&lt;=304.6,"МСМК",IF(P242&lt;=314.4,"МС",IF(P242&lt;=323,"КМС",IF(P242&lt;=338,"I",IF(P242&lt;=356,"II",IF(P242&lt;=415,"III","б/р"))))))))</f>
        <v xml:space="preserve"> </v>
      </c>
    </row>
    <row r="243" spans="3:27" hidden="1" x14ac:dyDescent="0.3">
      <c r="C243" s="86"/>
      <c r="D243" s="36"/>
      <c r="E243" s="36"/>
      <c r="F243" s="86"/>
      <c r="G243" s="86"/>
      <c r="H243" s="71">
        <v>0</v>
      </c>
      <c r="I243" s="59" t="str">
        <f t="shared" si="191"/>
        <v>МСМК</v>
      </c>
      <c r="J243" s="59" t="str">
        <f t="shared" si="192"/>
        <v>МСМК</v>
      </c>
      <c r="K243" s="75"/>
      <c r="L243" s="71">
        <v>0</v>
      </c>
      <c r="M243" s="59" t="str">
        <f t="shared" si="193"/>
        <v>МСМК</v>
      </c>
      <c r="N243" s="59" t="str">
        <f t="shared" si="194"/>
        <v>МСМК</v>
      </c>
      <c r="Q243" s="59" t="str">
        <f t="shared" si="195"/>
        <v xml:space="preserve"> </v>
      </c>
    </row>
    <row r="244" spans="3:27" hidden="1" x14ac:dyDescent="0.3">
      <c r="C244" s="86"/>
      <c r="D244" s="36"/>
      <c r="E244" s="36"/>
      <c r="F244" s="86"/>
      <c r="G244" s="86"/>
      <c r="H244" s="71">
        <v>0</v>
      </c>
      <c r="I244" s="59" t="str">
        <f t="shared" si="191"/>
        <v>МСМК</v>
      </c>
      <c r="J244" s="59" t="str">
        <f t="shared" si="192"/>
        <v>МСМК</v>
      </c>
      <c r="K244" s="75"/>
      <c r="L244" s="71">
        <v>0</v>
      </c>
      <c r="M244" s="59" t="str">
        <f t="shared" si="193"/>
        <v>МСМК</v>
      </c>
      <c r="N244" s="59" t="str">
        <f t="shared" si="194"/>
        <v>МСМК</v>
      </c>
      <c r="Q244" s="59" t="str">
        <f t="shared" si="195"/>
        <v xml:space="preserve"> </v>
      </c>
    </row>
    <row r="245" spans="3:27" hidden="1" x14ac:dyDescent="0.3">
      <c r="C245" s="86"/>
      <c r="D245" s="36"/>
      <c r="E245" s="36"/>
      <c r="F245" s="86"/>
      <c r="G245" s="86"/>
      <c r="H245" s="71">
        <v>0</v>
      </c>
      <c r="I245" s="59" t="str">
        <f t="shared" si="191"/>
        <v>МСМК</v>
      </c>
      <c r="J245" s="59" t="str">
        <f t="shared" si="192"/>
        <v>МСМК</v>
      </c>
      <c r="K245" s="75"/>
      <c r="L245" s="71">
        <v>0</v>
      </c>
      <c r="M245" s="59" t="str">
        <f t="shared" si="193"/>
        <v>МСМК</v>
      </c>
      <c r="N245" s="59" t="str">
        <f t="shared" si="194"/>
        <v>МСМК</v>
      </c>
      <c r="Q245" s="59" t="str">
        <f t="shared" si="195"/>
        <v xml:space="preserve"> </v>
      </c>
    </row>
    <row r="246" spans="3:27" hidden="1" x14ac:dyDescent="0.3">
      <c r="C246" s="86"/>
      <c r="D246" s="36"/>
      <c r="E246" s="36"/>
      <c r="F246" s="86"/>
      <c r="G246" s="86"/>
      <c r="H246" s="71">
        <v>0</v>
      </c>
      <c r="I246" s="59" t="str">
        <f t="shared" si="191"/>
        <v>МСМК</v>
      </c>
      <c r="J246" s="59" t="str">
        <f t="shared" si="192"/>
        <v>МСМК</v>
      </c>
      <c r="K246" s="75"/>
      <c r="L246" s="71">
        <v>0</v>
      </c>
      <c r="M246" s="59" t="str">
        <f t="shared" si="193"/>
        <v>МСМК</v>
      </c>
      <c r="N246" s="59" t="str">
        <f t="shared" si="194"/>
        <v>МСМК</v>
      </c>
      <c r="Q246" s="59" t="str">
        <f t="shared" si="195"/>
        <v xml:space="preserve"> </v>
      </c>
    </row>
    <row r="247" spans="3:27" hidden="1" x14ac:dyDescent="0.3">
      <c r="C247" s="86"/>
      <c r="D247" s="36"/>
      <c r="E247" s="36"/>
      <c r="F247" s="86"/>
      <c r="G247" s="86"/>
      <c r="H247" s="71">
        <v>0</v>
      </c>
      <c r="I247" s="59" t="str">
        <f t="shared" si="191"/>
        <v>МСМК</v>
      </c>
      <c r="J247" s="59" t="str">
        <f t="shared" si="192"/>
        <v>МСМК</v>
      </c>
      <c r="K247" s="75"/>
      <c r="L247" s="71">
        <v>0</v>
      </c>
      <c r="M247" s="59" t="str">
        <f t="shared" si="193"/>
        <v>МСМК</v>
      </c>
      <c r="N247" s="59" t="str">
        <f t="shared" si="194"/>
        <v>МСМК</v>
      </c>
      <c r="Q247" s="59" t="str">
        <f t="shared" si="195"/>
        <v xml:space="preserve"> </v>
      </c>
    </row>
    <row r="248" spans="3:27" hidden="1" x14ac:dyDescent="0.3">
      <c r="C248" s="86"/>
      <c r="D248" s="36"/>
      <c r="E248" s="36"/>
      <c r="F248" s="86"/>
      <c r="G248" s="86"/>
      <c r="H248" s="71"/>
      <c r="I248" s="43"/>
      <c r="J248" s="43"/>
      <c r="K248" s="84"/>
      <c r="L248" s="43"/>
      <c r="M248" s="43"/>
      <c r="N248" s="43"/>
      <c r="P248" s="82"/>
      <c r="Q248" s="43"/>
      <c r="R248" s="82"/>
      <c r="S248" s="82"/>
      <c r="T248" s="91"/>
      <c r="U248" s="91"/>
      <c r="V248" s="91"/>
      <c r="W248" s="91"/>
      <c r="X248" s="91"/>
      <c r="Y248" s="91"/>
      <c r="Z248" s="91"/>
      <c r="AA248" s="91"/>
    </row>
    <row r="249" spans="3:27" hidden="1" x14ac:dyDescent="0.3">
      <c r="C249" s="68" t="s">
        <v>167</v>
      </c>
      <c r="D249" s="43"/>
      <c r="E249" s="43"/>
      <c r="F249" s="43"/>
      <c r="G249" s="43"/>
      <c r="H249" s="71"/>
      <c r="I249" s="43"/>
      <c r="J249" s="43"/>
      <c r="K249" s="84"/>
      <c r="L249" s="43"/>
      <c r="M249" s="43"/>
      <c r="N249" s="43"/>
      <c r="P249" s="83"/>
      <c r="Q249" s="4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</row>
    <row r="250" spans="3:27" hidden="1" x14ac:dyDescent="0.3">
      <c r="C250" s="43"/>
      <c r="D250" s="43"/>
      <c r="E250" s="43"/>
      <c r="F250" s="43"/>
      <c r="G250" s="43"/>
      <c r="H250" s="71">
        <v>0</v>
      </c>
      <c r="I250" s="59" t="str">
        <f t="shared" ref="I250:I255" si="196">IF(ISBLANK(H250)," ",IF(ISTEXT(H250)," ",IF(H250&lt;=250.2,"МСМК",IF(H250&lt;=259.2,"МС",IF(H250&lt;=307.7,"КМС",IF(H250&lt;=321,"I",IF(H250&lt;=338,"II",IF(H250&lt;=356.5,"III","б/р"))))))))</f>
        <v>МСМК</v>
      </c>
      <c r="J250" s="59" t="str">
        <f t="shared" ref="J250:J255" si="197">IF(ISBLANK(H250)," ",IF(ISTEXT(H250)," ",IF(H250&lt;=250.2,"МСМК",IF(H250&lt;=259.2,"МС",IF(H250&lt;=307.7,"КМС",IF(H250&lt;=321,"I",IF(H250&lt;=338,"II",IF(H250&lt;=356.5,"III","б/р"))))))))</f>
        <v>МСМК</v>
      </c>
      <c r="K250" s="75"/>
      <c r="L250" s="71">
        <v>0</v>
      </c>
      <c r="M250" s="59" t="str">
        <f t="shared" ref="M250:M255" si="198">IF(ISBLANK(L250)," ",IF(ISTEXT(L250)," ",IF(L250&lt;=250.2,"МСМК",IF(L250&lt;=259.2,"МС",IF(L250&lt;=307.7,"КМС",IF(L250&lt;=321,"I",IF(L250&lt;=338,"II",IF(L250&lt;=356.5,"III","б/р"))))))))</f>
        <v>МСМК</v>
      </c>
      <c r="N250" s="59" t="str">
        <f t="shared" ref="N250:N255" si="199">IF(ISBLANK(L250)," ",IF(ISTEXT(L250)," ",IF(L250&lt;=250.2,"МСМК",IF(L250&lt;=259.2,"МС",IF(L250&lt;=307.7,"КМС",IF(L250&lt;=321,"I",IF(L250&lt;=338,"II",IF(L250&lt;=356.5,"III","б/р"))))))))</f>
        <v>МСМК</v>
      </c>
      <c r="Q250" s="59" t="str">
        <f t="shared" ref="Q250:Q255" si="200">IF(ISBLANK(P250)," ",IF(ISTEXT(P250)," ",IF(P250&lt;=250.2,"МСМК",IF(P250&lt;=259.2,"МС",IF(P250&lt;=307.7,"КМС",IF(P250&lt;=321,"I",IF(P250&lt;=338,"II",IF(P250&lt;=356.5,"III","б/р"))))))))</f>
        <v xml:space="preserve"> </v>
      </c>
    </row>
    <row r="251" spans="3:27" hidden="1" x14ac:dyDescent="0.3">
      <c r="C251" s="43"/>
      <c r="D251" s="43"/>
      <c r="E251" s="43"/>
      <c r="F251" s="43"/>
      <c r="G251" s="43"/>
      <c r="H251" s="71">
        <v>0</v>
      </c>
      <c r="I251" s="59" t="str">
        <f t="shared" si="196"/>
        <v>МСМК</v>
      </c>
      <c r="J251" s="59" t="str">
        <f t="shared" si="197"/>
        <v>МСМК</v>
      </c>
      <c r="K251" s="75"/>
      <c r="L251" s="71">
        <v>0</v>
      </c>
      <c r="M251" s="59" t="str">
        <f t="shared" si="198"/>
        <v>МСМК</v>
      </c>
      <c r="N251" s="59" t="str">
        <f t="shared" si="199"/>
        <v>МСМК</v>
      </c>
      <c r="Q251" s="59" t="str">
        <f t="shared" si="200"/>
        <v xml:space="preserve"> </v>
      </c>
    </row>
    <row r="252" spans="3:27" hidden="1" x14ac:dyDescent="0.3">
      <c r="C252" s="43"/>
      <c r="D252" s="43"/>
      <c r="E252" s="43"/>
      <c r="F252" s="43"/>
      <c r="G252" s="43"/>
      <c r="H252" s="71">
        <v>0</v>
      </c>
      <c r="I252" s="59" t="str">
        <f t="shared" si="196"/>
        <v>МСМК</v>
      </c>
      <c r="J252" s="59" t="str">
        <f t="shared" si="197"/>
        <v>МСМК</v>
      </c>
      <c r="K252" s="75"/>
      <c r="L252" s="71">
        <v>0</v>
      </c>
      <c r="M252" s="59" t="str">
        <f t="shared" si="198"/>
        <v>МСМК</v>
      </c>
      <c r="N252" s="59" t="str">
        <f t="shared" si="199"/>
        <v>МСМК</v>
      </c>
      <c r="Q252" s="59" t="str">
        <f t="shared" si="200"/>
        <v xml:space="preserve"> </v>
      </c>
    </row>
    <row r="253" spans="3:27" hidden="1" x14ac:dyDescent="0.3">
      <c r="C253" s="43"/>
      <c r="D253" s="43"/>
      <c r="E253" s="43"/>
      <c r="F253" s="43"/>
      <c r="G253" s="43"/>
      <c r="H253" s="71">
        <v>0</v>
      </c>
      <c r="I253" s="59" t="str">
        <f t="shared" si="196"/>
        <v>МСМК</v>
      </c>
      <c r="J253" s="59" t="str">
        <f t="shared" si="197"/>
        <v>МСМК</v>
      </c>
      <c r="K253" s="75"/>
      <c r="L253" s="71">
        <v>0</v>
      </c>
      <c r="M253" s="59" t="str">
        <f t="shared" si="198"/>
        <v>МСМК</v>
      </c>
      <c r="N253" s="59" t="str">
        <f t="shared" si="199"/>
        <v>МСМК</v>
      </c>
      <c r="Q253" s="59" t="str">
        <f t="shared" si="200"/>
        <v xml:space="preserve"> </v>
      </c>
    </row>
    <row r="254" spans="3:27" hidden="1" x14ac:dyDescent="0.3">
      <c r="C254" s="43"/>
      <c r="D254" s="43"/>
      <c r="E254" s="43"/>
      <c r="F254" s="43"/>
      <c r="G254" s="43"/>
      <c r="H254" s="71">
        <v>0</v>
      </c>
      <c r="I254" s="59" t="str">
        <f t="shared" si="196"/>
        <v>МСМК</v>
      </c>
      <c r="J254" s="59" t="str">
        <f t="shared" si="197"/>
        <v>МСМК</v>
      </c>
      <c r="K254" s="75"/>
      <c r="L254" s="71">
        <v>0</v>
      </c>
      <c r="M254" s="59" t="str">
        <f t="shared" si="198"/>
        <v>МСМК</v>
      </c>
      <c r="N254" s="59" t="str">
        <f t="shared" si="199"/>
        <v>МСМК</v>
      </c>
      <c r="Q254" s="59" t="str">
        <f t="shared" si="200"/>
        <v xml:space="preserve"> </v>
      </c>
    </row>
    <row r="255" spans="3:27" hidden="1" x14ac:dyDescent="0.3">
      <c r="C255" s="43"/>
      <c r="D255" s="43"/>
      <c r="E255" s="43"/>
      <c r="F255" s="43"/>
      <c r="G255" s="43"/>
      <c r="H255" s="71">
        <v>0</v>
      </c>
      <c r="I255" s="59" t="str">
        <f t="shared" si="196"/>
        <v>МСМК</v>
      </c>
      <c r="J255" s="59" t="str">
        <f t="shared" si="197"/>
        <v>МСМК</v>
      </c>
      <c r="K255" s="75"/>
      <c r="L255" s="71">
        <v>0</v>
      </c>
      <c r="M255" s="59" t="str">
        <f t="shared" si="198"/>
        <v>МСМК</v>
      </c>
      <c r="N255" s="59" t="str">
        <f t="shared" si="199"/>
        <v>МСМК</v>
      </c>
      <c r="Q255" s="59" t="str">
        <f t="shared" si="200"/>
        <v xml:space="preserve"> </v>
      </c>
    </row>
    <row r="256" spans="3:27" hidden="1" x14ac:dyDescent="0.3">
      <c r="C256" s="43"/>
      <c r="D256" s="43"/>
      <c r="E256" s="43"/>
      <c r="F256" s="43"/>
      <c r="G256" s="43"/>
      <c r="H256" s="71"/>
      <c r="I256" s="43"/>
      <c r="J256" s="43"/>
      <c r="K256" s="75"/>
      <c r="L256" s="43"/>
      <c r="M256" s="43"/>
      <c r="N256" s="43"/>
      <c r="Q256" s="43"/>
    </row>
    <row r="257" spans="3:27" x14ac:dyDescent="0.3">
      <c r="C257" s="68" t="s">
        <v>54</v>
      </c>
      <c r="D257" s="69"/>
      <c r="E257" s="69"/>
      <c r="F257" s="68"/>
      <c r="G257" s="68"/>
      <c r="H257" s="70"/>
      <c r="I257" s="43"/>
      <c r="J257" s="43"/>
      <c r="K257" s="84"/>
      <c r="L257" s="43"/>
      <c r="M257" s="43"/>
      <c r="N257" s="43"/>
      <c r="Q257" s="43"/>
    </row>
    <row r="258" spans="3:27" x14ac:dyDescent="0.3">
      <c r="C258" s="86"/>
      <c r="D258" s="36"/>
      <c r="E258" s="36"/>
      <c r="F258" s="86"/>
      <c r="G258" s="86"/>
      <c r="H258" s="71">
        <v>305</v>
      </c>
      <c r="I258" s="59" t="str">
        <f>IF(ISBLANK(H258)," ",IF(ISTEXT(H258)," ",IF(H258&lt;=Нормативы!$H$258,"МСМК",IF(H258&lt;=Нормативы!$H$259,"МС",IF(H258&lt;=Нормативы!$H$260,"КМС",IF(H258&lt;=Нормативы!$H$261,"I",IF(H258&lt;=Нормативы!$H$262,"II",IF(H258&lt;=Нормативы!$H$263,"III","б/р"))))))))</f>
        <v>МСМК</v>
      </c>
      <c r="J258" s="59" t="str">
        <f>IF(ISBLANK(H258)," ",IF(ISTEXT(H258)," ",IF(H258&lt;=Нормативы!$H$258,"МСМК",IF(H258&lt;=Нормативы!$H$259,"МС",IF(H258&lt;=Нормативы!$H$260,"КМС",IF(H258&lt;=Нормативы!$H$261,"I",IF(H258&lt;=Нормативы!$H$262,"II",IF(H258&lt;=Нормативы!$H$263,"III","б/р"))))))))</f>
        <v>МСМК</v>
      </c>
      <c r="K258" s="75"/>
      <c r="L258" s="71"/>
      <c r="M258" s="59" t="str">
        <f>IF(ISBLANK(L258)," ",IF(ISTEXT(L258)," ",IF(L258&lt;=Нормативы!$H$258,"КМС",IF(L258&lt;=Нормативы!$H$259,"КМС",IF(L258&lt;=Нормативы!$L$260,"КМС",IF(L258&lt;=Нормативы!$L$261,"I",IF(L258&lt;=Нормативы!$L$262,"II",IF(L258&lt;=Нормативы!$L$263,"III","б/р"))))))))</f>
        <v xml:space="preserve"> </v>
      </c>
      <c r="N258" s="59" t="str">
        <f>IF(ISBLANK(L258)," ",IF(ISTEXT(L258)," ",IF(L258&lt;=304.6,"МСМК",IF(L258&lt;=314.4,"МС",IF(L258&lt;=323,"КМС",IF(L258&lt;=338,"I",IF(L258&lt;=356,"II",IF(L258&lt;=415,"III","б/р"))))))))</f>
        <v xml:space="preserve"> </v>
      </c>
      <c r="Q258" s="59" t="str">
        <f>IF(ISBLANK(P258)," ",IF(ISTEXT(P258)," ",IF(P258&lt;=$H$258,"МСМК",IF(P258&lt;=$H$259,"МС",IF(P258&lt;=$H$260,"КМС",IF(P258&lt;=$H$261,"I",IF(P258&lt;=$H$262,"II",IF(P258&lt;=$H$263,"III","б/р"))))))))</f>
        <v xml:space="preserve"> </v>
      </c>
    </row>
    <row r="259" spans="3:27" x14ac:dyDescent="0.3">
      <c r="C259" s="86"/>
      <c r="D259" s="36"/>
      <c r="E259" s="36"/>
      <c r="F259" s="86"/>
      <c r="G259" s="86"/>
      <c r="H259" s="71">
        <v>314.60000000000002</v>
      </c>
      <c r="I259" s="59" t="str">
        <f>IF(ISBLANK(H259)," ",IF(ISTEXT(H259)," ",IF(H259&lt;=Нормативы!$H$258,"МСМК",IF(H259&lt;=Нормативы!$H$259,"МС",IF(H259&lt;=Нормативы!$H$260,"КМС",IF(H259&lt;=Нормативы!$H$261,"I",IF(H259&lt;=Нормативы!$H$262,"II",IF(H259&lt;=Нормативы!$H$263,"III","б/р"))))))))</f>
        <v>МС</v>
      </c>
      <c r="J259" s="59" t="str">
        <f>IF(ISBLANK(H259)," ",IF(ISTEXT(H259)," ",IF(H259&lt;=Нормативы!$H$258,"МСМК",IF(H259&lt;=Нормативы!$H$259,"МС",IF(H259&lt;=Нормативы!$H$260,"КМС",IF(H259&lt;=Нормативы!$H$261,"I",IF(H259&lt;=Нормативы!$H$262,"II",IF(H259&lt;=Нормативы!$H$263,"III","б/р"))))))))</f>
        <v>МС</v>
      </c>
      <c r="K259" s="75"/>
      <c r="L259" s="71"/>
      <c r="M259" s="59" t="str">
        <f>IF(ISBLANK(L259)," ",IF(ISTEXT(L259)," ",IF(L259&lt;=Нормативы!$H$258,"КМС",IF(L259&lt;=Нормативы!$H$259,"КМС",IF(L259&lt;=Нормативы!$L$260,"КМС",IF(L259&lt;=Нормативы!$L$261,"I",IF(L259&lt;=Нормативы!$L$262,"II",IF(L259&lt;=Нормативы!$L$263,"III","б/р"))))))))</f>
        <v xml:space="preserve"> </v>
      </c>
      <c r="N259" s="59" t="str">
        <f>IF(ISBLANK(L259)," ",IF(ISTEXT(L259)," ",IF(L259&lt;=304.6,"МСМК",IF(L259&lt;=314.4,"МС",IF(L259&lt;=323,"КМС",IF(L259&lt;=338,"I",IF(L259&lt;=356,"II",IF(L259&lt;=415,"III","б/р"))))))))</f>
        <v xml:space="preserve"> </v>
      </c>
      <c r="Q259" s="59" t="str">
        <f t="shared" ref="Q259" si="201">IF(ISBLANK(P259)," ",IF(ISTEXT(P259)," ",IF(P259&lt;=$H$258,"МСМК",IF(P259&lt;=$H$259,"МС",IF(P259&lt;=$H$260,"КМС",IF(P259&lt;=$H$261,"I",IF(P259&lt;=$H$262,"II",IF(P259&lt;=$H$263,"III","б/р"))))))))</f>
        <v xml:space="preserve"> </v>
      </c>
    </row>
    <row r="260" spans="3:27" x14ac:dyDescent="0.3">
      <c r="C260" s="86"/>
      <c r="D260" s="36"/>
      <c r="E260" s="36"/>
      <c r="F260" s="86"/>
      <c r="G260" s="86"/>
      <c r="H260" s="71">
        <v>323</v>
      </c>
      <c r="I260" s="59" t="str">
        <f>IF(ISBLANK(H260)," ",IF(ISTEXT(H260)," ",IF(H260&lt;=Нормативы!$H$258,"МСМК",IF(H260&lt;=Нормативы!$H$259,"МС",IF(H260&lt;=Нормативы!$H$260,"КМС",IF(H260&lt;=Нормативы!$H$261,"I",IF(H260&lt;=Нормативы!$H$262,"II",IF(H260&lt;=Нормативы!$H$263,"III","б/р"))))))))</f>
        <v>КМС</v>
      </c>
      <c r="J260" s="59" t="str">
        <f>IF(ISBLANK(H260)," ",IF(ISTEXT(H260)," ",IF(H260&lt;=Нормативы!$H$258,"МСМК",IF(H260&lt;=Нормативы!$H$259,"МС",IF(H260&lt;=Нормативы!$H$260,"КМС",IF(H260&lt;=Нормативы!$H$261,"I",IF(H260&lt;=Нормативы!$H$262,"II",IF(H260&lt;=Нормативы!$H$263,"III","б/р"))))))))</f>
        <v>КМС</v>
      </c>
      <c r="K260" s="75"/>
      <c r="L260" s="74">
        <f t="shared" ref="L260:L263" si="202">H260-0.2</f>
        <v>322.8</v>
      </c>
      <c r="M260" s="59" t="str">
        <f>IF(ISBLANK(L260)," ",IF(ISTEXT(L260)," ",IF(L260&lt;=Нормативы!$H$258,"КМС",IF(L260&lt;=Нормативы!$H$259,"КМС",IF(L260&lt;=Нормативы!$L$260,"КМС",IF(L260&lt;=Нормативы!$L$261,"I",IF(L260&lt;=Нормативы!$L$262,"II",IF(L260&lt;=Нормативы!$L$263,"III","б/р"))))))))</f>
        <v>КМС</v>
      </c>
      <c r="N260" s="59" t="str">
        <f>IF(ISBLANK(L260)," ",IF(ISTEXT(L260)," ",IF(L260&lt;=Нормативы!$H$258,"КМС",IF(L260&lt;=Нормативы!$H$259,"КМС",IF(L260&lt;=Нормативы!$L$260,"КМС",IF(L260&lt;=Нормативы!$L$261,"I",IF(L260&lt;=Нормативы!$L$262,"II",IF(L260&lt;=Нормативы!$L$263,"III","б/р"))))))))</f>
        <v>КМС</v>
      </c>
      <c r="Q260" s="59" t="str">
        <f t="shared" ref="Q260" si="203">IF(ISBLANK(P260)," ",IF(ISTEXT(P260)," ",IF(P260&lt;=$H$258,"МСМК",IF(P260&lt;=$H$259,"МС",IF(P260&lt;=$H$260,"КМС",IF(P260&lt;=$H$261,"I",IF(P260&lt;=$H$262,"II",IF(P260&lt;=$H$263,"III","б/р"))))))))</f>
        <v xml:space="preserve"> </v>
      </c>
    </row>
    <row r="261" spans="3:27" x14ac:dyDescent="0.3">
      <c r="C261" s="86"/>
      <c r="D261" s="36"/>
      <c r="E261" s="36"/>
      <c r="F261" s="86"/>
      <c r="G261" s="86"/>
      <c r="H261" s="71">
        <v>338</v>
      </c>
      <c r="I261" s="59" t="str">
        <f>IF(ISBLANK(H261)," ",IF(ISTEXT(H261)," ",IF(H261&lt;=Нормативы!$H$258,"МСМК",IF(H261&lt;=Нормативы!$H$259,"МС",IF(H261&lt;=Нормативы!$H$260,"КМС",IF(H261&lt;=Нормативы!$H$261,"I",IF(H261&lt;=Нормативы!$H$262,"II",IF(H261&lt;=Нормативы!$H$263,"III","б/р"))))))))</f>
        <v>I</v>
      </c>
      <c r="J261" s="59" t="str">
        <f>IF(ISBLANK(H261)," ",IF(ISTEXT(H261)," ",IF(H261&lt;=Нормативы!$H$258,"МСМК",IF(H261&lt;=Нормативы!$H$259,"МС",IF(H261&lt;=Нормативы!$H$260,"КМС",IF(H261&lt;=Нормативы!$H$261,"I",IF(H261&lt;=Нормативы!$H$262,"II",IF(H261&lt;=Нормативы!$H$263,"III","б/р"))))))))</f>
        <v>I</v>
      </c>
      <c r="K261" s="75"/>
      <c r="L261" s="74">
        <f t="shared" si="202"/>
        <v>337.8</v>
      </c>
      <c r="M261" s="59" t="str">
        <f>IF(ISBLANK(L261)," ",IF(ISTEXT(L261)," ",IF(L261&lt;=Нормативы!$H$258,"КМС",IF(L261&lt;=Нормативы!$H$259,"КМС",IF(L261&lt;=Нормативы!$L$260,"КМС",IF(L261&lt;=Нормативы!$L$261,"I",IF(L261&lt;=Нормативы!$L$262,"II",IF(L261&lt;=Нормативы!$L$263,"III","б/р"))))))))</f>
        <v>I</v>
      </c>
      <c r="N261" s="59" t="str">
        <f>IF(ISBLANK(L261)," ",IF(ISTEXT(L261)," ",IF(L261&lt;=Нормативы!$H$258,"КМС",IF(L261&lt;=Нормативы!$H$259,"КМС",IF(L261&lt;=Нормативы!$L$260,"КМС",IF(L261&lt;=Нормативы!$L$261,"I",IF(L261&lt;=Нормативы!$L$262,"II",IF(L261&lt;=Нормативы!$L$263,"III","б/р"))))))))</f>
        <v>I</v>
      </c>
      <c r="Q261" s="59" t="str">
        <f t="shared" ref="Q261" si="204">IF(ISBLANK(P261)," ",IF(ISTEXT(P261)," ",IF(P261&lt;=$H$258,"МСМК",IF(P261&lt;=$H$259,"МС",IF(P261&lt;=$H$260,"КМС",IF(P261&lt;=$H$261,"I",IF(P261&lt;=$H$262,"II",IF(P261&lt;=$H$263,"III","б/р"))))))))</f>
        <v xml:space="preserve"> </v>
      </c>
    </row>
    <row r="262" spans="3:27" x14ac:dyDescent="0.3">
      <c r="C262" s="86"/>
      <c r="D262" s="36"/>
      <c r="E262" s="36"/>
      <c r="F262" s="86"/>
      <c r="G262" s="86"/>
      <c r="H262" s="71">
        <v>355.7</v>
      </c>
      <c r="I262" s="59" t="str">
        <f>IF(ISBLANK(H262)," ",IF(ISTEXT(H262)," ",IF(H262&lt;=Нормативы!$H$258,"МСМК",IF(H262&lt;=Нормативы!$H$259,"МС",IF(H262&lt;=Нормативы!$H$260,"КМС",IF(H262&lt;=Нормативы!$H$261,"I",IF(H262&lt;=Нормативы!$H$262,"II",IF(H262&lt;=Нормативы!$H$263,"III","б/р"))))))))</f>
        <v>II</v>
      </c>
      <c r="J262" s="59" t="str">
        <f>IF(ISBLANK(H262)," ",IF(ISTEXT(H262)," ",IF(H262&lt;=Нормативы!$H$258,"МСМК",IF(H262&lt;=Нормативы!$H$259,"МС",IF(H262&lt;=Нормативы!$H$260,"КМС",IF(H262&lt;=Нормативы!$H$261,"I",IF(H262&lt;=Нормативы!$H$262,"II",IF(H262&lt;=Нормативы!$H$263,"III","б/р"))))))))</f>
        <v>II</v>
      </c>
      <c r="K262" s="75"/>
      <c r="L262" s="74">
        <f t="shared" si="202"/>
        <v>355.5</v>
      </c>
      <c r="M262" s="59" t="str">
        <f>IF(ISBLANK(L262)," ",IF(ISTEXT(L262)," ",IF(L262&lt;=Нормативы!$H$258,"КМС",IF(L262&lt;=Нормативы!$H$259,"КМС",IF(L262&lt;=Нормативы!$L$260,"КМС",IF(L262&lt;=Нормативы!$L$261,"I",IF(L262&lt;=Нормативы!$L$262,"II",IF(L262&lt;=Нормативы!$L$263,"III","б/р"))))))))</f>
        <v>II</v>
      </c>
      <c r="N262" s="59" t="str">
        <f>IF(ISBLANK(L262)," ",IF(ISTEXT(L262)," ",IF(L262&lt;=Нормативы!$H$258,"КМС",IF(L262&lt;=Нормативы!$H$259,"КМС",IF(L262&lt;=Нормативы!$L$260,"КМС",IF(L262&lt;=Нормативы!$L$261,"I",IF(L262&lt;=Нормативы!$L$262,"II",IF(L262&lt;=Нормативы!$L$263,"III","б/р"))))))))</f>
        <v>II</v>
      </c>
      <c r="Q262" s="59" t="str">
        <f t="shared" ref="Q262" si="205">IF(ISBLANK(P262)," ",IF(ISTEXT(P262)," ",IF(P262&lt;=$H$258,"МСМК",IF(P262&lt;=$H$259,"МС",IF(P262&lt;=$H$260,"КМС",IF(P262&lt;=$H$261,"I",IF(P262&lt;=$H$262,"II",IF(P262&lt;=$H$263,"III","б/р"))))))))</f>
        <v xml:space="preserve"> </v>
      </c>
    </row>
    <row r="263" spans="3:27" x14ac:dyDescent="0.3">
      <c r="C263" s="86"/>
      <c r="D263" s="36"/>
      <c r="E263" s="36"/>
      <c r="F263" s="86"/>
      <c r="G263" s="86"/>
      <c r="H263" s="71">
        <v>413.8</v>
      </c>
      <c r="I263" s="59" t="str">
        <f>IF(ISBLANK(H263)," ",IF(ISTEXT(H263)," ",IF(H263&lt;=Нормативы!$H$258,"МСМК",IF(H263&lt;=Нормативы!$H$259,"МС",IF(H263&lt;=Нормативы!$H$260,"КМС",IF(H263&lt;=Нормативы!$H$261,"I",IF(H263&lt;=Нормативы!$H$262,"II",IF(H263&lt;=Нормативы!$H$263,"III","б/р"))))))))</f>
        <v>III</v>
      </c>
      <c r="J263" s="59" t="str">
        <f>IF(ISBLANK(H263)," ",IF(ISTEXT(H263)," ",IF(H263&lt;=Нормативы!$H$258,"МСМК",IF(H263&lt;=Нормативы!$H$259,"МС",IF(H263&lt;=Нормативы!$H$260,"КМС",IF(H263&lt;=Нормативы!$H$261,"I",IF(H263&lt;=Нормативы!$H$262,"II",IF(H263&lt;=Нормативы!$H$263,"III","б/р"))))))))</f>
        <v>III</v>
      </c>
      <c r="K263" s="75"/>
      <c r="L263" s="74">
        <f t="shared" si="202"/>
        <v>413.6</v>
      </c>
      <c r="M263" s="59" t="str">
        <f>IF(ISBLANK(L263)," ",IF(ISTEXT(L263)," ",IF(L263&lt;=Нормативы!$H$258,"КМС",IF(L263&lt;=Нормативы!$H$259,"КМС",IF(L263&lt;=Нормативы!$L$260,"КМС",IF(L263&lt;=Нормативы!$L$261,"I",IF(L263&lt;=Нормативы!$L$262,"II",IF(L263&lt;=Нормативы!$L$263,"III","б/р"))))))))</f>
        <v>III</v>
      </c>
      <c r="N263" s="59" t="str">
        <f>IF(ISBLANK(L263)," ",IF(ISTEXT(L263)," ",IF(L263&lt;=Нормативы!$H$258,"КМС",IF(L263&lt;=Нормативы!$H$259,"КМС",IF(L263&lt;=Нормативы!$L$260,"КМС",IF(L263&lt;=Нормативы!$L$261,"I",IF(L263&lt;=Нормативы!$L$262,"II",IF(L263&lt;=Нормативы!$L$263,"III","б/р"))))))))</f>
        <v>III</v>
      </c>
      <c r="Q263" s="59" t="str">
        <f t="shared" ref="Q263" si="206">IF(ISBLANK(P263)," ",IF(ISTEXT(P263)," ",IF(P263&lt;=$H$258,"МСМК",IF(P263&lt;=$H$259,"МС",IF(P263&lt;=$H$260,"КМС",IF(P263&lt;=$H$261,"I",IF(P263&lt;=$H$262,"II",IF(P263&lt;=$H$263,"III","б/р"))))))))</f>
        <v xml:space="preserve"> </v>
      </c>
    </row>
    <row r="264" spans="3:27" x14ac:dyDescent="0.3">
      <c r="C264" s="86"/>
      <c r="D264" s="36"/>
      <c r="E264" s="36"/>
      <c r="F264" s="86"/>
      <c r="G264" s="86"/>
      <c r="H264" s="71"/>
      <c r="I264" s="43"/>
      <c r="J264" s="43"/>
      <c r="K264" s="84"/>
      <c r="L264" s="43"/>
      <c r="M264" s="43"/>
      <c r="N264" s="43"/>
      <c r="P264" s="82"/>
      <c r="Q264" s="43"/>
      <c r="R264" s="82"/>
      <c r="S264" s="82"/>
      <c r="T264" s="91"/>
      <c r="U264" s="91"/>
      <c r="V264" s="91"/>
      <c r="W264" s="91"/>
      <c r="X264" s="91"/>
      <c r="Y264" s="91"/>
      <c r="Z264" s="91"/>
      <c r="AA264" s="91"/>
    </row>
    <row r="265" spans="3:27" x14ac:dyDescent="0.3">
      <c r="C265" s="68" t="s">
        <v>55</v>
      </c>
      <c r="D265" s="43"/>
      <c r="E265" s="43"/>
      <c r="F265" s="43"/>
      <c r="G265" s="43"/>
      <c r="H265" s="71"/>
      <c r="I265" s="43"/>
      <c r="J265" s="43"/>
      <c r="K265" s="84"/>
      <c r="L265" s="43"/>
      <c r="M265" s="43"/>
      <c r="N265" s="43"/>
      <c r="P265" s="83"/>
      <c r="Q265" s="43"/>
      <c r="R265" s="83"/>
      <c r="S265" s="83"/>
      <c r="T265" s="83"/>
      <c r="U265" s="83"/>
      <c r="V265" s="83"/>
      <c r="W265" s="83"/>
      <c r="X265" s="83"/>
      <c r="Y265" s="83"/>
      <c r="Z265" s="83"/>
      <c r="AA265" s="83"/>
    </row>
    <row r="266" spans="3:27" x14ac:dyDescent="0.3">
      <c r="C266" s="43"/>
      <c r="D266" s="43"/>
      <c r="E266" s="43"/>
      <c r="F266" s="43"/>
      <c r="G266" s="43"/>
      <c r="H266" s="71">
        <v>250</v>
      </c>
      <c r="I266" s="59" t="str">
        <f>IF(ISBLANK(H266)," ",IF(ISTEXT(H266)," ",IF(H266&lt;=Нормативы!$H$266,"МСМК",IF(H266&lt;=Нормативы!$H$267,"МС",IF(H266&lt;=Нормативы!$H$268,"КМС",IF(H266&lt;=Нормативы!$H$269,"I",IF(H266&lt;=Нормативы!$H$270,"II",IF(H266&lt;=Нормативы!$H$271,"III","б/р"))))))))</f>
        <v>МСМК</v>
      </c>
      <c r="J266" s="59" t="str">
        <f>IF(ISBLANK(H266)," ",IF(ISTEXT(H266)," ",IF(H266&lt;=Нормативы!$H$266,"МСМК",IF(H266&lt;=Нормативы!$H$267,"МС",IF(H266&lt;=Нормативы!$H$268,"КМС",IF(H266&lt;=Нормативы!$H$269,"I",IF(H266&lt;=Нормативы!$H$270,"II",IF(H266&lt;=Нормативы!$H$271,"III","б/р"))))))))</f>
        <v>МСМК</v>
      </c>
      <c r="K266" s="75"/>
      <c r="L266" s="71"/>
      <c r="M266" s="59" t="str">
        <f>IF(ISBLANK(L266)," ",IF(ISTEXT(L266)," ",IF(L266&lt;=Нормативы!$H$266,"КМС",IF(L266&lt;=Нормативы!$H$267,"КМС",IF(L266&lt;=Нормативы!$L$268,"КМС",IF(L266&lt;=Нормативы!$L$269,"I",IF(L266&lt;=Нормативы!$L$270,"II",IF(L266&lt;=Нормативы!$L$271,"III","б/р"))))))))</f>
        <v xml:space="preserve"> </v>
      </c>
      <c r="N266" s="59" t="str">
        <f>IF(ISBLANK(L266)," ",IF(ISTEXT(L266)," ",IF(L266&lt;=250.2,"МСМК",IF(L266&lt;=259.2,"МС",IF(L266&lt;=307.7,"КМС",IF(L266&lt;=321,"I",IF(L266&lt;=338,"II",IF(L266&lt;=356.5,"III","б/р"))))))))</f>
        <v xml:space="preserve"> </v>
      </c>
      <c r="Q266" s="59" t="str">
        <f>IF(ISBLANK(P266)," ",IF(ISTEXT(P266)," ",IF(P266&lt;=$H$266,"МСМК",IF(P266&lt;=$H$267,"МС",IF(P266&lt;=$H$268,"КМС",IF(P266&lt;=$H$269,"I",IF(P266&lt;=$H$270,"II",IF(P266&lt;=$H$271,"III","б/р"))))))))</f>
        <v xml:space="preserve"> </v>
      </c>
    </row>
    <row r="267" spans="3:27" x14ac:dyDescent="0.3">
      <c r="C267" s="43"/>
      <c r="D267" s="43"/>
      <c r="E267" s="43"/>
      <c r="F267" s="43"/>
      <c r="G267" s="43"/>
      <c r="H267" s="71">
        <v>259</v>
      </c>
      <c r="I267" s="59" t="str">
        <f>IF(ISBLANK(H267)," ",IF(ISTEXT(H267)," ",IF(H267&lt;=Нормативы!$H$266,"МСМК",IF(H267&lt;=Нормативы!$H$267,"МС",IF(H267&lt;=Нормативы!$H$268,"КМС",IF(H267&lt;=Нормативы!$H$269,"I",IF(H267&lt;=Нормативы!$H$270,"II",IF(H267&lt;=Нормативы!$H$271,"III","б/р"))))))))</f>
        <v>МС</v>
      </c>
      <c r="J267" s="59" t="str">
        <f>IF(ISBLANK(H267)," ",IF(ISTEXT(H267)," ",IF(H267&lt;=Нормативы!$H$266,"МСМК",IF(H267&lt;=Нормативы!$H$267,"МС",IF(H267&lt;=Нормативы!$H$268,"КМС",IF(H267&lt;=Нормативы!$H$269,"I",IF(H267&lt;=Нормативы!$H$270,"II",IF(H267&lt;=Нормативы!$H$271,"III","б/р"))))))))</f>
        <v>МС</v>
      </c>
      <c r="K267" s="75"/>
      <c r="L267" s="71"/>
      <c r="M267" s="59" t="str">
        <f>IF(ISBLANK(L267)," ",IF(ISTEXT(L267)," ",IF(L267&lt;=Нормативы!$H$266,"КМС",IF(L267&lt;=Нормативы!$H$267,"КМС",IF(L267&lt;=Нормативы!$L$268,"КМС",IF(L267&lt;=Нормативы!$L$269,"I",IF(L267&lt;=Нормативы!$L$270,"II",IF(L267&lt;=Нормативы!$L$271,"III","б/р"))))))))</f>
        <v xml:space="preserve"> </v>
      </c>
      <c r="N267" s="59" t="str">
        <f>IF(ISBLANK(L267)," ",IF(ISTEXT(L267)," ",IF(L267&lt;=250.2,"МСМК",IF(L267&lt;=259.2,"МС",IF(L267&lt;=307.7,"КМС",IF(L267&lt;=321,"I",IF(L267&lt;=338,"II",IF(L267&lt;=356.5,"III","б/р"))))))))</f>
        <v xml:space="preserve"> </v>
      </c>
      <c r="Q267" s="59" t="str">
        <f t="shared" ref="Q267" si="207">IF(ISBLANK(P267)," ",IF(ISTEXT(P267)," ",IF(P267&lt;=$H$266,"МСМК",IF(P267&lt;=$H$267,"МС",IF(P267&lt;=$H$268,"КМС",IF(P267&lt;=$H$269,"I",IF(P267&lt;=$H$270,"II",IF(P267&lt;=$H$271,"III","б/р"))))))))</f>
        <v xml:space="preserve"> </v>
      </c>
    </row>
    <row r="268" spans="3:27" x14ac:dyDescent="0.3">
      <c r="C268" s="43"/>
      <c r="D268" s="43"/>
      <c r="E268" s="43"/>
      <c r="F268" s="43"/>
      <c r="G268" s="43"/>
      <c r="H268" s="71">
        <v>307.5</v>
      </c>
      <c r="I268" s="59" t="str">
        <f>IF(ISBLANK(H268)," ",IF(ISTEXT(H268)," ",IF(H268&lt;=Нормативы!$H$266,"МСМК",IF(H268&lt;=Нормативы!$H$267,"МС",IF(H268&lt;=Нормативы!$H$268,"КМС",IF(H268&lt;=Нормативы!$H$269,"I",IF(H268&lt;=Нормативы!$H$270,"II",IF(H268&lt;=Нормативы!$H$271,"III","б/р"))))))))</f>
        <v>КМС</v>
      </c>
      <c r="J268" s="59" t="str">
        <f>IF(ISBLANK(H268)," ",IF(ISTEXT(H268)," ",IF(H268&lt;=Нормативы!$H$266,"МСМК",IF(H268&lt;=Нормативы!$H$267,"МС",IF(H268&lt;=Нормативы!$H$268,"КМС",IF(H268&lt;=Нормативы!$H$269,"I",IF(H268&lt;=Нормативы!$H$270,"II",IF(H268&lt;=Нормативы!$H$271,"III","б/р"))))))))</f>
        <v>КМС</v>
      </c>
      <c r="K268" s="75"/>
      <c r="L268" s="74">
        <f t="shared" ref="L268:L271" si="208">H268-0.2</f>
        <v>307.3</v>
      </c>
      <c r="M268" s="59" t="str">
        <f>IF(ISBLANK(L268)," ",IF(ISTEXT(L268)," ",IF(L268&lt;=Нормативы!$H$266,"КМС",IF(L268&lt;=Нормативы!$H$267,"КМС",IF(L268&lt;=Нормативы!$L$268,"КМС",IF(L268&lt;=Нормативы!$L$269,"I",IF(L268&lt;=Нормативы!$L$270,"II",IF(L268&lt;=Нормативы!$L$271,"III","б/р"))))))))</f>
        <v>КМС</v>
      </c>
      <c r="N268" s="59" t="str">
        <f>IF(ISBLANK(L268)," ",IF(ISTEXT(L268)," ",IF(L268&lt;=Нормативы!$H$266,"КМС",IF(L268&lt;=Нормативы!$H$267,"КМС",IF(L268&lt;=Нормативы!$L$268,"КМС",IF(L268&lt;=Нормативы!$L$269,"I",IF(L268&lt;=Нормативы!$L$270,"II",IF(L268&lt;=Нормативы!$L$271,"III","б/р"))))))))</f>
        <v>КМС</v>
      </c>
      <c r="Q268" s="59" t="str">
        <f t="shared" ref="Q268" si="209">IF(ISBLANK(P268)," ",IF(ISTEXT(P268)," ",IF(P268&lt;=$H$266,"МСМК",IF(P268&lt;=$H$267,"МС",IF(P268&lt;=$H$268,"КМС",IF(P268&lt;=$H$269,"I",IF(P268&lt;=$H$270,"II",IF(P268&lt;=$H$271,"III","б/р"))))))))</f>
        <v xml:space="preserve"> </v>
      </c>
    </row>
    <row r="269" spans="3:27" x14ac:dyDescent="0.3">
      <c r="C269" s="43"/>
      <c r="D269" s="43"/>
      <c r="E269" s="43"/>
      <c r="F269" s="43"/>
      <c r="G269" s="43"/>
      <c r="H269" s="71">
        <v>321</v>
      </c>
      <c r="I269" s="59" t="str">
        <f>IF(ISBLANK(H269)," ",IF(ISTEXT(H269)," ",IF(H269&lt;=Нормативы!$H$266,"МСМК",IF(H269&lt;=Нормативы!$H$267,"МС",IF(H269&lt;=Нормативы!$H$268,"КМС",IF(H269&lt;=Нормативы!$H$269,"I",IF(H269&lt;=Нормативы!$H$270,"II",IF(H269&lt;=Нормативы!$H$271,"III","б/р"))))))))</f>
        <v>I</v>
      </c>
      <c r="J269" s="59" t="str">
        <f>IF(ISBLANK(H269)," ",IF(ISTEXT(H269)," ",IF(H269&lt;=Нормативы!$H$266,"МСМК",IF(H269&lt;=Нормативы!$H$267,"МС",IF(H269&lt;=Нормативы!$H$268,"КМС",IF(H269&lt;=Нормативы!$H$269,"I",IF(H269&lt;=Нормативы!$H$270,"II",IF(H269&lt;=Нормативы!$H$271,"III","б/р"))))))))</f>
        <v>I</v>
      </c>
      <c r="K269" s="75"/>
      <c r="L269" s="74">
        <f t="shared" si="208"/>
        <v>320.8</v>
      </c>
      <c r="M269" s="59" t="str">
        <f>IF(ISBLANK(L269)," ",IF(ISTEXT(L269)," ",IF(L269&lt;=Нормативы!$H$266,"КМС",IF(L269&lt;=Нормативы!$H$267,"КМС",IF(L269&lt;=Нормативы!$L$268,"КМС",IF(L269&lt;=Нормативы!$L$269,"I",IF(L269&lt;=Нормативы!$L$270,"II",IF(L269&lt;=Нормативы!$L$271,"III","б/р"))))))))</f>
        <v>I</v>
      </c>
      <c r="N269" s="59" t="str">
        <f>IF(ISBLANK(L269)," ",IF(ISTEXT(L269)," ",IF(L269&lt;=Нормативы!$H$266,"КМС",IF(L269&lt;=Нормативы!$H$267,"КМС",IF(L269&lt;=Нормативы!$L$268,"КМС",IF(L269&lt;=Нормативы!$L$269,"I",IF(L269&lt;=Нормативы!$L$270,"II",IF(L269&lt;=Нормативы!$L$271,"III","б/р"))))))))</f>
        <v>I</v>
      </c>
      <c r="Q269" s="59" t="str">
        <f t="shared" ref="Q269" si="210">IF(ISBLANK(P269)," ",IF(ISTEXT(P269)," ",IF(P269&lt;=$H$266,"МСМК",IF(P269&lt;=$H$267,"МС",IF(P269&lt;=$H$268,"КМС",IF(P269&lt;=$H$269,"I",IF(P269&lt;=$H$270,"II",IF(P269&lt;=$H$271,"III","б/р"))))))))</f>
        <v xml:space="preserve"> </v>
      </c>
    </row>
    <row r="270" spans="3:27" x14ac:dyDescent="0.3">
      <c r="C270" s="43"/>
      <c r="D270" s="43"/>
      <c r="E270" s="43"/>
      <c r="F270" s="43"/>
      <c r="G270" s="43"/>
      <c r="H270" s="71">
        <v>338</v>
      </c>
      <c r="I270" s="59" t="str">
        <f>IF(ISBLANK(H270)," ",IF(ISTEXT(H270)," ",IF(H270&lt;=Нормативы!$H$266,"МСМК",IF(H270&lt;=Нормативы!$H$267,"МС",IF(H270&lt;=Нормативы!$H$268,"КМС",IF(H270&lt;=Нормативы!$H$269,"I",IF(H270&lt;=Нормативы!$H$270,"II",IF(H270&lt;=Нормативы!$H$271,"III","б/р"))))))))</f>
        <v>II</v>
      </c>
      <c r="J270" s="59" t="str">
        <f>IF(ISBLANK(H270)," ",IF(ISTEXT(H270)," ",IF(H270&lt;=Нормативы!$H$266,"МСМК",IF(H270&lt;=Нормативы!$H$267,"МС",IF(H270&lt;=Нормативы!$H$268,"КМС",IF(H270&lt;=Нормативы!$H$269,"I",IF(H270&lt;=Нормативы!$H$270,"II",IF(H270&lt;=Нормативы!$H$271,"III","б/р"))))))))</f>
        <v>II</v>
      </c>
      <c r="K270" s="75"/>
      <c r="L270" s="74">
        <f t="shared" si="208"/>
        <v>337.8</v>
      </c>
      <c r="M270" s="59" t="str">
        <f>IF(ISBLANK(L270)," ",IF(ISTEXT(L270)," ",IF(L270&lt;=Нормативы!$H$266,"КМС",IF(L270&lt;=Нормативы!$H$267,"КМС",IF(L270&lt;=Нормативы!$L$268,"КМС",IF(L270&lt;=Нормативы!$L$269,"I",IF(L270&lt;=Нормативы!$L$270,"II",IF(L270&lt;=Нормативы!$L$271,"III","б/р"))))))))</f>
        <v>II</v>
      </c>
      <c r="N270" s="59" t="str">
        <f>IF(ISBLANK(L270)," ",IF(ISTEXT(L270)," ",IF(L270&lt;=Нормативы!$H$266,"КМС",IF(L270&lt;=Нормативы!$H$267,"КМС",IF(L270&lt;=Нормативы!$L$268,"КМС",IF(L270&lt;=Нормативы!$L$269,"I",IF(L270&lt;=Нормативы!$L$270,"II",IF(L270&lt;=Нормативы!$L$271,"III","б/р"))))))))</f>
        <v>II</v>
      </c>
      <c r="Q270" s="59" t="str">
        <f t="shared" ref="Q270" si="211">IF(ISBLANK(P270)," ",IF(ISTEXT(P270)," ",IF(P270&lt;=$H$266,"МСМК",IF(P270&lt;=$H$267,"МС",IF(P270&lt;=$H$268,"КМС",IF(P270&lt;=$H$269,"I",IF(P270&lt;=$H$270,"II",IF(P270&lt;=$H$271,"III","б/р"))))))))</f>
        <v xml:space="preserve"> </v>
      </c>
    </row>
    <row r="271" spans="3:27" x14ac:dyDescent="0.3">
      <c r="C271" s="43"/>
      <c r="D271" s="43"/>
      <c r="E271" s="43"/>
      <c r="F271" s="43"/>
      <c r="G271" s="43"/>
      <c r="H271" s="71">
        <v>356.5</v>
      </c>
      <c r="I271" s="59" t="str">
        <f>IF(ISBLANK(H271)," ",IF(ISTEXT(H271)," ",IF(H271&lt;=Нормативы!$H$266,"МСМК",IF(H271&lt;=Нормативы!$H$267,"МС",IF(H271&lt;=Нормативы!$H$268,"КМС",IF(H271&lt;=Нормативы!$H$269,"I",IF(H271&lt;=Нормативы!$H$270,"II",IF(H271&lt;=Нормативы!$H$271,"III","б/р"))))))))</f>
        <v>III</v>
      </c>
      <c r="J271" s="59" t="str">
        <f>IF(ISBLANK(H271)," ",IF(ISTEXT(H271)," ",IF(H271&lt;=Нормативы!$H$266,"МСМК",IF(H271&lt;=Нормативы!$H$267,"МС",IF(H271&lt;=Нормативы!$H$268,"КМС",IF(H271&lt;=Нормативы!$H$269,"I",IF(H271&lt;=Нормативы!$H$270,"II",IF(H271&lt;=Нормативы!$H$271,"III","б/р"))))))))</f>
        <v>III</v>
      </c>
      <c r="K271" s="75"/>
      <c r="L271" s="74">
        <f t="shared" si="208"/>
        <v>356.3</v>
      </c>
      <c r="M271" s="59" t="str">
        <f>IF(ISBLANK(L271)," ",IF(ISTEXT(L271)," ",IF(L271&lt;=Нормативы!$H$266,"КМС",IF(L271&lt;=Нормативы!$H$267,"КМС",IF(L271&lt;=Нормативы!$L$268,"КМС",IF(L271&lt;=Нормативы!$L$269,"I",IF(L271&lt;=Нормативы!$L$270,"II",IF(L271&lt;=Нормативы!$L$271,"III","б/р"))))))))</f>
        <v>III</v>
      </c>
      <c r="N271" s="59" t="str">
        <f>IF(ISBLANK(L271)," ",IF(ISTEXT(L271)," ",IF(L271&lt;=Нормативы!$H$266,"КМС",IF(L271&lt;=Нормативы!$H$267,"КМС",IF(L271&lt;=Нормативы!$L$268,"КМС",IF(L271&lt;=Нормативы!$L$269,"I",IF(L271&lt;=Нормативы!$L$270,"II",IF(L271&lt;=Нормативы!$L$271,"III","б/р"))))))))</f>
        <v>III</v>
      </c>
      <c r="Q271" s="59" t="str">
        <f t="shared" ref="Q271" si="212">IF(ISBLANK(P271)," ",IF(ISTEXT(P271)," ",IF(P271&lt;=$H$266,"МСМК",IF(P271&lt;=$H$267,"МС",IF(P271&lt;=$H$268,"КМС",IF(P271&lt;=$H$269,"I",IF(P271&lt;=$H$270,"II",IF(P271&lt;=$H$271,"III","б/р"))))))))</f>
        <v xml:space="preserve"> </v>
      </c>
    </row>
    <row r="272" spans="3:27" x14ac:dyDescent="0.3">
      <c r="C272" s="43"/>
      <c r="D272" s="43"/>
      <c r="E272" s="43"/>
      <c r="F272" s="43"/>
      <c r="G272" s="43"/>
      <c r="H272" s="71"/>
      <c r="I272" s="43"/>
      <c r="J272" s="43"/>
      <c r="K272" s="75"/>
      <c r="L272" s="43"/>
      <c r="M272" s="43"/>
      <c r="N272" s="43"/>
      <c r="Q272" s="43"/>
    </row>
    <row r="273" spans="3:17" hidden="1" x14ac:dyDescent="0.3">
      <c r="C273" s="68" t="s">
        <v>56</v>
      </c>
      <c r="D273" s="69"/>
      <c r="E273" s="69"/>
      <c r="F273" s="68"/>
      <c r="G273" s="68"/>
      <c r="H273" s="70"/>
      <c r="I273" s="43"/>
      <c r="J273" s="43"/>
      <c r="K273" s="84"/>
      <c r="L273" s="43"/>
      <c r="M273" s="43"/>
      <c r="N273" s="43"/>
      <c r="Q273" s="43"/>
    </row>
    <row r="274" spans="3:17" hidden="1" x14ac:dyDescent="0.3">
      <c r="C274" s="86"/>
      <c r="D274" s="36"/>
      <c r="E274" s="36"/>
      <c r="F274" s="86"/>
      <c r="G274" s="86"/>
      <c r="H274" s="71">
        <v>637.29999999999995</v>
      </c>
      <c r="I274" s="43"/>
      <c r="J274" s="43"/>
      <c r="K274" s="75"/>
      <c r="L274" s="43"/>
      <c r="M274" s="43"/>
      <c r="N274" s="43"/>
      <c r="Q274" s="43"/>
    </row>
    <row r="275" spans="3:17" hidden="1" x14ac:dyDescent="0.3">
      <c r="C275" s="86"/>
      <c r="D275" s="36"/>
      <c r="E275" s="36"/>
      <c r="F275" s="86"/>
      <c r="G275" s="86"/>
      <c r="H275" s="71">
        <v>657.2</v>
      </c>
      <c r="I275" s="43"/>
      <c r="J275" s="43"/>
      <c r="K275" s="75"/>
      <c r="L275" s="43"/>
      <c r="M275" s="43"/>
      <c r="N275" s="43"/>
      <c r="Q275" s="43"/>
    </row>
    <row r="276" spans="3:17" hidden="1" x14ac:dyDescent="0.3">
      <c r="C276" s="86"/>
      <c r="D276" s="36"/>
      <c r="E276" s="36"/>
      <c r="F276" s="86"/>
      <c r="G276" s="86"/>
      <c r="H276" s="71">
        <v>717</v>
      </c>
      <c r="I276" s="43"/>
      <c r="J276" s="43"/>
      <c r="K276" s="75"/>
      <c r="L276" s="43"/>
      <c r="M276" s="43"/>
      <c r="N276" s="43"/>
      <c r="Q276" s="43"/>
    </row>
    <row r="277" spans="3:17" hidden="1" x14ac:dyDescent="0.3">
      <c r="C277" s="86"/>
      <c r="D277" s="36"/>
      <c r="E277" s="36"/>
      <c r="F277" s="86"/>
      <c r="G277" s="86"/>
      <c r="H277" s="71">
        <v>748.8</v>
      </c>
      <c r="I277" s="43"/>
      <c r="J277" s="43"/>
      <c r="K277" s="75"/>
      <c r="L277" s="43"/>
      <c r="M277" s="43"/>
      <c r="N277" s="43"/>
      <c r="Q277" s="43"/>
    </row>
    <row r="278" spans="3:17" hidden="1" x14ac:dyDescent="0.3">
      <c r="C278" s="86"/>
      <c r="D278" s="36"/>
      <c r="E278" s="36"/>
      <c r="F278" s="86"/>
      <c r="G278" s="86"/>
      <c r="H278" s="71">
        <v>828.5</v>
      </c>
      <c r="I278" s="43"/>
      <c r="J278" s="43"/>
      <c r="K278" s="75"/>
      <c r="L278" s="43"/>
      <c r="M278" s="43"/>
      <c r="N278" s="43"/>
      <c r="Q278" s="43"/>
    </row>
    <row r="279" spans="3:17" hidden="1" x14ac:dyDescent="0.3">
      <c r="C279" s="86"/>
      <c r="D279" s="36"/>
      <c r="E279" s="36"/>
      <c r="F279" s="86"/>
      <c r="G279" s="86"/>
      <c r="H279" s="71">
        <v>912.2</v>
      </c>
      <c r="I279" s="43"/>
      <c r="J279" s="43"/>
      <c r="K279" s="75"/>
      <c r="L279" s="43"/>
      <c r="M279" s="43"/>
      <c r="N279" s="43"/>
      <c r="Q279" s="43"/>
    </row>
    <row r="280" spans="3:17" hidden="1" x14ac:dyDescent="0.3">
      <c r="C280" s="86"/>
      <c r="D280" s="36"/>
      <c r="E280" s="36"/>
      <c r="F280" s="86"/>
      <c r="G280" s="86"/>
      <c r="H280" s="71"/>
      <c r="I280" s="43"/>
      <c r="J280" s="43"/>
      <c r="K280" s="75"/>
      <c r="L280" s="43"/>
      <c r="M280" s="43"/>
      <c r="N280" s="43"/>
      <c r="Q280" s="43"/>
    </row>
    <row r="281" spans="3:17" hidden="1" x14ac:dyDescent="0.3">
      <c r="C281" s="68" t="s">
        <v>57</v>
      </c>
      <c r="D281" s="43"/>
      <c r="E281" s="43"/>
      <c r="F281" s="43"/>
      <c r="G281" s="43"/>
      <c r="H281" s="70"/>
      <c r="I281" s="43"/>
      <c r="J281" s="43"/>
      <c r="K281" s="84"/>
      <c r="L281" s="43"/>
      <c r="M281" s="43"/>
      <c r="N281" s="43"/>
      <c r="Q281" s="43"/>
    </row>
    <row r="282" spans="3:17" hidden="1" x14ac:dyDescent="0.3">
      <c r="C282" s="86"/>
      <c r="D282" s="43"/>
      <c r="E282" s="43"/>
      <c r="F282" s="43"/>
      <c r="G282" s="43"/>
      <c r="H282" s="71">
        <v>604.4</v>
      </c>
      <c r="I282" s="43"/>
      <c r="J282" s="43"/>
      <c r="K282" s="75"/>
      <c r="L282" s="43"/>
      <c r="M282" s="43"/>
      <c r="N282" s="43"/>
      <c r="Q282" s="43"/>
    </row>
    <row r="283" spans="3:17" hidden="1" x14ac:dyDescent="0.3">
      <c r="C283" s="86"/>
      <c r="D283" s="43"/>
      <c r="E283" s="43"/>
      <c r="F283" s="43"/>
      <c r="G283" s="43"/>
      <c r="H283" s="71">
        <v>622.6</v>
      </c>
      <c r="I283" s="43"/>
      <c r="J283" s="43"/>
      <c r="K283" s="75"/>
      <c r="L283" s="43"/>
      <c r="M283" s="43"/>
      <c r="N283" s="43"/>
      <c r="Q283" s="43"/>
    </row>
    <row r="284" spans="3:17" hidden="1" x14ac:dyDescent="0.3">
      <c r="C284" s="86"/>
      <c r="D284" s="43"/>
      <c r="E284" s="43"/>
      <c r="F284" s="43"/>
      <c r="G284" s="43"/>
      <c r="H284" s="71">
        <v>640.79999999999995</v>
      </c>
      <c r="I284" s="43"/>
      <c r="J284" s="43"/>
      <c r="K284" s="75"/>
      <c r="L284" s="43"/>
      <c r="M284" s="43"/>
      <c r="N284" s="43"/>
      <c r="Q284" s="43"/>
    </row>
    <row r="285" spans="3:17" hidden="1" x14ac:dyDescent="0.3">
      <c r="C285" s="86"/>
      <c r="D285" s="43"/>
      <c r="E285" s="43"/>
      <c r="F285" s="43"/>
      <c r="G285" s="43"/>
      <c r="H285" s="71">
        <v>710</v>
      </c>
      <c r="I285" s="43"/>
      <c r="J285" s="43"/>
      <c r="K285" s="75"/>
      <c r="L285" s="43"/>
      <c r="M285" s="43"/>
      <c r="N285" s="43"/>
      <c r="Q285" s="43"/>
    </row>
    <row r="286" spans="3:17" hidden="1" x14ac:dyDescent="0.3">
      <c r="C286" s="86"/>
      <c r="D286" s="43"/>
      <c r="E286" s="43"/>
      <c r="F286" s="43"/>
      <c r="G286" s="43"/>
      <c r="H286" s="71">
        <v>746.4</v>
      </c>
      <c r="I286" s="43"/>
      <c r="J286" s="43"/>
      <c r="K286" s="75"/>
      <c r="L286" s="43"/>
      <c r="M286" s="43"/>
      <c r="N286" s="43"/>
      <c r="Q286" s="43"/>
    </row>
    <row r="287" spans="3:17" hidden="1" x14ac:dyDescent="0.3">
      <c r="C287" s="86"/>
      <c r="D287" s="43"/>
      <c r="E287" s="43"/>
      <c r="F287" s="43"/>
      <c r="G287" s="43"/>
      <c r="H287" s="71">
        <v>826.5</v>
      </c>
      <c r="I287" s="43"/>
      <c r="J287" s="43"/>
      <c r="K287" s="75"/>
      <c r="L287" s="43"/>
      <c r="M287" s="43"/>
      <c r="N287" s="43"/>
      <c r="Q287" s="43"/>
    </row>
    <row r="288" spans="3:17" hidden="1" x14ac:dyDescent="0.3">
      <c r="C288" s="43"/>
      <c r="D288" s="43"/>
      <c r="E288" s="43"/>
      <c r="F288" s="43"/>
      <c r="G288" s="43"/>
      <c r="H288" s="71"/>
      <c r="I288" s="43"/>
      <c r="J288" s="43"/>
      <c r="K288" s="75"/>
      <c r="L288" s="43"/>
      <c r="M288" s="43"/>
      <c r="N288" s="43"/>
      <c r="Q288" s="43"/>
    </row>
    <row r="289" spans="3:29" ht="18" x14ac:dyDescent="0.3">
      <c r="C289" s="68" t="s">
        <v>58</v>
      </c>
      <c r="D289" s="69"/>
      <c r="E289" s="69"/>
      <c r="F289" s="68"/>
      <c r="G289" s="68"/>
      <c r="H289" s="70"/>
      <c r="I289" s="43"/>
      <c r="J289" s="43"/>
      <c r="K289" s="84"/>
      <c r="L289" s="43"/>
      <c r="M289" s="43"/>
      <c r="N289" s="43"/>
      <c r="O289" s="92"/>
      <c r="P289" s="67"/>
      <c r="Q289" s="43"/>
      <c r="R289" s="82"/>
      <c r="S289" s="82"/>
      <c r="T289" s="82"/>
      <c r="U289" s="82"/>
      <c r="V289" s="82"/>
      <c r="W289" s="82"/>
      <c r="X289" s="82"/>
      <c r="Y289" s="82"/>
      <c r="Z289" s="82"/>
      <c r="AA289" s="82"/>
      <c r="AB289" s="82"/>
      <c r="AC289" s="82"/>
    </row>
    <row r="290" spans="3:29" x14ac:dyDescent="0.3">
      <c r="C290" s="86"/>
      <c r="D290" s="36"/>
      <c r="E290" s="36"/>
      <c r="F290" s="86"/>
      <c r="G290" s="86"/>
      <c r="H290" s="71">
        <v>16.7</v>
      </c>
      <c r="I290" s="59" t="str">
        <f>IF(ISBLANK(H290)," ",IF(ISTEXT(H290)," ",IF(H290&lt;=Нормативы!$H$290,"МСМК",IF(H290&lt;=Нормативы!$H$291,"МС",IF(H290&lt;=Нормативы!$H$292,"КМС",IF(H290&lt;=Нормативы!$H$293,"I",IF(H290&lt;=Нормативы!$H$294,"II",IF(H290&lt;=Нормативы!$H$295,"III","б/р"))))))))</f>
        <v>МСМК</v>
      </c>
      <c r="J290" s="59" t="str">
        <f>IF(ISBLANK(H290)," ",IF(ISTEXT(H290)," ",IF(H290&lt;=Нормативы!$H$290,"МСМК",IF(H290&lt;=Нормативы!$H$291,"МС",IF(H290&lt;=Нормативы!$H$292,"КМС",IF(H290&lt;=Нормативы!$H$293,"I",IF(H290&lt;=Нормативы!$H$294,"II",IF(H290&lt;=Нормативы!$H$295,"III","б/р"))))))))</f>
        <v>МСМК</v>
      </c>
      <c r="K290" s="75"/>
      <c r="L290" s="71"/>
      <c r="M290" s="59" t="str">
        <f>IF(ISBLANK(L290)," ",IF(ISTEXT(L290)," ",IF(L290&lt;=Нормативы!$H$290,"КМС",IF(L290&lt;=Нормативы!$H$291,"КМС",IF(L290&lt;=Нормативы!$L$292,"КМС",IF(L290&lt;=Нормативы!$L$293,"I",IF(L290&lt;=Нормативы!$L$294,"II",IF(L290&lt;=Нормативы!$L$295,"III","б/р"))))))))</f>
        <v xml:space="preserve"> </v>
      </c>
      <c r="N290" s="59" t="str">
        <f>IF(ISBLANK(L290)," ",IF(ISTEXT(L290)," ",IF(L290&lt;=16.7,"МСМК",IF(L290&lt;=17.5,"МС",IF(L290&lt;=18.2,"КМС",IF(L290&lt;=19.4,"I",IF(L290&lt;=21.1,"II",IF(L290&lt;=22.9,"III","б/р"))))))))</f>
        <v xml:space="preserve"> </v>
      </c>
      <c r="O290" s="36"/>
      <c r="P290" s="67"/>
      <c r="Q290" s="59" t="str">
        <f>IF(ISBLANK(P290)," ",IF(ISTEXT(P290)," ",IF(P290&lt;=$H$290,"МСМК",IF(P290&lt;=$H$291,"МС",IF(P290&lt;=$H$292,"КМС",IF(P290&lt;=$H$293,"I",IF(P290&lt;=$H$294,"II",IF(P290&lt;=$H$295,"III","б/р"))))))))</f>
        <v xml:space="preserve"> </v>
      </c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  <c r="AC290" s="83"/>
    </row>
    <row r="291" spans="3:29" x14ac:dyDescent="0.3">
      <c r="C291" s="86"/>
      <c r="D291" s="36"/>
      <c r="E291" s="36"/>
      <c r="F291" s="86"/>
      <c r="G291" s="86"/>
      <c r="H291" s="71">
        <v>17.3</v>
      </c>
      <c r="I291" s="59" t="str">
        <f>IF(ISBLANK(H291)," ",IF(ISTEXT(H291)," ",IF(H291&lt;=Нормативы!$H$290,"МСМК",IF(H291&lt;=Нормативы!$H$291,"МС",IF(H291&lt;=Нормативы!$H$292,"КМС",IF(H291&lt;=Нормативы!$H$293,"I",IF(H291&lt;=Нормативы!$H$294,"II",IF(H291&lt;=Нормативы!$H$295,"III","б/р"))))))))</f>
        <v>МС</v>
      </c>
      <c r="J291" s="59" t="str">
        <f>IF(ISBLANK(H291)," ",IF(ISTEXT(H291)," ",IF(H291&lt;=Нормативы!$H$290,"МСМК",IF(H291&lt;=Нормативы!$H$291,"МС",IF(H291&lt;=Нормативы!$H$292,"КМС",IF(H291&lt;=Нормативы!$H$293,"I",IF(H291&lt;=Нормативы!$H$294,"II",IF(H291&lt;=Нормативы!$H$295,"III","б/р"))))))))</f>
        <v>МС</v>
      </c>
      <c r="K291" s="75"/>
      <c r="L291" s="71"/>
      <c r="M291" s="59" t="str">
        <f>IF(ISBLANK(L291)," ",IF(ISTEXT(L291)," ",IF(L291&lt;=Нормативы!$H$290,"КМС",IF(L291&lt;=Нормативы!$H$291,"КМС",IF(L291&lt;=Нормативы!$L$292,"КМС",IF(L291&lt;=Нормативы!$L$293,"I",IF(L291&lt;=Нормативы!$L$294,"II",IF(L291&lt;=Нормативы!$L$295,"III","б/р"))))))))</f>
        <v xml:space="preserve"> </v>
      </c>
      <c r="N291" s="59" t="str">
        <f>IF(ISBLANK(L291)," ",IF(ISTEXT(L291)," ",IF(L291&lt;=16.7,"МСМК",IF(L291&lt;=17.5,"МС",IF(L291&lt;=18.2,"КМС",IF(L291&lt;=19.4,"I",IF(L291&lt;=21.1,"II",IF(L291&lt;=22.9,"III","б/р"))))))))</f>
        <v xml:space="preserve"> </v>
      </c>
      <c r="O291" s="36"/>
      <c r="Q291" s="59" t="str">
        <f t="shared" ref="Q291" si="213">IF(ISBLANK(P291)," ",IF(ISTEXT(P291)," ",IF(P291&lt;=$H$290,"МСМК",IF(P291&lt;=$H$291,"МС",IF(P291&lt;=$H$292,"КМС",IF(P291&lt;=$H$293,"I",IF(P291&lt;=$H$294,"II",IF(P291&lt;=$H$295,"III","б/р"))))))))</f>
        <v xml:space="preserve"> </v>
      </c>
    </row>
    <row r="292" spans="3:29" x14ac:dyDescent="0.3">
      <c r="C292" s="86"/>
      <c r="D292" s="36"/>
      <c r="E292" s="36"/>
      <c r="F292" s="86"/>
      <c r="G292" s="86"/>
      <c r="H292" s="71">
        <v>18.2</v>
      </c>
      <c r="I292" s="59" t="str">
        <f>IF(ISBLANK(H292)," ",IF(ISTEXT(H292)," ",IF(H292&lt;=Нормативы!$H$290,"МСМК",IF(H292&lt;=Нормативы!$H$291,"МС",IF(H292&lt;=Нормативы!$H$292,"КМС",IF(H292&lt;=Нормативы!$H$293,"I",IF(H292&lt;=Нормативы!$H$294,"II",IF(H292&lt;=Нормативы!$H$295,"III","б/р"))))))))</f>
        <v>КМС</v>
      </c>
      <c r="J292" s="59" t="str">
        <f>IF(ISBLANK(H292)," ",IF(ISTEXT(H292)," ",IF(H292&lt;=Нормативы!$H$290,"МСМК",IF(H292&lt;=Нормативы!$H$291,"МС",IF(H292&lt;=Нормативы!$H$292,"КМС",IF(H292&lt;=Нормативы!$H$293,"I",IF(H292&lt;=Нормативы!$H$294,"II",IF(H292&lt;=Нормативы!$H$295,"III","б/р"))))))))</f>
        <v>КМС</v>
      </c>
      <c r="K292" s="75"/>
      <c r="L292" s="74">
        <f t="shared" ref="L292:L295" si="214">H292-0.2</f>
        <v>18</v>
      </c>
      <c r="M292" s="59" t="str">
        <f>IF(ISBLANK(L292)," ",IF(ISTEXT(L292)," ",IF(L292&lt;=Нормативы!$H$290,"КМС",IF(L292&lt;=Нормативы!$H$291,"КМС",IF(L292&lt;=Нормативы!$L$292,"КМС",IF(L292&lt;=Нормативы!$L$293,"I",IF(L292&lt;=Нормативы!$L$294,"II",IF(L292&lt;=Нормативы!$L$295,"III","б/р"))))))))</f>
        <v>КМС</v>
      </c>
      <c r="N292" s="59" t="str">
        <f>IF(ISBLANK(L292)," ",IF(ISTEXT(L292)," ",IF(L292&lt;=Нормативы!$H$290,"КМС",IF(L292&lt;=Нормативы!$H$291,"КМС",IF(L292&lt;=Нормативы!$L$292,"КМС",IF(L292&lt;=Нормативы!$L$293,"I",IF(L292&lt;=Нормативы!$L$294,"II",IF(L292&lt;=Нормативы!$L$295,"III","б/р"))))))))</f>
        <v>КМС</v>
      </c>
      <c r="O292" s="36"/>
      <c r="Q292" s="59" t="str">
        <f t="shared" ref="Q292" si="215">IF(ISBLANK(P292)," ",IF(ISTEXT(P292)," ",IF(P292&lt;=$H$290,"МСМК",IF(P292&lt;=$H$291,"МС",IF(P292&lt;=$H$292,"КМС",IF(P292&lt;=$H$293,"I",IF(P292&lt;=$H$294,"II",IF(P292&lt;=$H$295,"III","б/р"))))))))</f>
        <v xml:space="preserve"> </v>
      </c>
    </row>
    <row r="293" spans="3:29" x14ac:dyDescent="0.3">
      <c r="C293" s="86"/>
      <c r="D293" s="36"/>
      <c r="E293" s="36"/>
      <c r="F293" s="86"/>
      <c r="G293" s="86"/>
      <c r="H293" s="71">
        <v>19.3</v>
      </c>
      <c r="I293" s="59" t="str">
        <f>IF(ISBLANK(H293)," ",IF(ISTEXT(H293)," ",IF(H293&lt;=Нормативы!$H$290,"МСМК",IF(H293&lt;=Нормативы!$H$291,"МС",IF(H293&lt;=Нормативы!$H$292,"КМС",IF(H293&lt;=Нормативы!$H$293,"I",IF(H293&lt;=Нормативы!$H$294,"II",IF(H293&lt;=Нормативы!$H$295,"III","б/р"))))))))</f>
        <v>I</v>
      </c>
      <c r="J293" s="59" t="str">
        <f>IF(ISBLANK(H293)," ",IF(ISTEXT(H293)," ",IF(H293&lt;=Нормативы!$H$290,"МСМК",IF(H293&lt;=Нормативы!$H$291,"МС",IF(H293&lt;=Нормативы!$H$292,"КМС",IF(H293&lt;=Нормативы!$H$293,"I",IF(H293&lt;=Нормативы!$H$294,"II",IF(H293&lt;=Нормативы!$H$295,"III","б/р"))))))))</f>
        <v>I</v>
      </c>
      <c r="K293" s="75"/>
      <c r="L293" s="74">
        <f t="shared" si="214"/>
        <v>19.100000000000001</v>
      </c>
      <c r="M293" s="59" t="str">
        <f>IF(ISBLANK(L293)," ",IF(ISTEXT(L293)," ",IF(L293&lt;=Нормативы!$H$290,"КМС",IF(L293&lt;=Нормативы!$H$291,"КМС",IF(L293&lt;=Нормативы!$L$292,"КМС",IF(L293&lt;=Нормативы!$L$293,"I",IF(L293&lt;=Нормативы!$L$294,"II",IF(L293&lt;=Нормативы!$L$295,"III","б/р"))))))))</f>
        <v>I</v>
      </c>
      <c r="N293" s="59" t="str">
        <f>IF(ISBLANK(L293)," ",IF(ISTEXT(L293)," ",IF(L293&lt;=Нормативы!$H$290,"КМС",IF(L293&lt;=Нормативы!$H$291,"КМС",IF(L293&lt;=Нормативы!$L$292,"КМС",IF(L293&lt;=Нормативы!$L$293,"I",IF(L293&lt;=Нормативы!$L$294,"II",IF(L293&lt;=Нормативы!$L$295,"III","б/р"))))))))</f>
        <v>I</v>
      </c>
      <c r="O293" s="36"/>
      <c r="Q293" s="59" t="str">
        <f t="shared" ref="Q293" si="216">IF(ISBLANK(P293)," ",IF(ISTEXT(P293)," ",IF(P293&lt;=$H$290,"МСМК",IF(P293&lt;=$H$291,"МС",IF(P293&lt;=$H$292,"КМС",IF(P293&lt;=$H$293,"I",IF(P293&lt;=$H$294,"II",IF(P293&lt;=$H$295,"III","б/р"))))))))</f>
        <v xml:space="preserve"> </v>
      </c>
    </row>
    <row r="294" spans="3:29" x14ac:dyDescent="0.3">
      <c r="C294" s="86"/>
      <c r="D294" s="36"/>
      <c r="E294" s="36"/>
      <c r="F294" s="86"/>
      <c r="G294" s="86"/>
      <c r="H294" s="71">
        <v>21.099999999999998</v>
      </c>
      <c r="I294" s="59" t="str">
        <f>IF(ISBLANK(H294)," ",IF(ISTEXT(H294)," ",IF(H294&lt;=Нормативы!$H$290,"МСМК",IF(H294&lt;=Нормативы!$H$291,"МС",IF(H294&lt;=Нормативы!$H$292,"КМС",IF(H294&lt;=Нормативы!$H$293,"I",IF(H294&lt;=Нормативы!$H$294,"II",IF(H294&lt;=Нормативы!$H$295,"III","б/р"))))))))</f>
        <v>II</v>
      </c>
      <c r="J294" s="59" t="str">
        <f>IF(ISBLANK(H294)," ",IF(ISTEXT(H294)," ",IF(H294&lt;=Нормативы!$H$290,"МСМК",IF(H294&lt;=Нормативы!$H$291,"МС",IF(H294&lt;=Нормативы!$H$292,"КМС",IF(H294&lt;=Нормативы!$H$293,"I",IF(H294&lt;=Нормативы!$H$294,"II",IF(H294&lt;=Нормативы!$H$295,"III","б/р"))))))))</f>
        <v>II</v>
      </c>
      <c r="K294" s="75"/>
      <c r="L294" s="74">
        <f t="shared" si="214"/>
        <v>20.9</v>
      </c>
      <c r="M294" s="59" t="str">
        <f>IF(ISBLANK(L294)," ",IF(ISTEXT(L294)," ",IF(L294&lt;=Нормативы!$H$290,"КМС",IF(L294&lt;=Нормативы!$H$291,"КМС",IF(L294&lt;=Нормативы!$L$292,"КМС",IF(L294&lt;=Нормативы!$L$293,"I",IF(L294&lt;=Нормативы!$L$294,"II",IF(L294&lt;=Нормативы!$L$295,"III","б/р"))))))))</f>
        <v>II</v>
      </c>
      <c r="N294" s="59" t="str">
        <f>IF(ISBLANK(L294)," ",IF(ISTEXT(L294)," ",IF(L294&lt;=Нормативы!$H$290,"КМС",IF(L294&lt;=Нормативы!$H$291,"КМС",IF(L294&lt;=Нормативы!$L$292,"КМС",IF(L294&lt;=Нормативы!$L$293,"I",IF(L294&lt;=Нормативы!$L$294,"II",IF(L294&lt;=Нормативы!$L$295,"III","б/р"))))))))</f>
        <v>II</v>
      </c>
      <c r="O294" s="36"/>
      <c r="Q294" s="59" t="str">
        <f t="shared" ref="Q294" si="217">IF(ISBLANK(P294)," ",IF(ISTEXT(P294)," ",IF(P294&lt;=$H$290,"МСМК",IF(P294&lt;=$H$291,"МС",IF(P294&lt;=$H$292,"КМС",IF(P294&lt;=$H$293,"I",IF(P294&lt;=$H$294,"II",IF(P294&lt;=$H$295,"III","б/р"))))))))</f>
        <v xml:space="preserve"> </v>
      </c>
    </row>
    <row r="295" spans="3:29" x14ac:dyDescent="0.3">
      <c r="C295" s="86"/>
      <c r="D295" s="36"/>
      <c r="E295" s="36"/>
      <c r="F295" s="86"/>
      <c r="G295" s="86"/>
      <c r="H295" s="71">
        <v>22.9</v>
      </c>
      <c r="I295" s="59" t="str">
        <f>IF(ISBLANK(H295)," ",IF(ISTEXT(H295)," ",IF(H295&lt;=Нормативы!$H$290,"МСМК",IF(H295&lt;=Нормативы!$H$291,"МС",IF(H295&lt;=Нормативы!$H$292,"КМС",IF(H295&lt;=Нормативы!$H$293,"I",IF(H295&lt;=Нормативы!$H$294,"II",IF(H295&lt;=Нормативы!$H$295,"III","б/р"))))))))</f>
        <v>III</v>
      </c>
      <c r="J295" s="59" t="str">
        <f>IF(ISBLANK(H295)," ",IF(ISTEXT(H295)," ",IF(H295&lt;=Нормативы!$H$290,"МСМК",IF(H295&lt;=Нормативы!$H$291,"МС",IF(H295&lt;=Нормативы!$H$292,"КМС",IF(H295&lt;=Нормативы!$H$293,"I",IF(H295&lt;=Нормативы!$H$294,"II",IF(H295&lt;=Нормативы!$H$295,"III","б/р"))))))))</f>
        <v>III</v>
      </c>
      <c r="K295" s="75"/>
      <c r="L295" s="74">
        <f t="shared" si="214"/>
        <v>22.7</v>
      </c>
      <c r="M295" s="59" t="str">
        <f>IF(ISBLANK(L295)," ",IF(ISTEXT(L295)," ",IF(L295&lt;=Нормативы!$H$290,"КМС",IF(L295&lt;=Нормативы!$H$291,"КМС",IF(L295&lt;=Нормативы!$L$292,"КМС",IF(L295&lt;=Нормативы!$L$293,"I",IF(L295&lt;=Нормативы!$L$294,"II",IF(L295&lt;=Нормативы!$L$295,"III","б/р"))))))))</f>
        <v>III</v>
      </c>
      <c r="N295" s="59" t="str">
        <f>IF(ISBLANK(L295)," ",IF(ISTEXT(L295)," ",IF(L295&lt;=Нормативы!$H$290,"КМС",IF(L295&lt;=Нормативы!$H$291,"КМС",IF(L295&lt;=Нормативы!$L$292,"КМС",IF(L295&lt;=Нормативы!$L$293,"I",IF(L295&lt;=Нормативы!$L$294,"II",IF(L295&lt;=Нормативы!$L$295,"III","б/р"))))))))</f>
        <v>III</v>
      </c>
      <c r="O295" s="36"/>
      <c r="Q295" s="59" t="str">
        <f t="shared" ref="Q295" si="218">IF(ISBLANK(P295)," ",IF(ISTEXT(P295)," ",IF(P295&lt;=$H$290,"МСМК",IF(P295&lt;=$H$291,"МС",IF(P295&lt;=$H$292,"КМС",IF(P295&lt;=$H$293,"I",IF(P295&lt;=$H$294,"II",IF(P295&lt;=$H$295,"III","б/р"))))))))</f>
        <v xml:space="preserve"> </v>
      </c>
    </row>
    <row r="296" spans="3:29" x14ac:dyDescent="0.3">
      <c r="C296" s="86"/>
      <c r="D296" s="36"/>
      <c r="E296" s="36"/>
      <c r="F296" s="86"/>
      <c r="G296" s="86"/>
      <c r="H296" s="71"/>
      <c r="I296" s="43"/>
      <c r="J296" s="43"/>
      <c r="K296" s="75"/>
      <c r="L296" s="43"/>
      <c r="M296" s="43"/>
      <c r="N296" s="43"/>
      <c r="P296" s="82"/>
      <c r="Q296" s="43"/>
      <c r="R296" s="82"/>
      <c r="S296" s="82"/>
      <c r="T296" s="82"/>
      <c r="U296" s="82"/>
      <c r="V296" s="82"/>
      <c r="W296" s="82"/>
      <c r="X296" s="82"/>
      <c r="Y296" s="82"/>
      <c r="Z296" s="82"/>
      <c r="AA296" s="82"/>
    </row>
    <row r="297" spans="3:29" x14ac:dyDescent="0.3">
      <c r="C297" s="68" t="s">
        <v>59</v>
      </c>
      <c r="D297" s="36"/>
      <c r="E297" s="36"/>
      <c r="F297" s="86"/>
      <c r="G297" s="86"/>
      <c r="H297" s="71"/>
      <c r="I297" s="43"/>
      <c r="J297" s="43"/>
      <c r="K297" s="84"/>
      <c r="L297" s="43"/>
      <c r="M297" s="43"/>
      <c r="N297" s="43"/>
      <c r="P297" s="83"/>
      <c r="Q297" s="43"/>
      <c r="R297" s="83"/>
      <c r="S297" s="83"/>
      <c r="T297" s="83"/>
      <c r="U297" s="83"/>
      <c r="V297" s="83"/>
      <c r="W297" s="83"/>
      <c r="X297" s="83"/>
      <c r="Y297" s="83"/>
      <c r="Z297" s="83"/>
      <c r="AA297" s="83"/>
    </row>
    <row r="298" spans="3:29" x14ac:dyDescent="0.3">
      <c r="C298" s="43"/>
      <c r="D298" s="43"/>
      <c r="E298" s="43"/>
      <c r="F298" s="43"/>
      <c r="G298" s="43"/>
      <c r="H298" s="71">
        <v>14.7</v>
      </c>
      <c r="I298" s="59" t="str">
        <f>IF(ISBLANK(H298)," ",IF(ISTEXT(H298)," ",IF(H298&lt;=Нормативы!$H$298,"МСМК",IF(H298&lt;=Нормативы!$H$299,"МС",IF(H298&lt;=Нормативы!$H$300,"КМС",IF(H298&lt;=Нормативы!$H$301,"I",IF(H298&lt;=Нормативы!$H$302,"II",IF(H298&lt;=Нормативы!$H$303,"III","б/р"))))))))</f>
        <v>МСМК</v>
      </c>
      <c r="J298" s="59" t="str">
        <f>IF(ISBLANK(H298)," ",IF(ISTEXT(H298)," ",IF(H298&lt;=Нормативы!$H$298,"МСМК",IF(H298&lt;=Нормативы!$H$299,"МС",IF(H298&lt;=Нормативы!$H$300,"КМС",IF(H298&lt;=Нормативы!$H$301,"I",IF(H298&lt;=Нормативы!$H$302,"II",IF(H298&lt;=Нормативы!$H$303,"III","б/р"))))))))</f>
        <v>МСМК</v>
      </c>
      <c r="K298" s="75"/>
      <c r="L298" s="71"/>
      <c r="M298" s="59" t="str">
        <f>IF(ISBLANK(L298)," ",IF(ISTEXT(L298)," ",IF(L298&lt;=Нормативы!$H$298,"КМС",IF(L298&lt;=Нормативы!$H$299,"КМС",IF(L298&lt;=Нормативы!$L$300,"КМС",IF(L298&lt;=Нормативы!$L$301,"I",IF(L298&lt;=Нормативы!$L$302,"II",IF(L298&lt;=Нормативы!$L$303,"III","б/р"))))))))</f>
        <v xml:space="preserve"> </v>
      </c>
      <c r="N298" s="59" t="str">
        <f>IF(ISBLANK(L298)," ",IF(ISTEXT(L298)," ",IF(L298&lt;=14.9,"МСМК",IF(L298&lt;=15.6,"МС",IF(L298&lt;=16.2,"КМС",IF(L298&lt;=17.3,"I",IF(L298&lt;=18.8,"II",IF(L298&lt;=20.4,"III","б/р"))))))))</f>
        <v xml:space="preserve"> </v>
      </c>
      <c r="O298" s="36"/>
      <c r="P298" s="83"/>
      <c r="Q298" s="59" t="str">
        <f>IF(ISBLANK(P298)," ",IF(ISTEXT(P298)," ",IF(P298&lt;=$H$298,"МСМК",IF(P298&lt;=$H$299,"МС",IF(P298&lt;=$H$300,"КМС",IF(P298&lt;=$H$301,"I",IF(P298&lt;=$H$302,"II",IF(P298&lt;=$H$303,"III","б/р"))))))))</f>
        <v xml:space="preserve"> </v>
      </c>
      <c r="R298" s="83"/>
      <c r="S298" s="83"/>
      <c r="T298" s="83"/>
      <c r="U298" s="83"/>
      <c r="V298" s="83"/>
      <c r="W298" s="83"/>
      <c r="X298" s="83"/>
      <c r="Y298" s="83"/>
      <c r="Z298" s="83"/>
      <c r="AA298" s="83"/>
    </row>
    <row r="299" spans="3:29" x14ac:dyDescent="0.3">
      <c r="C299" s="43"/>
      <c r="D299" s="43"/>
      <c r="E299" s="43"/>
      <c r="F299" s="43"/>
      <c r="G299" s="43"/>
      <c r="H299" s="71">
        <v>15.4</v>
      </c>
      <c r="I299" s="59" t="str">
        <f>IF(ISBLANK(H299)," ",IF(ISTEXT(H299)," ",IF(H299&lt;=Нормативы!$H$298,"МСМК",IF(H299&lt;=Нормативы!$H$299,"МС",IF(H299&lt;=Нормативы!$H$300,"КМС",IF(H299&lt;=Нормативы!$H$301,"I",IF(H299&lt;=Нормативы!$H$302,"II",IF(H299&lt;=Нормативы!$H$303,"III","б/р"))))))))</f>
        <v>МС</v>
      </c>
      <c r="J299" s="59" t="str">
        <f>IF(ISBLANK(H299)," ",IF(ISTEXT(H299)," ",IF(H299&lt;=Нормативы!$H$298,"МСМК",IF(H299&lt;=Нормативы!$H$299,"МС",IF(H299&lt;=Нормативы!$H$300,"КМС",IF(H299&lt;=Нормативы!$H$301,"I",IF(H299&lt;=Нормативы!$H$302,"II",IF(H299&lt;=Нормативы!$H$303,"III","б/р"))))))))</f>
        <v>МС</v>
      </c>
      <c r="K299" s="75"/>
      <c r="L299" s="71"/>
      <c r="M299" s="59" t="str">
        <f>IF(ISBLANK(L299)," ",IF(ISTEXT(L299)," ",IF(L299&lt;=Нормативы!$H$298,"КМС",IF(L299&lt;=Нормативы!$H$299,"КМС",IF(L299&lt;=Нормативы!$L$300,"КМС",IF(L299&lt;=Нормативы!$L$301,"I",IF(L299&lt;=Нормативы!$L$302,"II",IF(L299&lt;=Нормативы!$L$303,"III","б/р"))))))))</f>
        <v xml:space="preserve"> </v>
      </c>
      <c r="N299" s="59" t="str">
        <f>IF(ISBLANK(L299)," ",IF(ISTEXT(L299)," ",IF(L299&lt;=14.9,"МСМК",IF(L299&lt;=15.6,"МС",IF(L299&lt;=16.2,"КМС",IF(L299&lt;=17.3,"I",IF(L299&lt;=18.8,"II",IF(L299&lt;=20.4,"III","б/р"))))))))</f>
        <v xml:space="preserve"> </v>
      </c>
      <c r="O299" s="36"/>
      <c r="Q299" s="59" t="str">
        <f t="shared" ref="Q299" si="219">IF(ISBLANK(P299)," ",IF(ISTEXT(P299)," ",IF(P299&lt;=$H$298,"МСМК",IF(P299&lt;=$H$299,"МС",IF(P299&lt;=$H$300,"КМС",IF(P299&lt;=$H$301,"I",IF(P299&lt;=$H$302,"II",IF(P299&lt;=$H$303,"III","б/р"))))))))</f>
        <v xml:space="preserve"> </v>
      </c>
    </row>
    <row r="300" spans="3:29" x14ac:dyDescent="0.3">
      <c r="C300" s="43"/>
      <c r="D300" s="43"/>
      <c r="E300" s="43"/>
      <c r="F300" s="43"/>
      <c r="G300" s="43"/>
      <c r="H300" s="71">
        <v>16.2</v>
      </c>
      <c r="I300" s="59" t="str">
        <f>IF(ISBLANK(H300)," ",IF(ISTEXT(H300)," ",IF(H300&lt;=Нормативы!$H$298,"МСМК",IF(H300&lt;=Нормативы!$H$299,"МС",IF(H300&lt;=Нормативы!$H$300,"КМС",IF(H300&lt;=Нормативы!$H$301,"I",IF(H300&lt;=Нормативы!$H$302,"II",IF(H300&lt;=Нормативы!$H$303,"III","б/р"))))))))</f>
        <v>КМС</v>
      </c>
      <c r="J300" s="59" t="str">
        <f>IF(ISBLANK(H300)," ",IF(ISTEXT(H300)," ",IF(H300&lt;=Нормативы!$H$298,"МСМК",IF(H300&lt;=Нормативы!$H$299,"МС",IF(H300&lt;=Нормативы!$H$300,"КМС",IF(H300&lt;=Нормативы!$H$301,"I",IF(H300&lt;=Нормативы!$H$302,"II",IF(H300&lt;=Нормативы!$H$303,"III","б/р"))))))))</f>
        <v>КМС</v>
      </c>
      <c r="K300" s="75"/>
      <c r="L300" s="74">
        <f t="shared" ref="L300:L303" si="220">H300-0.2</f>
        <v>16</v>
      </c>
      <c r="M300" s="59" t="str">
        <f>IF(ISBLANK(L300)," ",IF(ISTEXT(L300)," ",IF(L300&lt;=Нормативы!$H$298,"КМС",IF(L300&lt;=Нормативы!$H$299,"КМС",IF(L300&lt;=Нормативы!$L$300,"КМС",IF(L300&lt;=Нормативы!$L$301,"I",IF(L300&lt;=Нормативы!$L$302,"II",IF(L300&lt;=Нормативы!$L$303,"III","б/р"))))))))</f>
        <v>КМС</v>
      </c>
      <c r="N300" s="59" t="str">
        <f>IF(ISBLANK(L300)," ",IF(ISTEXT(L300)," ",IF(L300&lt;=Нормативы!$H$298,"КМС",IF(L300&lt;=Нормативы!$H$299,"КМС",IF(L300&lt;=Нормативы!$L$300,"КМС",IF(L300&lt;=Нормативы!$L$301,"I",IF(L300&lt;=Нормативы!$L$302,"II",IF(L300&lt;=Нормативы!$L$303,"III","б/р"))))))))</f>
        <v>КМС</v>
      </c>
      <c r="O300" s="36"/>
      <c r="Q300" s="59" t="str">
        <f t="shared" ref="Q300" si="221">IF(ISBLANK(P300)," ",IF(ISTEXT(P300)," ",IF(P300&lt;=$H$298,"МСМК",IF(P300&lt;=$H$299,"МС",IF(P300&lt;=$H$300,"КМС",IF(P300&lt;=$H$301,"I",IF(P300&lt;=$H$302,"II",IF(P300&lt;=$H$303,"III","б/р"))))))))</f>
        <v xml:space="preserve"> </v>
      </c>
    </row>
    <row r="301" spans="3:29" x14ac:dyDescent="0.3">
      <c r="C301" s="43"/>
      <c r="D301" s="43"/>
      <c r="E301" s="43"/>
      <c r="F301" s="43"/>
      <c r="G301" s="43"/>
      <c r="H301" s="71">
        <v>17.2</v>
      </c>
      <c r="I301" s="59" t="str">
        <f>IF(ISBLANK(H301)," ",IF(ISTEXT(H301)," ",IF(H301&lt;=Нормативы!$H$298,"МСМК",IF(H301&lt;=Нормативы!$H$299,"МС",IF(H301&lt;=Нормативы!$H$300,"КМС",IF(H301&lt;=Нормативы!$H$301,"I",IF(H301&lt;=Нормативы!$H$302,"II",IF(H301&lt;=Нормативы!$H$303,"III","б/р"))))))))</f>
        <v>I</v>
      </c>
      <c r="J301" s="59" t="str">
        <f>IF(ISBLANK(H301)," ",IF(ISTEXT(H301)," ",IF(H301&lt;=Нормативы!$H$298,"МСМК",IF(H301&lt;=Нормативы!$H$299,"МС",IF(H301&lt;=Нормативы!$H$300,"КМС",IF(H301&lt;=Нормативы!$H$301,"I",IF(H301&lt;=Нормативы!$H$302,"II",IF(H301&lt;=Нормативы!$H$303,"III","б/р"))))))))</f>
        <v>I</v>
      </c>
      <c r="K301" s="75"/>
      <c r="L301" s="74">
        <f t="shared" si="220"/>
        <v>17</v>
      </c>
      <c r="M301" s="59" t="str">
        <f>IF(ISBLANK(L301)," ",IF(ISTEXT(L301)," ",IF(L301&lt;=Нормативы!$H$298,"КМС",IF(L301&lt;=Нормативы!$H$299,"КМС",IF(L301&lt;=Нормативы!$L$300,"КМС",IF(L301&lt;=Нормативы!$L$301,"I",IF(L301&lt;=Нормативы!$L$302,"II",IF(L301&lt;=Нормативы!$L$303,"III","б/р"))))))))</f>
        <v>I</v>
      </c>
      <c r="N301" s="59" t="str">
        <f>IF(ISBLANK(L301)," ",IF(ISTEXT(L301)," ",IF(L301&lt;=Нормативы!$H$298,"КМС",IF(L301&lt;=Нормативы!$H$299,"КМС",IF(L301&lt;=Нормативы!$L$300,"КМС",IF(L301&lt;=Нормативы!$L$301,"I",IF(L301&lt;=Нормативы!$L$302,"II",IF(L301&lt;=Нормативы!$L$303,"III","б/р"))))))))</f>
        <v>I</v>
      </c>
      <c r="O301" s="36"/>
      <c r="Q301" s="59" t="str">
        <f t="shared" ref="Q301" si="222">IF(ISBLANK(P301)," ",IF(ISTEXT(P301)," ",IF(P301&lt;=$H$298,"МСМК",IF(P301&lt;=$H$299,"МС",IF(P301&lt;=$H$300,"КМС",IF(P301&lt;=$H$301,"I",IF(P301&lt;=$H$302,"II",IF(P301&lt;=$H$303,"III","б/р"))))))))</f>
        <v xml:space="preserve"> </v>
      </c>
    </row>
    <row r="302" spans="3:29" x14ac:dyDescent="0.3">
      <c r="C302" s="43"/>
      <c r="D302" s="43"/>
      <c r="E302" s="43"/>
      <c r="F302" s="43"/>
      <c r="G302" s="43"/>
      <c r="H302" s="71">
        <v>18.7</v>
      </c>
      <c r="I302" s="59" t="str">
        <f>IF(ISBLANK(H302)," ",IF(ISTEXT(H302)," ",IF(H302&lt;=Нормативы!$H$298,"МСМК",IF(H302&lt;=Нормативы!$H$299,"МС",IF(H302&lt;=Нормативы!$H$300,"КМС",IF(H302&lt;=Нормативы!$H$301,"I",IF(H302&lt;=Нормативы!$H$302,"II",IF(H302&lt;=Нормативы!$H$303,"III","б/р"))))))))</f>
        <v>II</v>
      </c>
      <c r="J302" s="59" t="str">
        <f>IF(ISBLANK(H302)," ",IF(ISTEXT(H302)," ",IF(H302&lt;=Нормативы!$H$298,"МСМК",IF(H302&lt;=Нормативы!$H$299,"МС",IF(H302&lt;=Нормативы!$H$300,"КМС",IF(H302&lt;=Нормативы!$H$301,"I",IF(H302&lt;=Нормативы!$H$302,"II",IF(H302&lt;=Нормативы!$H$303,"III","б/р"))))))))</f>
        <v>II</v>
      </c>
      <c r="K302" s="75"/>
      <c r="L302" s="74">
        <f t="shared" si="220"/>
        <v>18.5</v>
      </c>
      <c r="M302" s="59" t="str">
        <f>IF(ISBLANK(L302)," ",IF(ISTEXT(L302)," ",IF(L302&lt;=Нормативы!$H$298,"КМС",IF(L302&lt;=Нормативы!$H$299,"КМС",IF(L302&lt;=Нормативы!$L$300,"КМС",IF(L302&lt;=Нормативы!$L$301,"I",IF(L302&lt;=Нормативы!$L$302,"II",IF(L302&lt;=Нормативы!$L$303,"III","б/р"))))))))</f>
        <v>II</v>
      </c>
      <c r="N302" s="59" t="str">
        <f>IF(ISBLANK(L302)," ",IF(ISTEXT(L302)," ",IF(L302&lt;=Нормативы!$H$298,"КМС",IF(L302&lt;=Нормативы!$H$299,"КМС",IF(L302&lt;=Нормативы!$L$300,"КМС",IF(L302&lt;=Нормативы!$L$301,"I",IF(L302&lt;=Нормативы!$L$302,"II",IF(L302&lt;=Нормативы!$L$303,"III","б/р"))))))))</f>
        <v>II</v>
      </c>
      <c r="O302" s="36"/>
      <c r="Q302" s="59" t="str">
        <f t="shared" ref="Q302" si="223">IF(ISBLANK(P302)," ",IF(ISTEXT(P302)," ",IF(P302&lt;=$H$298,"МСМК",IF(P302&lt;=$H$299,"МС",IF(P302&lt;=$H$300,"КМС",IF(P302&lt;=$H$301,"I",IF(P302&lt;=$H$302,"II",IF(P302&lt;=$H$303,"III","б/р"))))))))</f>
        <v xml:space="preserve"> </v>
      </c>
    </row>
    <row r="303" spans="3:29" x14ac:dyDescent="0.3">
      <c r="C303" s="43"/>
      <c r="D303" s="43"/>
      <c r="E303" s="43"/>
      <c r="F303" s="43"/>
      <c r="G303" s="43"/>
      <c r="H303" s="71">
        <v>20.2</v>
      </c>
      <c r="I303" s="59" t="str">
        <f>IF(ISBLANK(H303)," ",IF(ISTEXT(H303)," ",IF(H303&lt;=Нормативы!$H$298,"МСМК",IF(H303&lt;=Нормативы!$H$299,"МС",IF(H303&lt;=Нормативы!$H$300,"КМС",IF(H303&lt;=Нормативы!$H$301,"I",IF(H303&lt;=Нормативы!$H$302,"II",IF(H303&lt;=Нормативы!$H$303,"III","б/р"))))))))</f>
        <v>III</v>
      </c>
      <c r="J303" s="59" t="str">
        <f>IF(ISBLANK(H303)," ",IF(ISTEXT(H303)," ",IF(H303&lt;=Нормативы!$H$298,"МСМК",IF(H303&lt;=Нормативы!$H$299,"МС",IF(H303&lt;=Нормативы!$H$300,"КМС",IF(H303&lt;=Нормативы!$H$301,"I",IF(H303&lt;=Нормативы!$H$302,"II",IF(H303&lt;=Нормативы!$H$303,"III","б/р"))))))))</f>
        <v>III</v>
      </c>
      <c r="K303" s="75"/>
      <c r="L303" s="74">
        <f t="shared" si="220"/>
        <v>20</v>
      </c>
      <c r="M303" s="59" t="str">
        <f>IF(ISBLANK(L303)," ",IF(ISTEXT(L303)," ",IF(L303&lt;=Нормативы!$H$298,"КМС",IF(L303&lt;=Нормативы!$H$299,"КМС",IF(L303&lt;=Нормативы!$L$300,"КМС",IF(L303&lt;=Нормативы!$L$301,"I",IF(L303&lt;=Нормативы!$L$302,"II",IF(L303&lt;=Нормативы!$L$303,"III","б/р"))))))))</f>
        <v>III</v>
      </c>
      <c r="N303" s="59" t="str">
        <f>IF(ISBLANK(L303)," ",IF(ISTEXT(L303)," ",IF(L303&lt;=Нормативы!$H$298,"КМС",IF(L303&lt;=Нормативы!$H$299,"КМС",IF(L303&lt;=Нормативы!$L$300,"КМС",IF(L303&lt;=Нормативы!$L$301,"I",IF(L303&lt;=Нормативы!$L$302,"II",IF(L303&lt;=Нормативы!$L$303,"III","б/р"))))))))</f>
        <v>III</v>
      </c>
      <c r="O303" s="36"/>
      <c r="Q303" s="59" t="str">
        <f t="shared" ref="Q303" si="224">IF(ISBLANK(P303)," ",IF(ISTEXT(P303)," ",IF(P303&lt;=$H$298,"МСМК",IF(P303&lt;=$H$299,"МС",IF(P303&lt;=$H$300,"КМС",IF(P303&lt;=$H$301,"I",IF(P303&lt;=$H$302,"II",IF(P303&lt;=$H$303,"III","б/р"))))))))</f>
        <v xml:space="preserve"> </v>
      </c>
    </row>
    <row r="304" spans="3:29" x14ac:dyDescent="0.3">
      <c r="C304" s="43"/>
      <c r="D304" s="43"/>
      <c r="E304" s="43"/>
      <c r="F304" s="43"/>
      <c r="G304" s="43"/>
      <c r="H304" s="71"/>
      <c r="I304" s="59"/>
      <c r="J304" s="59"/>
      <c r="K304" s="75"/>
      <c r="L304" s="71"/>
      <c r="M304" s="59"/>
      <c r="N304" s="59"/>
      <c r="O304" s="36"/>
      <c r="Q304" s="59"/>
    </row>
    <row r="305" spans="3:17" x14ac:dyDescent="0.3">
      <c r="C305" s="45" t="s">
        <v>82</v>
      </c>
      <c r="I305" s="43"/>
      <c r="J305" s="43"/>
      <c r="K305" s="84"/>
      <c r="L305" s="43"/>
      <c r="M305" s="43"/>
      <c r="N305" s="43"/>
      <c r="Q305" s="43"/>
    </row>
    <row r="306" spans="3:17" x14ac:dyDescent="0.3">
      <c r="C306" s="43"/>
      <c r="D306" s="43"/>
      <c r="E306" s="43"/>
      <c r="F306" s="43"/>
      <c r="H306" s="55"/>
      <c r="I306" s="59"/>
      <c r="J306" s="56" t="s">
        <v>128</v>
      </c>
      <c r="K306" s="90"/>
      <c r="L306" s="55">
        <v>160</v>
      </c>
      <c r="M306" s="59" t="str">
        <f>IF(ISBLANK(L306)," ",IF(ISTEXT(L306)," ",IF(L306&gt;=Нормативы!$L$306,"МСМК",IF(L306&gt;=Нормативы!$L$307,"МС",IF(L306&gt;=Нормативы!$L$308,"КМС",IF(L306&gt;=Нормативы!$L$309,"I",IF(L306&gt;=Нормативы!$L$310,"II",IF(L306&gt;=Нормативы!$L$311,"III","б/р"))))))))</f>
        <v>МСМК</v>
      </c>
      <c r="N306" s="59" t="str">
        <f>IF(ISBLANK(L306)," ",IF(ISTEXT(L306)," ",IF(L306&gt;=Нормативы!$L$306,"МСМК",IF(L306&gt;=Нормативы!$L$307,"МС",IF(L306&gt;=Нормативы!$L$308,"КМС",IF(L306&gt;=Нормативы!$L$309,"I",IF(L306&gt;=Нормативы!$L$310,"II",IF(L306&gt;=Нормативы!$L$311,"III","б/р"))))))))</f>
        <v>МСМК</v>
      </c>
      <c r="O306" s="59"/>
      <c r="Q306" s="59" t="str">
        <f>IF(ISBLANK(P306)," ",IF(ISTEXT(P306)," ",IF(P306&gt;=$L$306,"МСМК",IF(P306&gt;=$L$307,"МС",IF(P306&gt;=$L$308,"КМС",IF(P306&gt;=$L$309,"I",IF(P306&gt;=$L$310,"II",IF(P306&gt;=$L$311,"III","б/р"))))))))</f>
        <v xml:space="preserve"> </v>
      </c>
    </row>
    <row r="307" spans="3:17" x14ac:dyDescent="0.3">
      <c r="C307" s="43"/>
      <c r="D307" s="43"/>
      <c r="E307" s="43"/>
      <c r="F307" s="43"/>
      <c r="H307" s="55"/>
      <c r="I307" s="59"/>
      <c r="J307" s="56" t="s">
        <v>128</v>
      </c>
      <c r="K307" s="90"/>
      <c r="L307" s="55">
        <v>130</v>
      </c>
      <c r="M307" s="59" t="str">
        <f>IF(ISBLANK(L307)," ",IF(ISTEXT(L307)," ",IF(L307&gt;=Нормативы!$L$306,"МСМК",IF(L307&gt;=Нормативы!$L$307,"МС",IF(L307&gt;=Нормативы!$L$308,"КМС",IF(L307&gt;=Нормативы!$L$309,"I",IF(L307&gt;=Нормативы!$L$310,"II",IF(L307&gt;=Нормативы!$L$311,"III","б/р"))))))))</f>
        <v>МС</v>
      </c>
      <c r="N307" s="59" t="str">
        <f>IF(ISBLANK(L307)," ",IF(ISTEXT(L307)," ",IF(L307&gt;=Нормативы!$L$306,"МСМК",IF(L307&gt;=Нормативы!$L$307,"МС",IF(L307&gt;=Нормативы!$L$308,"КМС",IF(L307&gt;=Нормативы!$L$309,"I",IF(L307&gt;=Нормативы!$L$310,"II",IF(L307&gt;=Нормативы!$L$311,"III","б/р"))))))))</f>
        <v>МС</v>
      </c>
      <c r="O307" s="59"/>
      <c r="Q307" s="59" t="str">
        <f t="shared" ref="Q307" si="225">IF(ISBLANK(P307)," ",IF(ISTEXT(P307)," ",IF(P307&gt;=$L$306,"МСМК",IF(P307&gt;=$L$307,"МС",IF(P307&gt;=$L$308,"КМС",IF(P307&gt;=$L$309,"I",IF(P307&gt;=$L$310,"II",IF(P307&gt;=$L$311,"III","б/р"))))))))</f>
        <v xml:space="preserve"> </v>
      </c>
    </row>
    <row r="308" spans="3:17" x14ac:dyDescent="0.3">
      <c r="C308" s="43"/>
      <c r="D308" s="43"/>
      <c r="E308" s="43"/>
      <c r="F308" s="43"/>
      <c r="H308" s="55"/>
      <c r="I308" s="59"/>
      <c r="J308" s="56" t="s">
        <v>128</v>
      </c>
      <c r="K308" s="90"/>
      <c r="L308" s="55">
        <v>105</v>
      </c>
      <c r="M308" s="59" t="str">
        <f>IF(ISBLANK(L308)," ",IF(ISTEXT(L308)," ",IF(L308&gt;=Нормативы!$L$306,"МСМК",IF(L308&gt;=Нормативы!$L$307,"МС",IF(L308&gt;=Нормативы!$L$308,"КМС",IF(L308&gt;=Нормативы!$L$309,"I",IF(L308&gt;=Нормативы!$L$310,"II",IF(L308&gt;=Нормативы!$L$311,"III","б/р"))))))))</f>
        <v>КМС</v>
      </c>
      <c r="N308" s="59" t="str">
        <f>IF(ISBLANK(L308)," ",IF(ISTEXT(L308)," ",IF(L308&gt;=Нормативы!$L$306,"МСМК",IF(L308&gt;=Нормативы!$L$307,"МС",IF(L308&gt;=Нормативы!$L$308,"КМС",IF(L308&gt;=Нормативы!$L$309,"I",IF(L308&gt;=Нормативы!$L$310,"II",IF(L308&gt;=Нормативы!$L$311,"III","б/р"))))))))</f>
        <v>КМС</v>
      </c>
      <c r="O308" s="59"/>
      <c r="Q308" s="59" t="str">
        <f t="shared" ref="Q308" si="226">IF(ISBLANK(P308)," ",IF(ISTEXT(P308)," ",IF(P308&gt;=$L$306,"МСМК",IF(P308&gt;=$L$307,"МС",IF(P308&gt;=$L$308,"КМС",IF(P308&gt;=$L$309,"I",IF(P308&gt;=$L$310,"II",IF(P308&gt;=$L$311,"III","б/р"))))))))</f>
        <v xml:space="preserve"> </v>
      </c>
    </row>
    <row r="309" spans="3:17" x14ac:dyDescent="0.3">
      <c r="C309" s="43"/>
      <c r="D309" s="43"/>
      <c r="E309" s="43"/>
      <c r="F309" s="43"/>
      <c r="H309" s="55"/>
      <c r="I309" s="59"/>
      <c r="J309" s="56" t="s">
        <v>128</v>
      </c>
      <c r="K309" s="90"/>
      <c r="L309" s="55">
        <v>91</v>
      </c>
      <c r="M309" s="59" t="str">
        <f>IF(ISBLANK(L309)," ",IF(ISTEXT(L309)," ",IF(L309&gt;=Нормативы!$L$306,"МСМК",IF(L309&gt;=Нормативы!$L$307,"МС",IF(L309&gt;=Нормативы!$L$308,"КМС",IF(L309&gt;=Нормативы!$L$309,"I",IF(L309&gt;=Нормативы!$L$310,"II",IF(L309&gt;=Нормативы!$L$311,"III","б/р"))))))))</f>
        <v>I</v>
      </c>
      <c r="N309" s="59" t="str">
        <f>IF(ISBLANK(L309)," ",IF(ISTEXT(L309)," ",IF(L309&gt;=Нормативы!$L$306,"МСМК",IF(L309&gt;=Нормативы!$L$307,"МС",IF(L309&gt;=Нормативы!$L$308,"КМС",IF(L309&gt;=Нормативы!$L$309,"I",IF(L309&gt;=Нормативы!$L$310,"II",IF(L309&gt;=Нормативы!$L$311,"III","б/р"))))))))</f>
        <v>I</v>
      </c>
      <c r="O309" s="59"/>
      <c r="Q309" s="59" t="str">
        <f t="shared" ref="Q309" si="227">IF(ISBLANK(P309)," ",IF(ISTEXT(P309)," ",IF(P309&gt;=$L$306,"МСМК",IF(P309&gt;=$L$307,"МС",IF(P309&gt;=$L$308,"КМС",IF(P309&gt;=$L$309,"I",IF(P309&gt;=$L$310,"II",IF(P309&gt;=$L$311,"III","б/р"))))))))</f>
        <v xml:space="preserve"> </v>
      </c>
    </row>
    <row r="310" spans="3:17" x14ac:dyDescent="0.3">
      <c r="C310" s="43"/>
      <c r="D310" s="43"/>
      <c r="E310" s="43"/>
      <c r="F310" s="43"/>
      <c r="H310" s="55"/>
      <c r="I310" s="59"/>
      <c r="J310" s="56" t="s">
        <v>128</v>
      </c>
      <c r="K310" s="90"/>
      <c r="L310" s="55">
        <v>73</v>
      </c>
      <c r="M310" s="59" t="str">
        <f>IF(ISBLANK(L310)," ",IF(ISTEXT(L310)," ",IF(L310&gt;=Нормативы!$L$306,"МСМК",IF(L310&gt;=Нормативы!$L$307,"МС",IF(L310&gt;=Нормативы!$L$308,"КМС",IF(L310&gt;=Нормативы!$L$309,"I",IF(L310&gt;=Нормативы!$L$310,"II",IF(L310&gt;=Нормативы!$L$311,"III","б/р"))))))))</f>
        <v>II</v>
      </c>
      <c r="N310" s="59" t="str">
        <f>IF(ISBLANK(L310)," ",IF(ISTEXT(L310)," ",IF(L310&gt;=Нормативы!$L$306,"МСМК",IF(L310&gt;=Нормативы!$L$307,"МС",IF(L310&gt;=Нормативы!$L$308,"КМС",IF(L310&gt;=Нормативы!$L$309,"I",IF(L310&gt;=Нормативы!$L$310,"II",IF(L310&gt;=Нормативы!$L$311,"III","б/р"))))))))</f>
        <v>II</v>
      </c>
      <c r="O310" s="59"/>
      <c r="Q310" s="59" t="str">
        <f t="shared" ref="Q310" si="228">IF(ISBLANK(P310)," ",IF(ISTEXT(P310)," ",IF(P310&gt;=$L$306,"МСМК",IF(P310&gt;=$L$307,"МС",IF(P310&gt;=$L$308,"КМС",IF(P310&gt;=$L$309,"I",IF(P310&gt;=$L$310,"II",IF(P310&gt;=$L$311,"III","б/р"))))))))</f>
        <v xml:space="preserve"> </v>
      </c>
    </row>
    <row r="311" spans="3:17" x14ac:dyDescent="0.3">
      <c r="C311" s="43"/>
      <c r="D311" s="43"/>
      <c r="E311" s="43"/>
      <c r="F311" s="43"/>
      <c r="H311" s="55"/>
      <c r="I311" s="59"/>
      <c r="J311" s="56" t="s">
        <v>128</v>
      </c>
      <c r="K311" s="90"/>
      <c r="L311" s="55">
        <v>55</v>
      </c>
      <c r="M311" s="59" t="str">
        <f>IF(ISBLANK(L311)," ",IF(ISTEXT(L311)," ",IF(L311&gt;=Нормативы!$L$306,"МСМК",IF(L311&gt;=Нормативы!$L$307,"МС",IF(L311&gt;=Нормативы!$L$308,"КМС",IF(L311&gt;=Нормативы!$L$309,"I",IF(L311&gt;=Нормативы!$L$310,"II",IF(L311&gt;=Нормативы!$L$311,"III","б/р"))))))))</f>
        <v>III</v>
      </c>
      <c r="N311" s="59" t="str">
        <f>IF(ISBLANK(L311)," ",IF(ISTEXT(L311)," ",IF(L311&gt;=Нормативы!$L$306,"МСМК",IF(L311&gt;=Нормативы!$L$307,"МС",IF(L311&gt;=Нормативы!$L$308,"КМС",IF(L311&gt;=Нормативы!$L$309,"I",IF(L311&gt;=Нормативы!$L$310,"II",IF(L311&gt;=Нормативы!$L$311,"III","б/р"))))))))</f>
        <v>III</v>
      </c>
      <c r="O311" s="59"/>
      <c r="Q311" s="59" t="str">
        <f t="shared" ref="Q311" si="229">IF(ISBLANK(P311)," ",IF(ISTEXT(P311)," ",IF(P311&gt;=$L$306,"МСМК",IF(P311&gt;=$L$307,"МС",IF(P311&gt;=$L$308,"КМС",IF(P311&gt;=$L$309,"I",IF(P311&gt;=$L$310,"II",IF(P311&gt;=$L$311,"III","б/р"))))))))</f>
        <v xml:space="preserve"> </v>
      </c>
    </row>
    <row r="312" spans="3:17" x14ac:dyDescent="0.3">
      <c r="C312" s="45"/>
      <c r="H312" s="43"/>
      <c r="I312" s="43"/>
      <c r="K312" s="84"/>
      <c r="L312" s="43"/>
      <c r="M312" s="43"/>
      <c r="N312" s="43"/>
      <c r="Q312" s="43"/>
    </row>
    <row r="313" spans="3:17" x14ac:dyDescent="0.3">
      <c r="C313" s="45" t="s">
        <v>112</v>
      </c>
      <c r="H313" s="43"/>
      <c r="I313" s="43"/>
      <c r="K313" s="84"/>
      <c r="L313" s="43"/>
      <c r="M313" s="43"/>
      <c r="N313" s="43"/>
      <c r="Q313" s="43"/>
    </row>
    <row r="314" spans="3:17" x14ac:dyDescent="0.3">
      <c r="C314" s="43"/>
      <c r="D314" s="43"/>
      <c r="E314" s="43"/>
      <c r="F314" s="43"/>
      <c r="H314" s="55"/>
      <c r="I314" s="59"/>
      <c r="J314" s="56" t="s">
        <v>128</v>
      </c>
      <c r="K314" s="90"/>
      <c r="L314" s="55">
        <v>188</v>
      </c>
      <c r="M314" s="59" t="str">
        <f>IF(ISBLANK(L314)," ",IF(ISTEXT(L314)," ",IF(L314&gt;=Нормативы!$L$314,"МСМК",IF(L314&gt;=Нормативы!$L$315,"МС",IF(L314&gt;=Нормативы!$L$316,"КМС",IF(L314&gt;=Нормативы!$L$317,"I",IF(L314&gt;=Нормативы!$L$318,"II",IF(L314&gt;=Нормативы!$L$319,"III","б/р"))))))))</f>
        <v>МСМК</v>
      </c>
      <c r="N314" s="59" t="str">
        <f>IF(ISBLANK(L314)," ",IF(ISTEXT(L314)," ",IF(L314&gt;=Нормативы!$L$314,"МСМК",IF(L314&gt;=Нормативы!$L$315,"МС",IF(L314&gt;=Нормативы!$L$316,"КМС",IF(L314&gt;=Нормативы!$L$317,"I",IF(L314&gt;=Нормативы!$L$318,"II",IF(L314&gt;=Нормативы!$L$319,"III","б/р"))))))))</f>
        <v>МСМК</v>
      </c>
      <c r="O314" s="59"/>
      <c r="Q314" s="59" t="str">
        <f>IF(ISBLANK(P314)," ",IF(ISTEXT(P314)," ",IF(P314&gt;=$L$314,"МСМК",IF(P314&gt;=$L$315,"МС",IF(P314&gt;=$L$316,"КМС",IF(P314&gt;=$L$317,"I",IF(P314&gt;=$L$318,"II",IF(P314&gt;=$L$319,"III","б/р"))))))))</f>
        <v xml:space="preserve"> </v>
      </c>
    </row>
    <row r="315" spans="3:17" x14ac:dyDescent="0.3">
      <c r="C315" s="43"/>
      <c r="D315" s="43"/>
      <c r="E315" s="43"/>
      <c r="F315" s="43"/>
      <c r="H315" s="55"/>
      <c r="I315" s="59"/>
      <c r="J315" s="56" t="s">
        <v>128</v>
      </c>
      <c r="K315" s="90"/>
      <c r="L315" s="55">
        <v>160</v>
      </c>
      <c r="M315" s="59" t="str">
        <f>IF(ISBLANK(L315)," ",IF(ISTEXT(L315)," ",IF(L315&gt;=Нормативы!$L$314,"МСМК",IF(L315&gt;=Нормативы!$L$315,"МС",IF(L315&gt;=Нормативы!$L$316,"КМС",IF(L315&gt;=Нормативы!$L$317,"I",IF(L315&gt;=Нормативы!$L$318,"II",IF(L315&gt;=Нормативы!$L$319,"III","б/р"))))))))</f>
        <v>МС</v>
      </c>
      <c r="N315" s="59" t="str">
        <f>IF(ISBLANK(L315)," ",IF(ISTEXT(L315)," ",IF(L315&gt;=Нормативы!$L$314,"МСМК",IF(L315&gt;=Нормативы!$L$315,"МС",IF(L315&gt;=Нормативы!$L$316,"КМС",IF(L315&gt;=Нормативы!$L$317,"I",IF(L315&gt;=Нормативы!$L$318,"II",IF(L315&gt;=Нормативы!$L$319,"III","б/р"))))))))</f>
        <v>МС</v>
      </c>
      <c r="O315" s="59"/>
      <c r="Q315" s="59" t="str">
        <f t="shared" ref="Q315" si="230">IF(ISBLANK(P315)," ",IF(ISTEXT(P315)," ",IF(P315&gt;=$L$314,"МСМК",IF(P315&gt;=$L$315,"МС",IF(P315&gt;=$L$316,"КМС",IF(P315&gt;=$L$317,"I",IF(P315&gt;=$L$318,"II",IF(P315&gt;=$L$319,"III","б/р"))))))))</f>
        <v xml:space="preserve"> </v>
      </c>
    </row>
    <row r="316" spans="3:17" x14ac:dyDescent="0.3">
      <c r="C316" s="43"/>
      <c r="D316" s="43"/>
      <c r="E316" s="43"/>
      <c r="F316" s="43"/>
      <c r="H316" s="55"/>
      <c r="I316" s="59"/>
      <c r="J316" s="56" t="s">
        <v>128</v>
      </c>
      <c r="K316" s="90"/>
      <c r="L316" s="55">
        <v>140</v>
      </c>
      <c r="M316" s="59" t="str">
        <f>IF(ISBLANK(L316)," ",IF(ISTEXT(L316)," ",IF(L316&gt;=Нормативы!$L$314,"МСМК",IF(L316&gt;=Нормативы!$L$315,"МС",IF(L316&gt;=Нормативы!$L$316,"КМС",IF(L316&gt;=Нормативы!$L$317,"I",IF(L316&gt;=Нормативы!$L$318,"II",IF(L316&gt;=Нормативы!$L$319,"III","б/р"))))))))</f>
        <v>КМС</v>
      </c>
      <c r="N316" s="59" t="str">
        <f>IF(ISBLANK(L316)," ",IF(ISTEXT(L316)," ",IF(L316&gt;=Нормативы!$L$314,"МСМК",IF(L316&gt;=Нормативы!$L$315,"МС",IF(L316&gt;=Нормативы!$L$316,"КМС",IF(L316&gt;=Нормативы!$L$317,"I",IF(L316&gt;=Нормативы!$L$318,"II",IF(L316&gt;=Нормативы!$L$319,"III","б/р"))))))))</f>
        <v>КМС</v>
      </c>
      <c r="O316" s="59"/>
      <c r="Q316" s="59" t="str">
        <f t="shared" ref="Q316" si="231">IF(ISBLANK(P316)," ",IF(ISTEXT(P316)," ",IF(P316&gt;=$L$314,"МСМК",IF(P316&gt;=$L$315,"МС",IF(P316&gt;=$L$316,"КМС",IF(P316&gt;=$L$317,"I",IF(P316&gt;=$L$318,"II",IF(P316&gt;=$L$319,"III","б/р"))))))))</f>
        <v xml:space="preserve"> </v>
      </c>
    </row>
    <row r="317" spans="3:17" x14ac:dyDescent="0.3">
      <c r="C317" s="43"/>
      <c r="D317" s="43"/>
      <c r="E317" s="43"/>
      <c r="F317" s="43"/>
      <c r="H317" s="55"/>
      <c r="I317" s="59"/>
      <c r="J317" s="56" t="s">
        <v>128</v>
      </c>
      <c r="K317" s="90"/>
      <c r="L317" s="55">
        <v>119</v>
      </c>
      <c r="M317" s="59" t="str">
        <f>IF(ISBLANK(L317)," ",IF(ISTEXT(L317)," ",IF(L317&gt;=Нормативы!$L$314,"МСМК",IF(L317&gt;=Нормативы!$L$315,"МС",IF(L317&gt;=Нормативы!$L$316,"КМС",IF(L317&gt;=Нормативы!$L$317,"I",IF(L317&gt;=Нормативы!$L$318,"II",IF(L317&gt;=Нормативы!$L$319,"III","б/р"))))))))</f>
        <v>I</v>
      </c>
      <c r="N317" s="59" t="str">
        <f>IF(ISBLANK(L317)," ",IF(ISTEXT(L317)," ",IF(L317&gt;=Нормативы!$L$314,"МСМК",IF(L317&gt;=Нормативы!$L$315,"МС",IF(L317&gt;=Нормативы!$L$316,"КМС",IF(L317&gt;=Нормативы!$L$317,"I",IF(L317&gt;=Нормативы!$L$318,"II",IF(L317&gt;=Нормативы!$L$319,"III","б/р"))))))))</f>
        <v>I</v>
      </c>
      <c r="O317" s="59"/>
      <c r="Q317" s="59" t="str">
        <f t="shared" ref="Q317" si="232">IF(ISBLANK(P317)," ",IF(ISTEXT(P317)," ",IF(P317&gt;=$L$314,"МСМК",IF(P317&gt;=$L$315,"МС",IF(P317&gt;=$L$316,"КМС",IF(P317&gt;=$L$317,"I",IF(P317&gt;=$L$318,"II",IF(P317&gt;=$L$319,"III","б/р"))))))))</f>
        <v xml:space="preserve"> </v>
      </c>
    </row>
    <row r="318" spans="3:17" x14ac:dyDescent="0.3">
      <c r="C318" s="43"/>
      <c r="D318" s="43"/>
      <c r="E318" s="43"/>
      <c r="F318" s="43"/>
      <c r="H318" s="55"/>
      <c r="I318" s="59"/>
      <c r="J318" s="56" t="s">
        <v>128</v>
      </c>
      <c r="K318" s="90"/>
      <c r="L318" s="55">
        <v>99</v>
      </c>
      <c r="M318" s="59" t="str">
        <f>IF(ISBLANK(L318)," ",IF(ISTEXT(L318)," ",IF(L318&gt;=Нормативы!$L$314,"МСМК",IF(L318&gt;=Нормативы!$L$315,"МС",IF(L318&gt;=Нормативы!$L$316,"КМС",IF(L318&gt;=Нормативы!$L$317,"I",IF(L318&gt;=Нормативы!$L$318,"II",IF(L318&gt;=Нормативы!$L$319,"III","б/р"))))))))</f>
        <v>II</v>
      </c>
      <c r="N318" s="59" t="str">
        <f>IF(ISBLANK(L318)," ",IF(ISTEXT(L318)," ",IF(L318&gt;=Нормативы!$L$314,"МСМК",IF(L318&gt;=Нормативы!$L$315,"МС",IF(L318&gt;=Нормативы!$L$316,"КМС",IF(L318&gt;=Нормативы!$L$317,"I",IF(L318&gt;=Нормативы!$L$318,"II",IF(L318&gt;=Нормативы!$L$319,"III","б/р"))))))))</f>
        <v>II</v>
      </c>
      <c r="O318" s="59"/>
      <c r="Q318" s="59" t="str">
        <f t="shared" ref="Q318" si="233">IF(ISBLANK(P318)," ",IF(ISTEXT(P318)," ",IF(P318&gt;=$L$314,"МСМК",IF(P318&gt;=$L$315,"МС",IF(P318&gt;=$L$316,"КМС",IF(P318&gt;=$L$317,"I",IF(P318&gt;=$L$318,"II",IF(P318&gt;=$L$319,"III","б/р"))))))))</f>
        <v xml:space="preserve"> </v>
      </c>
    </row>
    <row r="319" spans="3:17" x14ac:dyDescent="0.3">
      <c r="C319" s="43"/>
      <c r="D319" s="43"/>
      <c r="E319" s="43"/>
      <c r="F319" s="43"/>
      <c r="H319" s="55"/>
      <c r="I319" s="59"/>
      <c r="J319" s="56" t="s">
        <v>128</v>
      </c>
      <c r="K319" s="90"/>
      <c r="L319" s="55">
        <v>78</v>
      </c>
      <c r="M319" s="59" t="str">
        <f>IF(ISBLANK(L319)," ",IF(ISTEXT(L319)," ",IF(L319&gt;=Нормативы!$L$314,"МСМК",IF(L319&gt;=Нормативы!$L$315,"МС",IF(L319&gt;=Нормативы!$L$316,"КМС",IF(L319&gt;=Нормативы!$L$317,"I",IF(L319&gt;=Нормативы!$L$318,"II",IF(L319&gt;=Нормативы!$L$319,"III","б/р"))))))))</f>
        <v>III</v>
      </c>
      <c r="N319" s="59" t="str">
        <f>IF(ISBLANK(L319)," ",IF(ISTEXT(L319)," ",IF(L319&gt;=Нормативы!$L$314,"МСМК",IF(L319&gt;=Нормативы!$L$315,"МС",IF(L319&gt;=Нормативы!$L$316,"КМС",IF(L319&gt;=Нормативы!$L$317,"I",IF(L319&gt;=Нормативы!$L$318,"II",IF(L319&gt;=Нормативы!$L$319,"III","б/р"))))))))</f>
        <v>III</v>
      </c>
      <c r="O319" s="59"/>
      <c r="Q319" s="59" t="str">
        <f t="shared" ref="Q319" si="234">IF(ISBLANK(P319)," ",IF(ISTEXT(P319)," ",IF(P319&gt;=$L$314,"МСМК",IF(P319&gt;=$L$315,"МС",IF(P319&gt;=$L$316,"КМС",IF(P319&gt;=$L$317,"I",IF(P319&gt;=$L$318,"II",IF(P319&gt;=$L$319,"III","б/р"))))))))</f>
        <v xml:space="preserve"> </v>
      </c>
    </row>
    <row r="320" spans="3:17" ht="15" customHeight="1" x14ac:dyDescent="0.3">
      <c r="C320" s="43"/>
      <c r="D320" s="43"/>
      <c r="E320" s="43"/>
      <c r="F320" s="43"/>
      <c r="H320" s="43"/>
      <c r="I320" s="43"/>
      <c r="J320" s="43"/>
      <c r="K320" s="84"/>
      <c r="L320" s="43"/>
      <c r="M320" s="43"/>
      <c r="N320" s="43"/>
      <c r="Q320" s="43"/>
    </row>
    <row r="321" spans="3:17" x14ac:dyDescent="0.3">
      <c r="C321" s="45" t="s">
        <v>83</v>
      </c>
      <c r="H321" s="43"/>
      <c r="I321" s="43"/>
      <c r="K321" s="84"/>
      <c r="L321" s="43"/>
      <c r="M321" s="43"/>
      <c r="N321" s="43"/>
      <c r="Q321" s="43"/>
    </row>
    <row r="322" spans="3:17" x14ac:dyDescent="0.3">
      <c r="C322" s="43"/>
      <c r="D322" s="43"/>
      <c r="E322" s="43"/>
      <c r="F322" s="43"/>
      <c r="H322" s="55"/>
      <c r="I322" s="59"/>
      <c r="J322" s="56" t="s">
        <v>128</v>
      </c>
      <c r="K322" s="90"/>
      <c r="L322" s="55">
        <v>220</v>
      </c>
      <c r="M322" s="59" t="str">
        <f>IF(ISBLANK(L322)," ",IF(ISTEXT(L322)," ",IF(L322&gt;=Нормативы!$L$322,"МСМК",IF(L322&gt;=Нормативы!$L$323,"МС",IF(L322&gt;=Нормативы!$L$324,"КМС",IF(L322&gt;=Нормативы!$L$325,"I",IF(L322&gt;=Нормативы!$L$326,"II",IF(L322&gt;=Нормативы!$L$327,"III","б/р"))))))))</f>
        <v>МСМК</v>
      </c>
      <c r="N322" s="59" t="str">
        <f>IF(ISBLANK(L322)," ",IF(ISTEXT(L322)," ",IF(L322&gt;=Нормативы!$L$322,"МСМК",IF(L322&gt;=Нормативы!$L$323,"МС",IF(L322&gt;=Нормативы!$L$324,"КМС",IF(L322&gt;=Нормативы!$L$325,"I",IF(L322&gt;=Нормативы!$L$326,"II",IF(L322&gt;=Нормативы!$L$327,"III","б/р"))))))))</f>
        <v>МСМК</v>
      </c>
      <c r="O322" s="59"/>
      <c r="Q322" s="59" t="str">
        <f>IF(ISBLANK(P322)," ",IF(ISTEXT(P322)," ",IF(P322&gt;=$L$322,"МСМК",IF(P322&gt;=$L$323,"МС",IF(P322&gt;=$L$324,"КМС",IF(P322&gt;=$L$325,"I",IF(P322&gt;=$L$326,"II",IF(P322&gt;=$L$327,"III","б/р"))))))))</f>
        <v xml:space="preserve"> </v>
      </c>
    </row>
    <row r="323" spans="3:17" x14ac:dyDescent="0.3">
      <c r="C323" s="43"/>
      <c r="D323" s="43"/>
      <c r="E323" s="43"/>
      <c r="F323" s="43"/>
      <c r="H323" s="55"/>
      <c r="I323" s="59"/>
      <c r="J323" s="56" t="s">
        <v>128</v>
      </c>
      <c r="K323" s="90"/>
      <c r="L323" s="55">
        <v>180</v>
      </c>
      <c r="M323" s="59" t="str">
        <f>IF(ISBLANK(L323)," ",IF(ISTEXT(L323)," ",IF(L323&gt;=Нормативы!$L$322,"МСМК",IF(L323&gt;=Нормативы!$L$323,"МС",IF(L323&gt;=Нормативы!$L$324,"КМС",IF(L323&gt;=Нормативы!$L$325,"I",IF(L323&gt;=Нормативы!$L$326,"II",IF(L323&gt;=Нормативы!$L$327,"III","б/р"))))))))</f>
        <v>МС</v>
      </c>
      <c r="N323" s="59" t="str">
        <f>IF(ISBLANK(L323)," ",IF(ISTEXT(L323)," ",IF(L323&gt;=Нормативы!$L$322,"МСМК",IF(L323&gt;=Нормативы!$L$323,"МС",IF(L323&gt;=Нормативы!$L$324,"КМС",IF(L323&gt;=Нормативы!$L$325,"I",IF(L323&gt;=Нормативы!$L$326,"II",IF(L323&gt;=Нормативы!$L$327,"III","б/р"))))))))</f>
        <v>МС</v>
      </c>
      <c r="O323" s="59"/>
      <c r="Q323" s="59" t="str">
        <f t="shared" ref="Q323" si="235">IF(ISBLANK(P323)," ",IF(ISTEXT(P323)," ",IF(P323&gt;=$L$322,"МСМК",IF(P323&gt;=$L$323,"МС",IF(P323&gt;=$L$324,"КМС",IF(P323&gt;=$L$325,"I",IF(P323&gt;=$L$326,"II",IF(P323&gt;=$L$327,"III","б/р"))))))))</f>
        <v xml:space="preserve"> </v>
      </c>
    </row>
    <row r="324" spans="3:17" x14ac:dyDescent="0.3">
      <c r="C324" s="43"/>
      <c r="D324" s="43"/>
      <c r="E324" s="43"/>
      <c r="F324" s="43"/>
      <c r="H324" s="55"/>
      <c r="I324" s="59"/>
      <c r="J324" s="56" t="s">
        <v>128</v>
      </c>
      <c r="K324" s="90"/>
      <c r="L324" s="55">
        <v>148</v>
      </c>
      <c r="M324" s="59" t="str">
        <f>IF(ISBLANK(L324)," ",IF(ISTEXT(L324)," ",IF(L324&gt;=Нормативы!$L$322,"МСМК",IF(L324&gt;=Нормативы!$L$323,"МС",IF(L324&gt;=Нормативы!$L$324,"КМС",IF(L324&gt;=Нормативы!$L$325,"I",IF(L324&gt;=Нормативы!$L$326,"II",IF(L324&gt;=Нормативы!$L$327,"III","б/р"))))))))</f>
        <v>КМС</v>
      </c>
      <c r="N324" s="59" t="str">
        <f>IF(ISBLANK(L324)," ",IF(ISTEXT(L324)," ",IF(L324&gt;=Нормативы!$L$322,"МСМК",IF(L324&gt;=Нормативы!$L$323,"МС",IF(L324&gt;=Нормативы!$L$324,"КМС",IF(L324&gt;=Нормативы!$L$325,"I",IF(L324&gt;=Нормативы!$L$326,"II",IF(L324&gt;=Нормативы!$L$327,"III","б/р"))))))))</f>
        <v>КМС</v>
      </c>
      <c r="O324" s="59"/>
      <c r="Q324" s="59" t="str">
        <f t="shared" ref="Q324" si="236">IF(ISBLANK(P324)," ",IF(ISTEXT(P324)," ",IF(P324&gt;=$L$322,"МСМК",IF(P324&gt;=$L$323,"МС",IF(P324&gt;=$L$324,"КМС",IF(P324&gt;=$L$325,"I",IF(P324&gt;=$L$326,"II",IF(P324&gt;=$L$327,"III","б/р"))))))))</f>
        <v xml:space="preserve"> </v>
      </c>
    </row>
    <row r="325" spans="3:17" x14ac:dyDescent="0.3">
      <c r="C325" s="43"/>
      <c r="D325" s="43"/>
      <c r="E325" s="43"/>
      <c r="F325" s="43"/>
      <c r="H325" s="55"/>
      <c r="I325" s="59"/>
      <c r="J325" s="56" t="s">
        <v>128</v>
      </c>
      <c r="K325" s="90"/>
      <c r="L325" s="55">
        <v>120</v>
      </c>
      <c r="M325" s="59" t="str">
        <f>IF(ISBLANK(L325)," ",IF(ISTEXT(L325)," ",IF(L325&gt;=Нормативы!$L$322,"МСМК",IF(L325&gt;=Нормативы!$L$323,"МС",IF(L325&gt;=Нормативы!$L$324,"КМС",IF(L325&gt;=Нормативы!$L$325,"I",IF(L325&gt;=Нормативы!$L$326,"II",IF(L325&gt;=Нормативы!$L$327,"III","б/р"))))))))</f>
        <v>I</v>
      </c>
      <c r="N325" s="59" t="str">
        <f>IF(ISBLANK(L325)," ",IF(ISTEXT(L325)," ",IF(L325&gt;=Нормативы!$L$322,"МСМК",IF(L325&gt;=Нормативы!$L$323,"МС",IF(L325&gt;=Нормативы!$L$324,"КМС",IF(L325&gt;=Нормативы!$L$325,"I",IF(L325&gt;=Нормативы!$L$326,"II",IF(L325&gt;=Нормативы!$L$327,"III","б/р"))))))))</f>
        <v>I</v>
      </c>
      <c r="O325" s="59"/>
      <c r="Q325" s="59" t="str">
        <f t="shared" ref="Q325" si="237">IF(ISBLANK(P325)," ",IF(ISTEXT(P325)," ",IF(P325&gt;=$L$322,"МСМК",IF(P325&gt;=$L$323,"МС",IF(P325&gt;=$L$324,"КМС",IF(P325&gt;=$L$325,"I",IF(P325&gt;=$L$326,"II",IF(P325&gt;=$L$327,"III","б/р"))))))))</f>
        <v xml:space="preserve"> </v>
      </c>
    </row>
    <row r="326" spans="3:17" x14ac:dyDescent="0.3">
      <c r="C326" s="43"/>
      <c r="D326" s="43"/>
      <c r="E326" s="43"/>
      <c r="F326" s="43"/>
      <c r="H326" s="55"/>
      <c r="I326" s="59"/>
      <c r="J326" s="56" t="s">
        <v>128</v>
      </c>
      <c r="K326" s="90"/>
      <c r="L326" s="55">
        <v>85</v>
      </c>
      <c r="M326" s="59" t="str">
        <f>IF(ISBLANK(L326)," ",IF(ISTEXT(L326)," ",IF(L326&gt;=Нормативы!$L$322,"МСМК",IF(L326&gt;=Нормативы!$L$323,"МС",IF(L326&gt;=Нормативы!$L$324,"КМС",IF(L326&gt;=Нормативы!$L$325,"I",IF(L326&gt;=Нормативы!$L$326,"II",IF(L326&gt;=Нормативы!$L$327,"III","б/р"))))))))</f>
        <v>II</v>
      </c>
      <c r="N326" s="59" t="str">
        <f>IF(ISBLANK(L326)," ",IF(ISTEXT(L326)," ",IF(L326&gt;=Нормативы!$L$322,"МСМК",IF(L326&gt;=Нормативы!$L$323,"МС",IF(L326&gt;=Нормативы!$L$324,"КМС",IF(L326&gt;=Нормативы!$L$325,"I",IF(L326&gt;=Нормативы!$L$326,"II",IF(L326&gt;=Нормативы!$L$327,"III","б/р"))))))))</f>
        <v>II</v>
      </c>
      <c r="O326" s="59"/>
      <c r="Q326" s="59" t="str">
        <f t="shared" ref="Q326" si="238">IF(ISBLANK(P326)," ",IF(ISTEXT(P326)," ",IF(P326&gt;=$L$322,"МСМК",IF(P326&gt;=$L$323,"МС",IF(P326&gt;=$L$324,"КМС",IF(P326&gt;=$L$325,"I",IF(P326&gt;=$L$326,"II",IF(P326&gt;=$L$327,"III","б/р"))))))))</f>
        <v xml:space="preserve"> </v>
      </c>
    </row>
    <row r="327" spans="3:17" x14ac:dyDescent="0.3">
      <c r="C327" s="43"/>
      <c r="D327" s="43"/>
      <c r="E327" s="43"/>
      <c r="F327" s="43"/>
      <c r="H327" s="55"/>
      <c r="I327" s="59"/>
      <c r="J327" s="56" t="s">
        <v>128</v>
      </c>
      <c r="K327" s="90"/>
      <c r="L327" s="55">
        <v>69</v>
      </c>
      <c r="M327" s="59" t="str">
        <f>IF(ISBLANK(L327)," ",IF(ISTEXT(L327)," ",IF(L327&gt;=Нормативы!$L$322,"МСМК",IF(L327&gt;=Нормативы!$L$323,"МС",IF(L327&gt;=Нормативы!$L$324,"КМС",IF(L327&gt;=Нормативы!$L$325,"I",IF(L327&gt;=Нормативы!$L$326,"II",IF(L327&gt;=Нормативы!$L$327,"III","б/р"))))))))</f>
        <v>III</v>
      </c>
      <c r="N327" s="59" t="str">
        <f>IF(ISBLANK(L327)," ",IF(ISTEXT(L327)," ",IF(L327&gt;=Нормативы!$L$322,"МСМК",IF(L327&gt;=Нормативы!$L$323,"МС",IF(L327&gt;=Нормативы!$L$324,"КМС",IF(L327&gt;=Нормативы!$L$325,"I",IF(L327&gt;=Нормативы!$L$326,"II",IF(L327&gt;=Нормативы!$L$327,"III","б/р"))))))))</f>
        <v>III</v>
      </c>
      <c r="O327" s="59"/>
      <c r="Q327" s="59" t="str">
        <f t="shared" ref="Q327" si="239">IF(ISBLANK(P327)," ",IF(ISTEXT(P327)," ",IF(P327&gt;=$L$322,"МСМК",IF(P327&gt;=$L$323,"МС",IF(P327&gt;=$L$324,"КМС",IF(P327&gt;=$L$325,"I",IF(P327&gt;=$L$326,"II",IF(P327&gt;=$L$327,"III","б/р"))))))))</f>
        <v xml:space="preserve"> </v>
      </c>
    </row>
    <row r="328" spans="3:17" x14ac:dyDescent="0.3">
      <c r="C328" s="45"/>
      <c r="H328" s="43"/>
      <c r="I328" s="59"/>
      <c r="K328" s="84"/>
      <c r="L328" s="43"/>
      <c r="M328" s="59"/>
      <c r="N328" s="59"/>
      <c r="Q328" s="59"/>
    </row>
    <row r="329" spans="3:17" x14ac:dyDescent="0.3">
      <c r="C329" s="45" t="s">
        <v>113</v>
      </c>
      <c r="H329" s="43"/>
      <c r="I329" s="43"/>
      <c r="K329" s="84"/>
      <c r="L329" s="43"/>
      <c r="M329" s="43"/>
      <c r="N329" s="43"/>
      <c r="Q329" s="43"/>
    </row>
    <row r="330" spans="3:17" x14ac:dyDescent="0.3">
      <c r="C330" s="43"/>
      <c r="D330" s="43"/>
      <c r="E330" s="43"/>
      <c r="F330" s="43"/>
      <c r="H330" s="55"/>
      <c r="I330" s="59"/>
      <c r="J330" s="56" t="s">
        <v>128</v>
      </c>
      <c r="K330" s="90"/>
      <c r="L330" s="55">
        <v>250</v>
      </c>
      <c r="M330" s="59" t="str">
        <f>IF(ISBLANK(L330)," ",IF(ISTEXT(L330)," ",IF(L330&gt;=Нормативы!$L$330,"МСМК",IF(L330&gt;=Нормативы!$L$331,"МС",IF(L330&gt;=Нормативы!$L$332,"КМС",IF(L330&gt;=Нормативы!$L$333,"I",IF(L330&gt;=Нормативы!$L$334,"II",IF(L330&gt;=Нормативы!$L$335,"III","б/р"))))))))</f>
        <v>МСМК</v>
      </c>
      <c r="N330" s="59" t="str">
        <f>IF(ISBLANK(L330)," ",IF(ISTEXT(L330)," ",IF(L330&gt;=Нормативы!$L$330,"МСМК",IF(L330&gt;=Нормативы!$L$331,"МС",IF(L330&gt;=Нормативы!$L$332,"КМС",IF(L330&gt;=Нормативы!$L$333,"I",IF(L330&gt;=Нормативы!$L$334,"II",IF(L330&gt;=Нормативы!$L$335,"III","б/р"))))))))</f>
        <v>МСМК</v>
      </c>
      <c r="O330" s="59"/>
      <c r="Q330" s="59" t="str">
        <f>IF(ISBLANK(P330)," ",IF(ISTEXT(P330)," ",IF(P330&gt;=$L$330,"МСМК",IF(P330&gt;=$L$331,"МС",IF(P330&gt;=$L$332,"КМС",IF(P330&gt;=$L$333,"I",IF(P330&gt;=$L$334,"II",IF(P330&gt;=$L$335,"III","б/р"))))))))</f>
        <v xml:space="preserve"> </v>
      </c>
    </row>
    <row r="331" spans="3:17" x14ac:dyDescent="0.3">
      <c r="C331" s="43"/>
      <c r="D331" s="43"/>
      <c r="E331" s="43"/>
      <c r="F331" s="43"/>
      <c r="H331" s="55"/>
      <c r="I331" s="59"/>
      <c r="J331" s="56" t="s">
        <v>128</v>
      </c>
      <c r="K331" s="90"/>
      <c r="L331" s="55">
        <v>210</v>
      </c>
      <c r="M331" s="59" t="str">
        <f>IF(ISBLANK(L331)," ",IF(ISTEXT(L331)," ",IF(L331&gt;=Нормативы!$L$330,"МСМК",IF(L331&gt;=Нормативы!$L$331,"МС",IF(L331&gt;=Нормативы!$L$332,"КМС",IF(L331&gt;=Нормативы!$L$333,"I",IF(L331&gt;=Нормативы!$L$334,"II",IF(L331&gt;=Нормативы!$L$335,"III","б/р"))))))))</f>
        <v>МС</v>
      </c>
      <c r="N331" s="59" t="str">
        <f>IF(ISBLANK(L331)," ",IF(ISTEXT(L331)," ",IF(L331&gt;=Нормативы!$L$330,"МСМК",IF(L331&gt;=Нормативы!$L$331,"МС",IF(L331&gt;=Нормативы!$L$332,"КМС",IF(L331&gt;=Нормативы!$L$333,"I",IF(L331&gt;=Нормативы!$L$334,"II",IF(L331&gt;=Нормативы!$L$335,"III","б/р"))))))))</f>
        <v>МС</v>
      </c>
      <c r="O331" s="59"/>
      <c r="Q331" s="59" t="str">
        <f t="shared" ref="Q331" si="240">IF(ISBLANK(P331)," ",IF(ISTEXT(P331)," ",IF(P331&gt;=$L$330,"МСМК",IF(P331&gt;=$L$331,"МС",IF(P331&gt;=$L$332,"КМС",IF(P331&gt;=$L$333,"I",IF(P331&gt;=$L$334,"II",IF(P331&gt;=$L$335,"III","б/р"))))))))</f>
        <v xml:space="preserve"> </v>
      </c>
    </row>
    <row r="332" spans="3:17" x14ac:dyDescent="0.3">
      <c r="C332" s="43"/>
      <c r="D332" s="43"/>
      <c r="E332" s="43"/>
      <c r="F332" s="43"/>
      <c r="H332" s="55"/>
      <c r="I332" s="59"/>
      <c r="J332" s="56" t="s">
        <v>128</v>
      </c>
      <c r="K332" s="90"/>
      <c r="L332" s="55">
        <v>180</v>
      </c>
      <c r="M332" s="59" t="str">
        <f>IF(ISBLANK(L332)," ",IF(ISTEXT(L332)," ",IF(L332&gt;=Нормативы!$L$330,"МСМК",IF(L332&gt;=Нормативы!$L$331,"МС",IF(L332&gt;=Нормативы!$L$332,"КМС",IF(L332&gt;=Нормативы!$L$333,"I",IF(L332&gt;=Нормативы!$L$334,"II",IF(L332&gt;=Нормативы!$L$335,"III","б/р"))))))))</f>
        <v>КМС</v>
      </c>
      <c r="N332" s="59" t="str">
        <f>IF(ISBLANK(L332)," ",IF(ISTEXT(L332)," ",IF(L332&gt;=Нормативы!$L$330,"МСМК",IF(L332&gt;=Нормативы!$L$331,"МС",IF(L332&gt;=Нормативы!$L$332,"КМС",IF(L332&gt;=Нормативы!$L$333,"I",IF(L332&gt;=Нормативы!$L$334,"II",IF(L332&gt;=Нормативы!$L$335,"III","б/р"))))))))</f>
        <v>КМС</v>
      </c>
      <c r="O332" s="59"/>
      <c r="Q332" s="59" t="str">
        <f t="shared" ref="Q332" si="241">IF(ISBLANK(P332)," ",IF(ISTEXT(P332)," ",IF(P332&gt;=$L$330,"МСМК",IF(P332&gt;=$L$331,"МС",IF(P332&gt;=$L$332,"КМС",IF(P332&gt;=$L$333,"I",IF(P332&gt;=$L$334,"II",IF(P332&gt;=$L$335,"III","б/р"))))))))</f>
        <v xml:space="preserve"> </v>
      </c>
    </row>
    <row r="333" spans="3:17" x14ac:dyDescent="0.3">
      <c r="C333" s="43"/>
      <c r="D333" s="43"/>
      <c r="E333" s="43"/>
      <c r="F333" s="43"/>
      <c r="H333" s="55"/>
      <c r="I333" s="59"/>
      <c r="J333" s="56" t="s">
        <v>128</v>
      </c>
      <c r="K333" s="90"/>
      <c r="L333" s="55">
        <v>148</v>
      </c>
      <c r="M333" s="59" t="str">
        <f>IF(ISBLANK(L333)," ",IF(ISTEXT(L333)," ",IF(L333&gt;=Нормативы!$L$330,"МСМК",IF(L333&gt;=Нормативы!$L$331,"МС",IF(L333&gt;=Нормативы!$L$332,"КМС",IF(L333&gt;=Нормативы!$L$333,"I",IF(L333&gt;=Нормативы!$L$334,"II",IF(L333&gt;=Нормативы!$L$335,"III","б/р"))))))))</f>
        <v>I</v>
      </c>
      <c r="N333" s="59" t="str">
        <f>IF(ISBLANK(L333)," ",IF(ISTEXT(L333)," ",IF(L333&gt;=Нормативы!$L$330,"МСМК",IF(L333&gt;=Нормативы!$L$331,"МС",IF(L333&gt;=Нормативы!$L$332,"КМС",IF(L333&gt;=Нормативы!$L$333,"I",IF(L333&gt;=Нормативы!$L$334,"II",IF(L333&gt;=Нормативы!$L$335,"III","б/р"))))))))</f>
        <v>I</v>
      </c>
      <c r="O333" s="59"/>
      <c r="Q333" s="59" t="str">
        <f t="shared" ref="Q333" si="242">IF(ISBLANK(P333)," ",IF(ISTEXT(P333)," ",IF(P333&gt;=$L$330,"МСМК",IF(P333&gt;=$L$331,"МС",IF(P333&gt;=$L$332,"КМС",IF(P333&gt;=$L$333,"I",IF(P333&gt;=$L$334,"II",IF(P333&gt;=$L$335,"III","б/р"))))))))</f>
        <v xml:space="preserve"> </v>
      </c>
    </row>
    <row r="334" spans="3:17" x14ac:dyDescent="0.3">
      <c r="C334" s="43"/>
      <c r="D334" s="43"/>
      <c r="E334" s="43"/>
      <c r="F334" s="43"/>
      <c r="H334" s="55"/>
      <c r="I334" s="59"/>
      <c r="J334" s="56" t="s">
        <v>128</v>
      </c>
      <c r="K334" s="90"/>
      <c r="L334" s="55">
        <v>105</v>
      </c>
      <c r="M334" s="59" t="str">
        <f>IF(ISBLANK(L334)," ",IF(ISTEXT(L334)," ",IF(L334&gt;=Нормативы!$L$330,"МСМК",IF(L334&gt;=Нормативы!$L$331,"МС",IF(L334&gt;=Нормативы!$L$332,"КМС",IF(L334&gt;=Нормативы!$L$333,"I",IF(L334&gt;=Нормативы!$L$334,"II",IF(L334&gt;=Нормативы!$L$335,"III","б/р"))))))))</f>
        <v>II</v>
      </c>
      <c r="N334" s="59" t="str">
        <f>IF(ISBLANK(L334)," ",IF(ISTEXT(L334)," ",IF(L334&gt;=Нормативы!$L$330,"МСМК",IF(L334&gt;=Нормативы!$L$331,"МС",IF(L334&gt;=Нормативы!$L$332,"КМС",IF(L334&gt;=Нормативы!$L$333,"I",IF(L334&gt;=Нормативы!$L$334,"II",IF(L334&gt;=Нормативы!$L$335,"III","б/р"))))))))</f>
        <v>II</v>
      </c>
      <c r="O334" s="59"/>
      <c r="Q334" s="59" t="str">
        <f t="shared" ref="Q334" si="243">IF(ISBLANK(P334)," ",IF(ISTEXT(P334)," ",IF(P334&gt;=$L$330,"МСМК",IF(P334&gt;=$L$331,"МС",IF(P334&gt;=$L$332,"КМС",IF(P334&gt;=$L$333,"I",IF(P334&gt;=$L$334,"II",IF(P334&gt;=$L$335,"III","б/р"))))))))</f>
        <v xml:space="preserve"> </v>
      </c>
    </row>
    <row r="335" spans="3:17" x14ac:dyDescent="0.3">
      <c r="C335" s="43"/>
      <c r="D335" s="43"/>
      <c r="E335" s="43"/>
      <c r="F335" s="43"/>
      <c r="H335" s="55"/>
      <c r="I335" s="59"/>
      <c r="J335" s="56" t="s">
        <v>128</v>
      </c>
      <c r="K335" s="90"/>
      <c r="L335" s="55">
        <v>90</v>
      </c>
      <c r="M335" s="59" t="str">
        <f>IF(ISBLANK(L335)," ",IF(ISTEXT(L335)," ",IF(L335&gt;=Нормативы!$L$330,"МСМК",IF(L335&gt;=Нормативы!$L$331,"МС",IF(L335&gt;=Нормативы!$L$332,"КМС",IF(L335&gt;=Нормативы!$L$333,"I",IF(L335&gt;=Нормативы!$L$334,"II",IF(L335&gt;=Нормативы!$L$335,"III","б/р"))))))))</f>
        <v>III</v>
      </c>
      <c r="N335" s="59" t="str">
        <f>IF(ISBLANK(L335)," ",IF(ISTEXT(L335)," ",IF(L335&gt;=Нормативы!$L$330,"МСМК",IF(L335&gt;=Нормативы!$L$331,"МС",IF(L335&gt;=Нормативы!$L$332,"КМС",IF(L335&gt;=Нормативы!$L$333,"I",IF(L335&gt;=Нормативы!$L$334,"II",IF(L335&gt;=Нормативы!$L$335,"III","б/р"))))))))</f>
        <v>III</v>
      </c>
      <c r="O335" s="59"/>
      <c r="Q335" s="59" t="str">
        <f t="shared" ref="Q335" si="244">IF(ISBLANK(P335)," ",IF(ISTEXT(P335)," ",IF(P335&gt;=$L$330,"МСМК",IF(P335&gt;=$L$331,"МС",IF(P335&gt;=$L$332,"КМС",IF(P335&gt;=$L$333,"I",IF(P335&gt;=$L$334,"II",IF(P335&gt;=$L$335,"III","б/р"))))))))</f>
        <v xml:space="preserve"> </v>
      </c>
    </row>
    <row r="336" spans="3:17" x14ac:dyDescent="0.3">
      <c r="C336" s="45"/>
      <c r="H336" s="43"/>
      <c r="I336" s="43"/>
      <c r="K336" s="84"/>
      <c r="L336" s="43"/>
      <c r="M336" s="43"/>
      <c r="N336" s="43"/>
      <c r="Q336" s="43"/>
    </row>
    <row r="337" spans="3:17" x14ac:dyDescent="0.3">
      <c r="C337" s="45" t="s">
        <v>139</v>
      </c>
      <c r="H337" s="43"/>
      <c r="I337" s="43"/>
      <c r="L337" s="43"/>
      <c r="M337" s="43"/>
      <c r="N337" s="43"/>
      <c r="Q337" s="43"/>
    </row>
    <row r="338" spans="3:17" x14ac:dyDescent="0.3">
      <c r="C338" s="43"/>
      <c r="D338" s="43"/>
      <c r="E338" s="43"/>
      <c r="F338" s="43"/>
      <c r="H338" s="55"/>
      <c r="I338" s="59"/>
      <c r="J338" s="56" t="s">
        <v>128</v>
      </c>
      <c r="K338" s="90"/>
      <c r="L338" s="55">
        <v>210</v>
      </c>
      <c r="M338" s="59" t="str">
        <f>IF(ISBLANK(L338)," ",IF(ISTEXT(L338)," ",IF(L338&gt;=Нормативы!$L$338,"МСМК",IF(L338&gt;=Нормативы!$L$339,"МС",IF(L338&gt;=Нормативы!$L$340,"КМС",IF(L338&gt;=Нормативы!$L$341,"I",IF(L338&gt;=Нормативы!$L$342,"II",IF(L338&gt;=Нормативы!$L$343,"III","б/р"))))))))</f>
        <v>МСМК</v>
      </c>
      <c r="N338" s="59" t="str">
        <f>IF(ISBLANK(L338)," ",IF(ISTEXT(L338)," ",IF(L338&gt;=Нормативы!$L$338,"МСМК",IF(L338&gt;=Нормативы!$L$339,"МС",IF(L338&gt;=Нормативы!$L$340,"КМС",IF(L338&gt;=Нормативы!$L$341,"I",IF(L338&gt;=Нормативы!$L$342,"II",IF(L338&gt;=Нормативы!$L$343,"III","б/р"))))))))</f>
        <v>МСМК</v>
      </c>
      <c r="O338" s="59"/>
      <c r="Q338" s="59" t="str">
        <f>IF(ISBLANK(P338)," ",IF(ISTEXT(P338)," ",IF(P338&gt;=$L$338,"МСМК",IF(P338&gt;=$L$339,"МС",IF(P338&gt;=$L$340,"КМС",IF(P338&gt;=$L$341,"I",IF(P338&gt;=$L$342,"II",IF(P338&gt;=$L$343,"III","б/р"))))))))</f>
        <v xml:space="preserve"> </v>
      </c>
    </row>
    <row r="339" spans="3:17" x14ac:dyDescent="0.3">
      <c r="C339" s="43"/>
      <c r="D339" s="43"/>
      <c r="E339" s="43"/>
      <c r="F339" s="43"/>
      <c r="H339" s="55"/>
      <c r="I339" s="59"/>
      <c r="J339" s="56" t="s">
        <v>128</v>
      </c>
      <c r="K339" s="90"/>
      <c r="L339" s="55">
        <v>155</v>
      </c>
      <c r="M339" s="59" t="str">
        <f>IF(ISBLANK(L339)," ",IF(ISTEXT(L339)," ",IF(L339&gt;=Нормативы!$L$338,"МСМК",IF(L339&gt;=Нормативы!$L$339,"МС",IF(L339&gt;=Нормативы!$L$340,"КМС",IF(L339&gt;=Нормативы!$L$341,"I",IF(L339&gt;=Нормативы!$L$342,"II",IF(L339&gt;=Нормативы!$L$343,"III","б/р"))))))))</f>
        <v>МС</v>
      </c>
      <c r="N339" s="59" t="str">
        <f>IF(ISBLANK(L339)," ",IF(ISTEXT(L339)," ",IF(L339&gt;=Нормативы!$L$338,"МСМК",IF(L339&gt;=Нормативы!$L$339,"МС",IF(L339&gt;=Нормативы!$L$340,"КМС",IF(L339&gt;=Нормативы!$L$341,"I",IF(L339&gt;=Нормативы!$L$342,"II",IF(L339&gt;=Нормативы!$L$343,"III","б/р"))))))))</f>
        <v>МС</v>
      </c>
      <c r="O339" s="59"/>
      <c r="Q339" s="59" t="str">
        <f t="shared" ref="Q339" si="245">IF(ISBLANK(P339)," ",IF(ISTEXT(P339)," ",IF(P339&gt;=$L$338,"МСМК",IF(P339&gt;=$L$339,"МС",IF(P339&gt;=$L$340,"КМС",IF(P339&gt;=$L$341,"I",IF(P339&gt;=$L$342,"II",IF(P339&gt;=$L$343,"III","б/р"))))))))</f>
        <v xml:space="preserve"> </v>
      </c>
    </row>
    <row r="340" spans="3:17" x14ac:dyDescent="0.3">
      <c r="C340" s="43"/>
      <c r="D340" s="43"/>
      <c r="E340" s="43"/>
      <c r="F340" s="43"/>
      <c r="H340" s="55"/>
      <c r="I340" s="59"/>
      <c r="J340" s="56" t="s">
        <v>128</v>
      </c>
      <c r="K340" s="90"/>
      <c r="L340" s="55">
        <v>125</v>
      </c>
      <c r="M340" s="59" t="str">
        <f>IF(ISBLANK(L340)," ",IF(ISTEXT(L340)," ",IF(L340&gt;=Нормативы!$L$338,"МСМК",IF(L340&gt;=Нормативы!$L$339,"МС",IF(L340&gt;=Нормативы!$L$340,"КМС",IF(L340&gt;=Нормативы!$L$341,"I",IF(L340&gt;=Нормативы!$L$342,"II",IF(L340&gt;=Нормативы!$L$343,"III","б/р"))))))))</f>
        <v>КМС</v>
      </c>
      <c r="N340" s="59" t="str">
        <f>IF(ISBLANK(L340)," ",IF(ISTEXT(L340)," ",IF(L340&gt;=Нормативы!$L$338,"МСМК",IF(L340&gt;=Нормативы!$L$339,"МС",IF(L340&gt;=Нормативы!$L$340,"КМС",IF(L340&gt;=Нормативы!$L$341,"I",IF(L340&gt;=Нормативы!$L$342,"II",IF(L340&gt;=Нормативы!$L$343,"III","б/р"))))))))</f>
        <v>КМС</v>
      </c>
      <c r="O340" s="59"/>
      <c r="Q340" s="59" t="str">
        <f t="shared" ref="Q340" si="246">IF(ISBLANK(P340)," ",IF(ISTEXT(P340)," ",IF(P340&gt;=$L$338,"МСМК",IF(P340&gt;=$L$339,"МС",IF(P340&gt;=$L$340,"КМС",IF(P340&gt;=$L$341,"I",IF(P340&gt;=$L$342,"II",IF(P340&gt;=$L$343,"III","б/р"))))))))</f>
        <v xml:space="preserve"> </v>
      </c>
    </row>
    <row r="341" spans="3:17" x14ac:dyDescent="0.3">
      <c r="C341" s="43"/>
      <c r="D341" s="43"/>
      <c r="E341" s="43"/>
      <c r="F341" s="43"/>
      <c r="H341" s="55"/>
      <c r="I341" s="59"/>
      <c r="J341" s="56" t="s">
        <v>128</v>
      </c>
      <c r="K341" s="90"/>
      <c r="L341" s="55">
        <v>101</v>
      </c>
      <c r="M341" s="59" t="str">
        <f>IF(ISBLANK(L341)," ",IF(ISTEXT(L341)," ",IF(L341&gt;=Нормативы!$L$338,"МСМК",IF(L341&gt;=Нормативы!$L$339,"МС",IF(L341&gt;=Нормативы!$L$340,"КМС",IF(L341&gt;=Нормативы!$L$341,"I",IF(L341&gt;=Нормативы!$L$342,"II",IF(L341&gt;=Нормативы!$L$343,"III","б/р"))))))))</f>
        <v>I</v>
      </c>
      <c r="N341" s="59" t="str">
        <f>IF(ISBLANK(L341)," ",IF(ISTEXT(L341)," ",IF(L341&gt;=Нормативы!$L$338,"МСМК",IF(L341&gt;=Нормативы!$L$339,"МС",IF(L341&gt;=Нормативы!$L$340,"КМС",IF(L341&gt;=Нормативы!$L$341,"I",IF(L341&gt;=Нормативы!$L$342,"II",IF(L341&gt;=Нормативы!$L$343,"III","б/р"))))))))</f>
        <v>I</v>
      </c>
      <c r="O341" s="59"/>
      <c r="Q341" s="59" t="str">
        <f t="shared" ref="Q341" si="247">IF(ISBLANK(P341)," ",IF(ISTEXT(P341)," ",IF(P341&gt;=$L$338,"МСМК",IF(P341&gt;=$L$339,"МС",IF(P341&gt;=$L$340,"КМС",IF(P341&gt;=$L$341,"I",IF(P341&gt;=$L$342,"II",IF(P341&gt;=$L$343,"III","б/р"))))))))</f>
        <v xml:space="preserve"> </v>
      </c>
    </row>
    <row r="342" spans="3:17" x14ac:dyDescent="0.3">
      <c r="C342" s="43"/>
      <c r="D342" s="43"/>
      <c r="E342" s="43"/>
      <c r="F342" s="43"/>
      <c r="H342" s="55"/>
      <c r="I342" s="59"/>
      <c r="J342" s="56" t="s">
        <v>128</v>
      </c>
      <c r="K342" s="90"/>
      <c r="L342" s="55">
        <v>79</v>
      </c>
      <c r="M342" s="59" t="str">
        <f>IF(ISBLANK(L342)," ",IF(ISTEXT(L342)," ",IF(L342&gt;=Нормативы!$L$338,"МСМК",IF(L342&gt;=Нормативы!$L$339,"МС",IF(L342&gt;=Нормативы!$L$340,"КМС",IF(L342&gt;=Нормативы!$L$341,"I",IF(L342&gt;=Нормативы!$L$342,"II",IF(L342&gt;=Нормативы!$L$343,"III","б/р"))))))))</f>
        <v>II</v>
      </c>
      <c r="N342" s="59" t="str">
        <f>IF(ISBLANK(L342)," ",IF(ISTEXT(L342)," ",IF(L342&gt;=Нормативы!$L$338,"МСМК",IF(L342&gt;=Нормативы!$L$339,"МС",IF(L342&gt;=Нормативы!$L$340,"КМС",IF(L342&gt;=Нормативы!$L$341,"I",IF(L342&gt;=Нормативы!$L$342,"II",IF(L342&gt;=Нормативы!$L$343,"III","б/р"))))))))</f>
        <v>II</v>
      </c>
      <c r="O342" s="59"/>
      <c r="Q342" s="59" t="str">
        <f t="shared" ref="Q342" si="248">IF(ISBLANK(P342)," ",IF(ISTEXT(P342)," ",IF(P342&gt;=$L$338,"МСМК",IF(P342&gt;=$L$339,"МС",IF(P342&gt;=$L$340,"КМС",IF(P342&gt;=$L$341,"I",IF(P342&gt;=$L$342,"II",IF(P342&gt;=$L$343,"III","б/р"))))))))</f>
        <v xml:space="preserve"> </v>
      </c>
    </row>
    <row r="343" spans="3:17" x14ac:dyDescent="0.3">
      <c r="C343" s="43"/>
      <c r="D343" s="43"/>
      <c r="E343" s="43"/>
      <c r="F343" s="43"/>
      <c r="H343" s="55"/>
      <c r="I343" s="59"/>
      <c r="J343" s="56" t="s">
        <v>128</v>
      </c>
      <c r="K343" s="90"/>
      <c r="L343" s="55">
        <v>62</v>
      </c>
      <c r="M343" s="59" t="str">
        <f>IF(ISBLANK(L343)," ",IF(ISTEXT(L343)," ",IF(L343&gt;=Нормативы!$L$338,"МСМК",IF(L343&gt;=Нормативы!$L$339,"МС",IF(L343&gt;=Нормативы!$L$340,"КМС",IF(L343&gt;=Нормативы!$L$341,"I",IF(L343&gt;=Нормативы!$L$342,"II",IF(L343&gt;=Нормативы!$L$343,"III","б/р"))))))))</f>
        <v>III</v>
      </c>
      <c r="N343" s="59" t="str">
        <f>IF(ISBLANK(L343)," ",IF(ISTEXT(L343)," ",IF(L343&gt;=Нормативы!$L$338,"МСМК",IF(L343&gt;=Нормативы!$L$339,"МС",IF(L343&gt;=Нормативы!$L$340,"КМС",IF(L343&gt;=Нормативы!$L$341,"I",IF(L343&gt;=Нормативы!$L$342,"II",IF(L343&gt;=Нормативы!$L$343,"III","б/р"))))))))</f>
        <v>III</v>
      </c>
      <c r="O343" s="59"/>
      <c r="Q343" s="59" t="str">
        <f t="shared" ref="Q343" si="249">IF(ISBLANK(P343)," ",IF(ISTEXT(P343)," ",IF(P343&gt;=$L$338,"МСМК",IF(P343&gt;=$L$339,"МС",IF(P343&gt;=$L$340,"КМС",IF(P343&gt;=$L$341,"I",IF(P343&gt;=$L$342,"II",IF(P343&gt;=$L$343,"III","б/р"))))))))</f>
        <v xml:space="preserve"> </v>
      </c>
    </row>
    <row r="344" spans="3:17" ht="15" customHeight="1" x14ac:dyDescent="0.3">
      <c r="C344" s="43"/>
      <c r="D344" s="43"/>
      <c r="E344" s="43"/>
      <c r="F344" s="43"/>
      <c r="H344" s="43"/>
      <c r="I344" s="43"/>
      <c r="J344" s="43"/>
      <c r="L344" s="43"/>
      <c r="M344" s="43"/>
      <c r="N344" s="43"/>
      <c r="Q344" s="43"/>
    </row>
    <row r="345" spans="3:17" x14ac:dyDescent="0.3">
      <c r="C345" s="45" t="s">
        <v>138</v>
      </c>
      <c r="H345" s="43"/>
      <c r="I345" s="43"/>
      <c r="L345" s="43"/>
      <c r="M345" s="43"/>
      <c r="N345" s="43"/>
      <c r="Q345" s="43"/>
    </row>
    <row r="346" spans="3:17" x14ac:dyDescent="0.3">
      <c r="C346" s="43"/>
      <c r="D346" s="43"/>
      <c r="E346" s="43"/>
      <c r="F346" s="43"/>
      <c r="H346" s="55"/>
      <c r="I346" s="59"/>
      <c r="J346" s="56" t="s">
        <v>128</v>
      </c>
      <c r="K346" s="90"/>
      <c r="L346" s="55">
        <v>235</v>
      </c>
      <c r="M346" s="59" t="str">
        <f>IF(ISBLANK(L346)," ",IF(ISTEXT(L346)," ",IF(L346&gt;=Нормативы!$L$346,"МСМК",IF(L346&gt;=Нормативы!$L$347,"МС",IF(L346&gt;=Нормативы!$L$348,"КМС",IF(L346&gt;=Нормативы!$L$349,"I",IF(L346&gt;=Нормативы!$L$350,"II",IF(L346&gt;=Нормативы!$L$351,"III","б/р"))))))))</f>
        <v>МСМК</v>
      </c>
      <c r="N346" s="59" t="str">
        <f>IF(ISBLANK(L346)," ",IF(ISTEXT(L346)," ",IF(L346&gt;=Нормативы!$L$346,"МСМК",IF(L346&gt;=Нормативы!$L$347,"МС",IF(L346&gt;=Нормативы!$L$348,"КМС",IF(L346&gt;=Нормативы!$L$349,"I",IF(L346&gt;=Нормативы!$L$350,"II",IF(L346&gt;=Нормативы!$L$351,"III","б/р"))))))))</f>
        <v>МСМК</v>
      </c>
      <c r="O346" s="59"/>
      <c r="Q346" s="59" t="str">
        <f>IF(ISBLANK(P346)," ",IF(ISTEXT(P346)," ",IF(P346&gt;=$L$346,"МСМК",IF(P346&gt;=$L$347,"МС",IF(P346&gt;=$L$348,"КМС",IF(P346&gt;=$L$349,"I",IF(P346&gt;=$L$350,"II",IF(P346&gt;=$L$351,"III","б/р"))))))))</f>
        <v xml:space="preserve"> </v>
      </c>
    </row>
    <row r="347" spans="3:17" x14ac:dyDescent="0.3">
      <c r="C347" s="43"/>
      <c r="D347" s="43"/>
      <c r="E347" s="43"/>
      <c r="F347" s="43"/>
      <c r="H347" s="55"/>
      <c r="I347" s="59"/>
      <c r="J347" s="56" t="s">
        <v>128</v>
      </c>
      <c r="K347" s="90"/>
      <c r="L347" s="55">
        <v>201</v>
      </c>
      <c r="M347" s="59" t="str">
        <f>IF(ISBLANK(L347)," ",IF(ISTEXT(L347)," ",IF(L347&gt;=Нормативы!$L$346,"МСМК",IF(L347&gt;=Нормативы!$L$347,"МС",IF(L347&gt;=Нормативы!$L$348,"КМС",IF(L347&gt;=Нормативы!$L$349,"I",IF(L347&gt;=Нормативы!$L$350,"II",IF(L347&gt;=Нормативы!$L$351,"III","б/р"))))))))</f>
        <v>МС</v>
      </c>
      <c r="N347" s="59" t="str">
        <f>IF(ISBLANK(L347)," ",IF(ISTEXT(L347)," ",IF(L347&gt;=Нормативы!$L$346,"МСМК",IF(L347&gt;=Нормативы!$L$347,"МС",IF(L347&gt;=Нормативы!$L$348,"КМС",IF(L347&gt;=Нормативы!$L$349,"I",IF(L347&gt;=Нормативы!$L$350,"II",IF(L347&gt;=Нормативы!$L$351,"III","б/р"))))))))</f>
        <v>МС</v>
      </c>
      <c r="O347" s="59"/>
      <c r="Q347" s="59" t="str">
        <f t="shared" ref="Q347" si="250">IF(ISBLANK(P347)," ",IF(ISTEXT(P347)," ",IF(P347&gt;=$L$346,"МСМК",IF(P347&gt;=$L$347,"МС",IF(P347&gt;=$L$348,"КМС",IF(P347&gt;=$L$349,"I",IF(P347&gt;=$L$350,"II",IF(P347&gt;=$L$351,"III","б/р"))))))))</f>
        <v xml:space="preserve"> </v>
      </c>
    </row>
    <row r="348" spans="3:17" x14ac:dyDescent="0.3">
      <c r="C348" s="43"/>
      <c r="D348" s="43"/>
      <c r="E348" s="43"/>
      <c r="F348" s="43"/>
      <c r="H348" s="55"/>
      <c r="I348" s="59"/>
      <c r="J348" s="56" t="s">
        <v>128</v>
      </c>
      <c r="K348" s="90"/>
      <c r="L348" s="55">
        <v>162</v>
      </c>
      <c r="M348" s="59" t="str">
        <f>IF(ISBLANK(L348)," ",IF(ISTEXT(L348)," ",IF(L348&gt;=Нормативы!$L$346,"МСМК",IF(L348&gt;=Нормативы!$L$347,"МС",IF(L348&gt;=Нормативы!$L$348,"КМС",IF(L348&gt;=Нормативы!$L$349,"I",IF(L348&gt;=Нормативы!$L$350,"II",IF(L348&gt;=Нормативы!$L$351,"III","б/р"))))))))</f>
        <v>КМС</v>
      </c>
      <c r="N348" s="59" t="str">
        <f>IF(ISBLANK(L348)," ",IF(ISTEXT(L348)," ",IF(L348&gt;=Нормативы!$L$346,"МСМК",IF(L348&gt;=Нормативы!$L$347,"МС",IF(L348&gt;=Нормативы!$L$348,"КМС",IF(L348&gt;=Нормативы!$L$349,"I",IF(L348&gt;=Нормативы!$L$350,"II",IF(L348&gt;=Нормативы!$L$351,"III","б/р"))))))))</f>
        <v>КМС</v>
      </c>
      <c r="O348" s="59"/>
      <c r="Q348" s="59" t="str">
        <f t="shared" ref="Q348" si="251">IF(ISBLANK(P348)," ",IF(ISTEXT(P348)," ",IF(P348&gt;=$L$346,"МСМК",IF(P348&gt;=$L$347,"МС",IF(P348&gt;=$L$348,"КМС",IF(P348&gt;=$L$349,"I",IF(P348&gt;=$L$350,"II",IF(P348&gt;=$L$351,"III","б/р"))))))))</f>
        <v xml:space="preserve"> </v>
      </c>
    </row>
    <row r="349" spans="3:17" x14ac:dyDescent="0.3">
      <c r="C349" s="43"/>
      <c r="D349" s="43"/>
      <c r="E349" s="43"/>
      <c r="F349" s="43"/>
      <c r="H349" s="55"/>
      <c r="I349" s="59"/>
      <c r="J349" s="56" t="s">
        <v>128</v>
      </c>
      <c r="K349" s="90"/>
      <c r="L349" s="55">
        <v>130</v>
      </c>
      <c r="M349" s="59" t="str">
        <f>IF(ISBLANK(L349)," ",IF(ISTEXT(L349)," ",IF(L349&gt;=Нормативы!$L$346,"МСМК",IF(L349&gt;=Нормативы!$L$347,"МС",IF(L349&gt;=Нормативы!$L$348,"КМС",IF(L349&gt;=Нормативы!$L$349,"I",IF(L349&gt;=Нормативы!$L$350,"II",IF(L349&gt;=Нормативы!$L$351,"III","б/р"))))))))</f>
        <v>I</v>
      </c>
      <c r="N349" s="59" t="str">
        <f>IF(ISBLANK(L349)," ",IF(ISTEXT(L349)," ",IF(L349&gt;=Нормативы!$L$346,"МСМК",IF(L349&gt;=Нормативы!$L$347,"МС",IF(L349&gt;=Нормативы!$L$348,"КМС",IF(L349&gt;=Нормативы!$L$349,"I",IF(L349&gt;=Нормативы!$L$350,"II",IF(L349&gt;=Нормативы!$L$351,"III","б/р"))))))))</f>
        <v>I</v>
      </c>
      <c r="O349" s="59"/>
      <c r="Q349" s="59" t="str">
        <f t="shared" ref="Q349" si="252">IF(ISBLANK(P349)," ",IF(ISTEXT(P349)," ",IF(P349&gt;=$L$346,"МСМК",IF(P349&gt;=$L$347,"МС",IF(P349&gt;=$L$348,"КМС",IF(P349&gt;=$L$349,"I",IF(P349&gt;=$L$350,"II",IF(P349&gt;=$L$351,"III","б/р"))))))))</f>
        <v xml:space="preserve"> </v>
      </c>
    </row>
    <row r="350" spans="3:17" x14ac:dyDescent="0.3">
      <c r="C350" s="43"/>
      <c r="D350" s="43"/>
      <c r="E350" s="43"/>
      <c r="F350" s="43"/>
      <c r="H350" s="55"/>
      <c r="I350" s="59"/>
      <c r="J350" s="56" t="s">
        <v>128</v>
      </c>
      <c r="K350" s="90"/>
      <c r="L350" s="55">
        <v>105</v>
      </c>
      <c r="M350" s="59" t="str">
        <f>IF(ISBLANK(L350)," ",IF(ISTEXT(L350)," ",IF(L350&gt;=Нормативы!$L$346,"МСМК",IF(L350&gt;=Нормативы!$L$347,"МС",IF(L350&gt;=Нормативы!$L$348,"КМС",IF(L350&gt;=Нормативы!$L$349,"I",IF(L350&gt;=Нормативы!$L$350,"II",IF(L350&gt;=Нормативы!$L$351,"III","б/р"))))))))</f>
        <v>II</v>
      </c>
      <c r="N350" s="59" t="str">
        <f>IF(ISBLANK(L350)," ",IF(ISTEXT(L350)," ",IF(L350&gt;=Нормативы!$L$346,"МСМК",IF(L350&gt;=Нормативы!$L$347,"МС",IF(L350&gt;=Нормативы!$L$348,"КМС",IF(L350&gt;=Нормативы!$L$349,"I",IF(L350&gt;=Нормативы!$L$350,"II",IF(L350&gt;=Нормативы!$L$351,"III","б/р"))))))))</f>
        <v>II</v>
      </c>
      <c r="O350" s="59"/>
      <c r="Q350" s="59" t="str">
        <f t="shared" ref="Q350" si="253">IF(ISBLANK(P350)," ",IF(ISTEXT(P350)," ",IF(P350&gt;=$L$346,"МСМК",IF(P350&gt;=$L$347,"МС",IF(P350&gt;=$L$348,"КМС",IF(P350&gt;=$L$349,"I",IF(P350&gt;=$L$350,"II",IF(P350&gt;=$L$351,"III","б/р"))))))))</f>
        <v xml:space="preserve"> </v>
      </c>
    </row>
    <row r="351" spans="3:17" x14ac:dyDescent="0.3">
      <c r="C351" s="43"/>
      <c r="D351" s="43"/>
      <c r="E351" s="43"/>
      <c r="F351" s="43"/>
      <c r="H351" s="55"/>
      <c r="I351" s="59"/>
      <c r="J351" s="56" t="s">
        <v>128</v>
      </c>
      <c r="K351" s="90"/>
      <c r="L351" s="55">
        <v>81</v>
      </c>
      <c r="M351" s="59" t="str">
        <f>IF(ISBLANK(L351)," ",IF(ISTEXT(L351)," ",IF(L351&gt;=Нормативы!$L$346,"МСМК",IF(L351&gt;=Нормативы!$L$347,"МС",IF(L351&gt;=Нормативы!$L$348,"КМС",IF(L351&gt;=Нормативы!$L$349,"I",IF(L351&gt;=Нормативы!$L$350,"II",IF(L351&gt;=Нормативы!$L$351,"III","б/р"))))))))</f>
        <v>III</v>
      </c>
      <c r="N351" s="59" t="str">
        <f>IF(ISBLANK(L351)," ",IF(ISTEXT(L351)," ",IF(L351&gt;=Нормативы!$L$346,"МСМК",IF(L351&gt;=Нормативы!$L$347,"МС",IF(L351&gt;=Нормативы!$L$348,"КМС",IF(L351&gt;=Нормативы!$L$349,"I",IF(L351&gt;=Нормативы!$L$350,"II",IF(L351&gt;=Нормативы!$L$351,"III","б/р"))))))))</f>
        <v>III</v>
      </c>
      <c r="O351" s="59"/>
      <c r="Q351" s="59" t="str">
        <f t="shared" ref="Q351" si="254">IF(ISBLANK(P351)," ",IF(ISTEXT(P351)," ",IF(P351&gt;=$L$346,"МСМК",IF(P351&gt;=$L$347,"МС",IF(P351&gt;=$L$348,"КМС",IF(P351&gt;=$L$349,"I",IF(P351&gt;=$L$350,"II",IF(P351&gt;=$L$351,"III","б/р"))))))))</f>
        <v xml:space="preserve"> </v>
      </c>
    </row>
    <row r="352" spans="3:17" x14ac:dyDescent="0.3">
      <c r="C352" s="45"/>
      <c r="I352" s="43"/>
      <c r="J352" s="43"/>
      <c r="L352" s="43"/>
      <c r="M352" s="43"/>
      <c r="N352" s="43"/>
      <c r="Q352" s="43"/>
    </row>
    <row r="353" spans="3:17" x14ac:dyDescent="0.3">
      <c r="C353" s="45" t="s">
        <v>84</v>
      </c>
      <c r="I353" s="43"/>
      <c r="J353" s="43"/>
      <c r="K353" s="84"/>
      <c r="L353" s="43"/>
      <c r="M353" s="43"/>
      <c r="N353" s="43"/>
      <c r="Q353" s="43"/>
    </row>
    <row r="354" spans="3:17" x14ac:dyDescent="0.3">
      <c r="C354" s="43"/>
      <c r="D354" s="43"/>
      <c r="E354" s="43"/>
      <c r="F354" s="43"/>
      <c r="G354" s="43"/>
      <c r="H354" s="71">
        <v>37</v>
      </c>
      <c r="I354" s="59" t="str">
        <f>IF(ISBLANK(H354)," ",IF(ISTEXT(H354)," ",IF(H354&lt;=Нормативы!$H$354,"МСМК",IF(H354&lt;=Нормативы!$H$355,"МС",IF(H354&lt;=Нормативы!$H$356,"КМС",IF(H354&lt;=Нормативы!$H$357,"I",IF(H354&lt;=Нормативы!$H$358,"II",IF(H354&lt;=Нормативы!$H$359,"III","б/р"))))))))</f>
        <v>МСМК</v>
      </c>
      <c r="J354" s="59" t="str">
        <f>IF(ISBLANK(H354)," ",IF(ISTEXT(H354)," ",IF(H354&lt;=Нормативы!$H$354,"МСМК",IF(H354&lt;=Нормативы!$H$355,"МС",IF(H354&lt;=Нормативы!$H$356,"КМС",IF(H354&lt;=Нормативы!$H$357,"I",IF(H354&lt;=Нормативы!$H$358,"II",IF(H354&lt;=Нормативы!$H$359,"III","б/р"))))))))</f>
        <v>МСМК</v>
      </c>
      <c r="K354" s="90"/>
      <c r="L354" s="71"/>
      <c r="M354" s="59" t="str">
        <f>IF(ISBLANK(L354)," ",IF(ISTEXT(L354)," ",IF(L354&lt;=Нормативы!$H$354,"КМС",IF(L354&lt;=Нормативы!$H$355,"КМС",IF(L354&lt;=Нормативы!$L$356,"КМС",IF(L354&lt;=Нормативы!$L$357,"I",IF(L354&lt;=Нормативы!$L$358,"II",IF(L354&lt;=Нормативы!$L$359,"III","б/р"))))))))</f>
        <v xml:space="preserve"> </v>
      </c>
      <c r="N354" s="59" t="str">
        <f>IF(ISBLANK(L354)," ",IF(ISTEXT(L354)," ",IF(L354&lt;=37.2,"МСМК",IF(L354&lt;=39.5,"МС",IF(L354&lt;=41.6,"КМС",IF(L354&lt;=45,"I",IF(L354&lt;=48.6,"II",IF(L354&lt;=53,"III","б/р"))))))))</f>
        <v xml:space="preserve"> </v>
      </c>
      <c r="O354" s="59"/>
      <c r="Q354" s="59" t="str">
        <f>IF(ISBLANK(P354)," ",IF(ISTEXT(P354)," ",IF(P354&lt;=$H$354,"МСМК",IF(P354&lt;=$H$355,"МС",IF(P354&lt;=$H$356,"КМС",IF(P354&lt;=$H$357,"I",IF(P354&lt;=$H$358,"II",IF(P354&lt;=$H$359,"III","б/р"))))))))</f>
        <v xml:space="preserve"> </v>
      </c>
    </row>
    <row r="355" spans="3:17" x14ac:dyDescent="0.3">
      <c r="C355" s="43"/>
      <c r="D355" s="43"/>
      <c r="E355" s="43"/>
      <c r="F355" s="43"/>
      <c r="G355" s="43"/>
      <c r="H355" s="71">
        <v>39.4</v>
      </c>
      <c r="I355" s="59" t="str">
        <f>IF(ISBLANK(H355)," ",IF(ISTEXT(H355)," ",IF(H355&lt;=Нормативы!$H$354,"МСМК",IF(H355&lt;=Нормативы!$H$355,"МС",IF(H355&lt;=Нормативы!$H$356,"КМС",IF(H355&lt;=Нормативы!$H$357,"I",IF(H355&lt;=Нормативы!$H$358,"II",IF(H355&lt;=Нормативы!$H$359,"III","б/р"))))))))</f>
        <v>МС</v>
      </c>
      <c r="J355" s="59" t="str">
        <f>IF(ISBLANK(H355)," ",IF(ISTEXT(H355)," ",IF(H355&lt;=Нормативы!$H$354,"МСМК",IF(H355&lt;=Нормативы!$H$355,"МС",IF(H355&lt;=Нормативы!$H$356,"КМС",IF(H355&lt;=Нормативы!$H$357,"I",IF(H355&lt;=Нормативы!$H$358,"II",IF(H355&lt;=Нормативы!$H$359,"III","б/р"))))))))</f>
        <v>МС</v>
      </c>
      <c r="K355" s="90"/>
      <c r="L355" s="71"/>
      <c r="M355" s="59" t="str">
        <f>IF(ISBLANK(L355)," ",IF(ISTEXT(L355)," ",IF(L355&lt;=Нормативы!$H$354,"КМС",IF(L355&lt;=Нормативы!$H$355,"КМС",IF(L355&lt;=Нормативы!$L$356,"КМС",IF(L355&lt;=Нормативы!$L$357,"I",IF(L355&lt;=Нормативы!$L$358,"II",IF(L355&lt;=Нормативы!$L$359,"III","б/р"))))))))</f>
        <v xml:space="preserve"> </v>
      </c>
      <c r="N355" s="59" t="str">
        <f>IF(ISBLANK(L355)," ",IF(ISTEXT(L355)," ",IF(L355&lt;=37.2,"МСМК",IF(L355&lt;=39.5,"МС",IF(L355&lt;=41.6,"КМС",IF(L355&lt;=45,"I",IF(L355&lt;=48.6,"II",IF(L355&lt;=53,"III","б/р"))))))))</f>
        <v xml:space="preserve"> </v>
      </c>
      <c r="O355" s="59"/>
      <c r="Q355" s="59" t="str">
        <f t="shared" ref="Q355" si="255">IF(ISBLANK(P355)," ",IF(ISTEXT(P355)," ",IF(P355&lt;=$H$354,"МСМК",IF(P355&lt;=$H$355,"МС",IF(P355&lt;=$H$356,"КМС",IF(P355&lt;=$H$357,"I",IF(P355&lt;=$H$358,"II",IF(P355&lt;=$H$359,"III","б/р"))))))))</f>
        <v xml:space="preserve"> </v>
      </c>
    </row>
    <row r="356" spans="3:17" x14ac:dyDescent="0.3">
      <c r="C356" s="43"/>
      <c r="D356" s="43"/>
      <c r="E356" s="43"/>
      <c r="F356" s="43"/>
      <c r="G356" s="43"/>
      <c r="H356" s="71">
        <v>41.2</v>
      </c>
      <c r="I356" s="59" t="str">
        <f>IF(ISBLANK(H356)," ",IF(ISTEXT(H356)," ",IF(H356&lt;=Нормативы!$H$354,"МСМК",IF(H356&lt;=Нормативы!$H$355,"МС",IF(H356&lt;=Нормативы!$H$356,"КМС",IF(H356&lt;=Нормативы!$H$357,"I",IF(H356&lt;=Нормативы!$H$358,"II",IF(H356&lt;=Нормативы!$H$359,"III","б/р"))))))))</f>
        <v>КМС</v>
      </c>
      <c r="J356" s="59" t="str">
        <f>IF(ISBLANK(H356)," ",IF(ISTEXT(H356)," ",IF(H356&lt;=Нормативы!$H$354,"МСМК",IF(H356&lt;=Нормативы!$H$355,"МС",IF(H356&lt;=Нормативы!$H$356,"КМС",IF(H356&lt;=Нормативы!$H$357,"I",IF(H356&lt;=Нормативы!$H$358,"II",IF(H356&lt;=Нормативы!$H$359,"III","б/р"))))))))</f>
        <v>КМС</v>
      </c>
      <c r="K356" s="90"/>
      <c r="L356" s="74">
        <f t="shared" ref="L356:L359" si="256">H356-0.2</f>
        <v>41</v>
      </c>
      <c r="M356" s="59" t="str">
        <f>IF(ISBLANK(L356)," ",IF(ISTEXT(L356)," ",IF(L356&lt;=Нормативы!$H$354,"КМС",IF(L356&lt;=Нормативы!$H$355,"КМС",IF(L356&lt;=Нормативы!$L$356,"КМС",IF(L356&lt;=Нормативы!$L$357,"I",IF(L356&lt;=Нормативы!$L$358,"II",IF(L356&lt;=Нормативы!$L$359,"III","б/р"))))))))</f>
        <v>КМС</v>
      </c>
      <c r="N356" s="59" t="str">
        <f>IF(ISBLANK(L356)," ",IF(ISTEXT(L356)," ",IF(L356&lt;=Нормативы!$H$354,"КМС",IF(L356&lt;=Нормативы!$H$355,"КМС",IF(L356&lt;=Нормативы!$L$356,"КМС",IF(L356&lt;=Нормативы!$L$357,"I",IF(L356&lt;=Нормативы!$L$358,"II",IF(L356&lt;=Нормативы!$L$359,"III","б/р"))))))))</f>
        <v>КМС</v>
      </c>
      <c r="O356" s="59"/>
      <c r="Q356" s="59" t="str">
        <f t="shared" ref="Q356" si="257">IF(ISBLANK(P356)," ",IF(ISTEXT(P356)," ",IF(P356&lt;=$H$354,"МСМК",IF(P356&lt;=$H$355,"МС",IF(P356&lt;=$H$356,"КМС",IF(P356&lt;=$H$357,"I",IF(P356&lt;=$H$358,"II",IF(P356&lt;=$H$359,"III","б/р"))))))))</f>
        <v xml:space="preserve"> </v>
      </c>
    </row>
    <row r="357" spans="3:17" x14ac:dyDescent="0.3">
      <c r="C357" s="43"/>
      <c r="D357" s="43"/>
      <c r="E357" s="43"/>
      <c r="F357" s="43"/>
      <c r="G357" s="43"/>
      <c r="H357" s="71">
        <v>44.7</v>
      </c>
      <c r="I357" s="59" t="str">
        <f>IF(ISBLANK(H357)," ",IF(ISTEXT(H357)," ",IF(H357&lt;=Нормативы!$H$354,"МСМК",IF(H357&lt;=Нормативы!$H$355,"МС",IF(H357&lt;=Нормативы!$H$356,"КМС",IF(H357&lt;=Нормативы!$H$357,"I",IF(H357&lt;=Нормативы!$H$358,"II",IF(H357&lt;=Нормативы!$H$359,"III","б/р"))))))))</f>
        <v>I</v>
      </c>
      <c r="J357" s="59" t="str">
        <f>IF(ISBLANK(H357)," ",IF(ISTEXT(H357)," ",IF(H357&lt;=Нормативы!$H$354,"МСМК",IF(H357&lt;=Нормативы!$H$355,"МС",IF(H357&lt;=Нормативы!$H$356,"КМС",IF(H357&lt;=Нормативы!$H$357,"I",IF(H357&lt;=Нормативы!$H$358,"II",IF(H357&lt;=Нормативы!$H$359,"III","б/р"))))))))</f>
        <v>I</v>
      </c>
      <c r="K357" s="90"/>
      <c r="L357" s="74">
        <f t="shared" si="256"/>
        <v>44.5</v>
      </c>
      <c r="M357" s="59" t="str">
        <f>IF(ISBLANK(L357)," ",IF(ISTEXT(L357)," ",IF(L357&lt;=Нормативы!$H$354,"КМС",IF(L357&lt;=Нормативы!$H$355,"КМС",IF(L357&lt;=Нормативы!$L$356,"КМС",IF(L357&lt;=Нормативы!$L$357,"I",IF(L357&lt;=Нормативы!$L$358,"II",IF(L357&lt;=Нормативы!$L$359,"III","б/р"))))))))</f>
        <v>I</v>
      </c>
      <c r="N357" s="59" t="str">
        <f>IF(ISBLANK(L357)," ",IF(ISTEXT(L357)," ",IF(L357&lt;=Нормативы!$H$354,"КМС",IF(L357&lt;=Нормативы!$H$355,"КМС",IF(L357&lt;=Нормативы!$L$356,"КМС",IF(L357&lt;=Нормативы!$L$357,"I",IF(L357&lt;=Нормативы!$L$358,"II",IF(L357&lt;=Нормативы!$L$359,"III","б/р"))))))))</f>
        <v>I</v>
      </c>
      <c r="O357" s="59"/>
      <c r="Q357" s="59" t="str">
        <f t="shared" ref="Q357" si="258">IF(ISBLANK(P357)," ",IF(ISTEXT(P357)," ",IF(P357&lt;=$H$354,"МСМК",IF(P357&lt;=$H$355,"МС",IF(P357&lt;=$H$356,"КМС",IF(P357&lt;=$H$357,"I",IF(P357&lt;=$H$358,"II",IF(P357&lt;=$H$359,"III","б/р"))))))))</f>
        <v xml:space="preserve"> </v>
      </c>
    </row>
    <row r="358" spans="3:17" x14ac:dyDescent="0.3">
      <c r="C358" s="43"/>
      <c r="D358" s="43"/>
      <c r="E358" s="43"/>
      <c r="F358" s="43"/>
      <c r="G358" s="43"/>
      <c r="H358" s="71">
        <v>48.7</v>
      </c>
      <c r="I358" s="59" t="str">
        <f>IF(ISBLANK(H358)," ",IF(ISTEXT(H358)," ",IF(H358&lt;=Нормативы!$H$354,"МСМК",IF(H358&lt;=Нормативы!$H$355,"МС",IF(H358&lt;=Нормативы!$H$356,"КМС",IF(H358&lt;=Нормативы!$H$357,"I",IF(H358&lt;=Нормативы!$H$358,"II",IF(H358&lt;=Нормативы!$H$359,"III","б/р"))))))))</f>
        <v>II</v>
      </c>
      <c r="J358" s="59" t="str">
        <f>IF(ISBLANK(H358)," ",IF(ISTEXT(H358)," ",IF(H358&lt;=Нормативы!$H$354,"МСМК",IF(H358&lt;=Нормативы!$H$355,"МС",IF(H358&lt;=Нормативы!$H$356,"КМС",IF(H358&lt;=Нормативы!$H$357,"I",IF(H358&lt;=Нормативы!$H$358,"II",IF(H358&lt;=Нормативы!$H$359,"III","б/р"))))))))</f>
        <v>II</v>
      </c>
      <c r="K358" s="90"/>
      <c r="L358" s="74">
        <f t="shared" si="256"/>
        <v>48.5</v>
      </c>
      <c r="M358" s="59" t="str">
        <f>IF(ISBLANK(L358)," ",IF(ISTEXT(L358)," ",IF(L358&lt;=Нормативы!$H$354,"КМС",IF(L358&lt;=Нормативы!$H$355,"КМС",IF(L358&lt;=Нормативы!$L$356,"КМС",IF(L358&lt;=Нормативы!$L$357,"I",IF(L358&lt;=Нормативы!$L$358,"II",IF(L358&lt;=Нормативы!$L$359,"III","б/р"))))))))</f>
        <v>II</v>
      </c>
      <c r="N358" s="59" t="str">
        <f>IF(ISBLANK(L358)," ",IF(ISTEXT(L358)," ",IF(L358&lt;=Нормативы!$H$354,"КМС",IF(L358&lt;=Нормативы!$H$355,"КМС",IF(L358&lt;=Нормативы!$L$356,"КМС",IF(L358&lt;=Нормативы!$L$357,"I",IF(L358&lt;=Нормативы!$L$358,"II",IF(L358&lt;=Нормативы!$L$359,"III","б/р"))))))))</f>
        <v>II</v>
      </c>
      <c r="O358" s="59"/>
      <c r="Q358" s="59" t="str">
        <f t="shared" ref="Q358" si="259">IF(ISBLANK(P358)," ",IF(ISTEXT(P358)," ",IF(P358&lt;=$H$354,"МСМК",IF(P358&lt;=$H$355,"МС",IF(P358&lt;=$H$356,"КМС",IF(P358&lt;=$H$357,"I",IF(P358&lt;=$H$358,"II",IF(P358&lt;=$H$359,"III","б/р"))))))))</f>
        <v xml:space="preserve"> </v>
      </c>
    </row>
    <row r="359" spans="3:17" x14ac:dyDescent="0.3">
      <c r="C359" s="43"/>
      <c r="D359" s="43"/>
      <c r="E359" s="43"/>
      <c r="F359" s="43"/>
      <c r="G359" s="43"/>
      <c r="H359" s="71">
        <v>52.2</v>
      </c>
      <c r="I359" s="59" t="str">
        <f>IF(ISBLANK(H359)," ",IF(ISTEXT(H359)," ",IF(H359&lt;=Нормативы!$H$354,"МСМК",IF(H359&lt;=Нормативы!$H$355,"МС",IF(H359&lt;=Нормативы!$H$356,"КМС",IF(H359&lt;=Нормативы!$H$357,"I",IF(H359&lt;=Нормативы!$H$358,"II",IF(H359&lt;=Нормативы!$H$359,"III","б/р"))))))))</f>
        <v>III</v>
      </c>
      <c r="J359" s="59" t="str">
        <f>IF(ISBLANK(H359)," ",IF(ISTEXT(H359)," ",IF(H359&lt;=Нормативы!$H$354,"МСМК",IF(H359&lt;=Нормативы!$H$355,"МС",IF(H359&lt;=Нормативы!$H$356,"КМС",IF(H359&lt;=Нормативы!$H$357,"I",IF(H359&lt;=Нормативы!$H$358,"II",IF(H359&lt;=Нормативы!$H$359,"III","б/р"))))))))</f>
        <v>III</v>
      </c>
      <c r="K359" s="90"/>
      <c r="L359" s="74">
        <f t="shared" si="256"/>
        <v>52</v>
      </c>
      <c r="M359" s="59" t="str">
        <f>IF(ISBLANK(L359)," ",IF(ISTEXT(L359)," ",IF(L359&lt;=Нормативы!$H$354,"КМС",IF(L359&lt;=Нормативы!$H$355,"КМС",IF(L359&lt;=Нормативы!$L$356,"КМС",IF(L359&lt;=Нормативы!$L$357,"I",IF(L359&lt;=Нормативы!$L$358,"II",IF(L359&lt;=Нормативы!$L$359,"III","б/р"))))))))</f>
        <v>III</v>
      </c>
      <c r="N359" s="59" t="str">
        <f>IF(ISBLANK(L359)," ",IF(ISTEXT(L359)," ",IF(L359&lt;=Нормативы!$H$354,"КМС",IF(L359&lt;=Нормативы!$H$355,"КМС",IF(L359&lt;=Нормативы!$L$356,"КМС",IF(L359&lt;=Нормативы!$L$357,"I",IF(L359&lt;=Нормативы!$L$358,"II",IF(L359&lt;=Нормативы!$L$359,"III","б/р"))))))))</f>
        <v>III</v>
      </c>
      <c r="O359" s="59"/>
      <c r="Q359" s="59" t="str">
        <f t="shared" ref="Q359" si="260">IF(ISBLANK(P359)," ",IF(ISTEXT(P359)," ",IF(P359&lt;=$H$354,"МСМК",IF(P359&lt;=$H$355,"МС",IF(P359&lt;=$H$356,"КМС",IF(P359&lt;=$H$357,"I",IF(P359&lt;=$H$358,"II",IF(P359&lt;=$H$359,"III","б/р"))))))))</f>
        <v xml:space="preserve"> </v>
      </c>
    </row>
    <row r="360" spans="3:17" x14ac:dyDescent="0.3">
      <c r="C360" s="45"/>
      <c r="I360" s="43"/>
      <c r="J360" s="43"/>
      <c r="K360" s="84"/>
      <c r="L360" s="43"/>
      <c r="M360" s="43"/>
      <c r="N360" s="43"/>
      <c r="Q360" s="43"/>
    </row>
    <row r="361" spans="3:17" x14ac:dyDescent="0.3">
      <c r="C361" s="45" t="s">
        <v>114</v>
      </c>
      <c r="I361" s="43"/>
      <c r="J361" s="43"/>
      <c r="K361" s="84"/>
      <c r="L361" s="43"/>
      <c r="M361" s="43"/>
      <c r="N361" s="43"/>
      <c r="Q361" s="43"/>
    </row>
    <row r="362" spans="3:17" x14ac:dyDescent="0.3">
      <c r="C362" s="43"/>
      <c r="D362" s="43"/>
      <c r="E362" s="43"/>
      <c r="F362" s="43"/>
      <c r="G362" s="43"/>
      <c r="H362" s="71">
        <v>32.6</v>
      </c>
      <c r="I362" s="59" t="str">
        <f>IF(ISBLANK(H362)," ",IF(ISTEXT(H362)," ",IF(H362&lt;=Нормативы!$H$362,"МСМК",IF(H362&lt;=Нормативы!$H$363,"МС",IF(H362&lt;=Нормативы!$H$364,"КМС",IF(H362&lt;=Нормативы!$H$365,"I",IF(H362&lt;=Нормативы!$H$366,"II",IF(H362&lt;=Нормативы!$H$367,"III","б/р"))))))))</f>
        <v>МСМК</v>
      </c>
      <c r="J362" s="59" t="str">
        <f>IF(ISBLANK(H362)," ",IF(ISTEXT(H362)," ",IF(H362&lt;=Нормативы!$H$362,"МСМК",IF(H362&lt;=Нормативы!$H$363,"МС",IF(H362&lt;=Нормативы!$H$364,"КМС",IF(H362&lt;=Нормативы!$H$365,"I",IF(H362&lt;=Нормативы!$H$366,"II",IF(H362&lt;=Нормативы!$H$367,"III","б/р"))))))))</f>
        <v>МСМК</v>
      </c>
      <c r="K362" s="90"/>
      <c r="L362" s="71"/>
      <c r="M362" s="59" t="str">
        <f>IF(ISBLANK(L362)," ",IF(ISTEXT(L362)," ",IF(L362&lt;=Нормативы!$H$362,"КМС",IF(L362&lt;=Нормативы!$H$363,"КМС",IF(L362&lt;=Нормативы!$L$364,"КМС",IF(L362&lt;=Нормативы!$L$365,"I",IF(L362&lt;=Нормативы!$L$366,"II",IF(L362&lt;=Нормативы!$L$367,"III","б/р"))))))))</f>
        <v xml:space="preserve"> </v>
      </c>
      <c r="N362" s="59" t="str">
        <f>IF(ISBLANK(L362)," ",IF(ISTEXT(L362)," ",IF(L362&lt;=32.8,"МСМК",IF(L362&lt;=35,"МС",IF(L362&lt;=39.6,"КМС",IF(L362&lt;=42.2,"I",IF(L362&lt;=45.6,"II",IF(L362&lt;=49.5,"III","б/р"))))))))</f>
        <v xml:space="preserve"> </v>
      </c>
      <c r="O362" s="59"/>
      <c r="Q362" s="59" t="str">
        <f>IF(ISBLANK(P362)," ",IF(ISTEXT(P362)," ",IF(P362&lt;=$H$362,"МСМК",IF(P362&lt;=$H$363,"МС",IF(P362&lt;=$H$364,"КМС",IF(P362&lt;=$H$365,"I",IF(P362&lt;=$H$366,"II",IF(P362&lt;=$H$367,"III","б/р"))))))))</f>
        <v xml:space="preserve"> </v>
      </c>
    </row>
    <row r="363" spans="3:17" x14ac:dyDescent="0.3">
      <c r="C363" s="43"/>
      <c r="D363" s="43"/>
      <c r="E363" s="43"/>
      <c r="F363" s="43"/>
      <c r="G363" s="43"/>
      <c r="H363" s="71">
        <v>34</v>
      </c>
      <c r="I363" s="59" t="str">
        <f>IF(ISBLANK(H363)," ",IF(ISTEXT(H363)," ",IF(H363&lt;=Нормативы!$H$362,"МСМК",IF(H363&lt;=Нормативы!$H$363,"МС",IF(H363&lt;=Нормативы!$H$364,"КМС",IF(H363&lt;=Нормативы!$H$365,"I",IF(H363&lt;=Нормативы!$H$366,"II",IF(H363&lt;=Нормативы!$H$367,"III","б/р"))))))))</f>
        <v>МС</v>
      </c>
      <c r="J363" s="59" t="str">
        <f>IF(ISBLANK(H363)," ",IF(ISTEXT(H363)," ",IF(H363&lt;=Нормативы!$H$362,"МСМК",IF(H363&lt;=Нормативы!$H$363,"МС",IF(H363&lt;=Нормативы!$H$364,"КМС",IF(H363&lt;=Нормативы!$H$365,"I",IF(H363&lt;=Нормативы!$H$366,"II",IF(H363&lt;=Нормативы!$H$367,"III","б/р"))))))))</f>
        <v>МС</v>
      </c>
      <c r="K363" s="90"/>
      <c r="L363" s="71"/>
      <c r="M363" s="59" t="str">
        <f>IF(ISBLANK(L363)," ",IF(ISTEXT(L363)," ",IF(L363&lt;=Нормативы!$H$362,"КМС",IF(L363&lt;=Нормативы!$H$363,"КМС",IF(L363&lt;=Нормативы!$L$364,"КМС",IF(L363&lt;=Нормативы!$L$365,"I",IF(L363&lt;=Нормативы!$L$366,"II",IF(L363&lt;=Нормативы!$L$367,"III","б/р"))))))))</f>
        <v xml:space="preserve"> </v>
      </c>
      <c r="N363" s="59" t="str">
        <f>IF(ISBLANK(L363)," ",IF(ISTEXT(L363)," ",IF(L363&lt;=32.8,"МСМК",IF(L363&lt;=35,"МС",IF(L363&lt;=39.6,"КМС",IF(L363&lt;=42.2,"I",IF(L363&lt;=45.6,"II",IF(L363&lt;=49.5,"III","б/р"))))))))</f>
        <v xml:space="preserve"> </v>
      </c>
      <c r="O363" s="59"/>
      <c r="Q363" s="59" t="str">
        <f t="shared" ref="Q363" si="261">IF(ISBLANK(P363)," ",IF(ISTEXT(P363)," ",IF(P363&lt;=$H$362,"МСМК",IF(P363&lt;=$H$363,"МС",IF(P363&lt;=$H$364,"КМС",IF(P363&lt;=$H$365,"I",IF(P363&lt;=$H$366,"II",IF(P363&lt;=$H$367,"III","б/р"))))))))</f>
        <v xml:space="preserve"> </v>
      </c>
    </row>
    <row r="364" spans="3:17" x14ac:dyDescent="0.3">
      <c r="C364" s="43"/>
      <c r="D364" s="43"/>
      <c r="E364" s="43"/>
      <c r="F364" s="43"/>
      <c r="G364" s="43"/>
      <c r="H364" s="71">
        <v>38.700000000000003</v>
      </c>
      <c r="I364" s="59" t="str">
        <f>IF(ISBLANK(H364)," ",IF(ISTEXT(H364)," ",IF(H364&lt;=Нормативы!$H$362,"МСМК",IF(H364&lt;=Нормативы!$H$363,"МС",IF(H364&lt;=Нормативы!$H$364,"КМС",IF(H364&lt;=Нормативы!$H$365,"I",IF(H364&lt;=Нормативы!$H$366,"II",IF(H364&lt;=Нормативы!$H$367,"III","б/р"))))))))</f>
        <v>КМС</v>
      </c>
      <c r="J364" s="59" t="str">
        <f>IF(ISBLANK(H364)," ",IF(ISTEXT(H364)," ",IF(H364&lt;=Нормативы!$H$362,"МСМК",IF(H364&lt;=Нормативы!$H$363,"МС",IF(H364&lt;=Нормативы!$H$364,"КМС",IF(H364&lt;=Нормативы!$H$365,"I",IF(H364&lt;=Нормативы!$H$366,"II",IF(H364&lt;=Нормативы!$H$367,"III","б/р"))))))))</f>
        <v>КМС</v>
      </c>
      <c r="K364" s="90"/>
      <c r="L364" s="74">
        <f t="shared" ref="L364:L367" si="262">H364-0.2</f>
        <v>38.5</v>
      </c>
      <c r="M364" s="59" t="str">
        <f>IF(ISBLANK(L364)," ",IF(ISTEXT(L364)," ",IF(L364&lt;=Нормативы!$H$362,"КМС",IF(L364&lt;=Нормативы!$H$363,"КМС",IF(L364&lt;=Нормативы!$L$364,"КМС",IF(L364&lt;=Нормативы!$L$365,"I",IF(L364&lt;=Нормативы!$L$366,"II",IF(L364&lt;=Нормативы!$L$367,"III","б/р"))))))))</f>
        <v>КМС</v>
      </c>
      <c r="N364" s="59" t="str">
        <f>IF(ISBLANK(L364)," ",IF(ISTEXT(L364)," ",IF(L364&lt;=Нормативы!$H$362,"КМС",IF(L364&lt;=Нормативы!$H$363,"КМС",IF(L364&lt;=Нормативы!$L$364,"КМС",IF(L364&lt;=Нормативы!$L$365,"I",IF(L364&lt;=Нормативы!$L$366,"II",IF(L364&lt;=Нормативы!$L$367,"III","б/р"))))))))</f>
        <v>КМС</v>
      </c>
      <c r="O364" s="59"/>
      <c r="Q364" s="59" t="str">
        <f t="shared" ref="Q364" si="263">IF(ISBLANK(P364)," ",IF(ISTEXT(P364)," ",IF(P364&lt;=$H$362,"МСМК",IF(P364&lt;=$H$363,"МС",IF(P364&lt;=$H$364,"КМС",IF(P364&lt;=$H$365,"I",IF(P364&lt;=$H$366,"II",IF(P364&lt;=$H$367,"III","б/р"))))))))</f>
        <v xml:space="preserve"> </v>
      </c>
    </row>
    <row r="365" spans="3:17" x14ac:dyDescent="0.3">
      <c r="C365" s="43"/>
      <c r="D365" s="43"/>
      <c r="E365" s="43"/>
      <c r="F365" s="43"/>
      <c r="G365" s="43"/>
      <c r="H365" s="71">
        <v>41.7</v>
      </c>
      <c r="I365" s="59" t="str">
        <f>IF(ISBLANK(H365)," ",IF(ISTEXT(H365)," ",IF(H365&lt;=Нормативы!$H$362,"МСМК",IF(H365&lt;=Нормативы!$H$363,"МС",IF(H365&lt;=Нормативы!$H$364,"КМС",IF(H365&lt;=Нормативы!$H$365,"I",IF(H365&lt;=Нормативы!$H$366,"II",IF(H365&lt;=Нормативы!$H$367,"III","б/р"))))))))</f>
        <v>I</v>
      </c>
      <c r="J365" s="59" t="str">
        <f>IF(ISBLANK(H365)," ",IF(ISTEXT(H365)," ",IF(H365&lt;=Нормативы!$H$362,"МСМК",IF(H365&lt;=Нормативы!$H$363,"МС",IF(H365&lt;=Нормативы!$H$364,"КМС",IF(H365&lt;=Нормативы!$H$365,"I",IF(H365&lt;=Нормативы!$H$366,"II",IF(H365&lt;=Нормативы!$H$367,"III","б/р"))))))))</f>
        <v>I</v>
      </c>
      <c r="K365" s="90"/>
      <c r="L365" s="74">
        <f t="shared" si="262"/>
        <v>41.5</v>
      </c>
      <c r="M365" s="59" t="str">
        <f>IF(ISBLANK(L365)," ",IF(ISTEXT(L365)," ",IF(L365&lt;=Нормативы!$H$362,"КМС",IF(L365&lt;=Нормативы!$H$363,"КМС",IF(L365&lt;=Нормативы!$L$364,"КМС",IF(L365&lt;=Нормативы!$L$365,"I",IF(L365&lt;=Нормативы!$L$366,"II",IF(L365&lt;=Нормативы!$L$367,"III","б/р"))))))))</f>
        <v>I</v>
      </c>
      <c r="N365" s="59" t="str">
        <f>IF(ISBLANK(L365)," ",IF(ISTEXT(L365)," ",IF(L365&lt;=Нормативы!$H$362,"КМС",IF(L365&lt;=Нормативы!$H$363,"КМС",IF(L365&lt;=Нормативы!$L$364,"КМС",IF(L365&lt;=Нормативы!$L$365,"I",IF(L365&lt;=Нормативы!$L$366,"II",IF(L365&lt;=Нормативы!$L$367,"III","б/р"))))))))</f>
        <v>I</v>
      </c>
      <c r="O365" s="59"/>
      <c r="Q365" s="59" t="str">
        <f t="shared" ref="Q365" si="264">IF(ISBLANK(P365)," ",IF(ISTEXT(P365)," ",IF(P365&lt;=$H$362,"МСМК",IF(P365&lt;=$H$363,"МС",IF(P365&lt;=$H$364,"КМС",IF(P365&lt;=$H$365,"I",IF(P365&lt;=$H$366,"II",IF(P365&lt;=$H$367,"III","б/р"))))))))</f>
        <v xml:space="preserve"> </v>
      </c>
    </row>
    <row r="366" spans="3:17" x14ac:dyDescent="0.3">
      <c r="C366" s="43"/>
      <c r="D366" s="43"/>
      <c r="E366" s="43"/>
      <c r="F366" s="43"/>
      <c r="G366" s="43"/>
      <c r="H366" s="71">
        <v>45.7</v>
      </c>
      <c r="I366" s="59" t="str">
        <f>IF(ISBLANK(H366)," ",IF(ISTEXT(H366)," ",IF(H366&lt;=Нормативы!$H$362,"МСМК",IF(H366&lt;=Нормативы!$H$363,"МС",IF(H366&lt;=Нормативы!$H$364,"КМС",IF(H366&lt;=Нормативы!$H$365,"I",IF(H366&lt;=Нормативы!$H$366,"II",IF(H366&lt;=Нормативы!$H$367,"III","б/р"))))))))</f>
        <v>II</v>
      </c>
      <c r="J366" s="59" t="str">
        <f>IF(ISBLANK(H366)," ",IF(ISTEXT(H366)," ",IF(H366&lt;=Нормативы!$H$362,"МСМК",IF(H366&lt;=Нормативы!$H$363,"МС",IF(H366&lt;=Нормативы!$H$364,"КМС",IF(H366&lt;=Нормативы!$H$365,"I",IF(H366&lt;=Нормативы!$H$366,"II",IF(H366&lt;=Нормативы!$H$367,"III","б/р"))))))))</f>
        <v>II</v>
      </c>
      <c r="K366" s="90"/>
      <c r="L366" s="74">
        <f t="shared" si="262"/>
        <v>45.5</v>
      </c>
      <c r="M366" s="59" t="str">
        <f>IF(ISBLANK(L366)," ",IF(ISTEXT(L366)," ",IF(L366&lt;=Нормативы!$H$362,"КМС",IF(L366&lt;=Нормативы!$H$363,"КМС",IF(L366&lt;=Нормативы!$L$364,"КМС",IF(L366&lt;=Нормативы!$L$365,"I",IF(L366&lt;=Нормативы!$L$366,"II",IF(L366&lt;=Нормативы!$L$367,"III","б/р"))))))))</f>
        <v>II</v>
      </c>
      <c r="N366" s="59" t="str">
        <f>IF(ISBLANK(L366)," ",IF(ISTEXT(L366)," ",IF(L366&lt;=Нормативы!$H$362,"КМС",IF(L366&lt;=Нормативы!$H$363,"КМС",IF(L366&lt;=Нормативы!$L$364,"КМС",IF(L366&lt;=Нормативы!$L$365,"I",IF(L366&lt;=Нормативы!$L$366,"II",IF(L366&lt;=Нормативы!$L$367,"III","б/р"))))))))</f>
        <v>II</v>
      </c>
      <c r="O366" s="59"/>
      <c r="Q366" s="59" t="str">
        <f t="shared" ref="Q366" si="265">IF(ISBLANK(P366)," ",IF(ISTEXT(P366)," ",IF(P366&lt;=$H$362,"МСМК",IF(P366&lt;=$H$363,"МС",IF(P366&lt;=$H$364,"КМС",IF(P366&lt;=$H$365,"I",IF(P366&lt;=$H$366,"II",IF(P366&lt;=$H$367,"III","б/р"))))))))</f>
        <v xml:space="preserve"> </v>
      </c>
    </row>
    <row r="367" spans="3:17" x14ac:dyDescent="0.3">
      <c r="C367" s="43"/>
      <c r="D367" s="43"/>
      <c r="E367" s="43"/>
      <c r="F367" s="43"/>
      <c r="G367" s="43"/>
      <c r="H367" s="71">
        <v>49.2</v>
      </c>
      <c r="I367" s="59" t="str">
        <f>IF(ISBLANK(H367)," ",IF(ISTEXT(H367)," ",IF(H367&lt;=Нормативы!$H$362,"МСМК",IF(H367&lt;=Нормативы!$H$363,"МС",IF(H367&lt;=Нормативы!$H$364,"КМС",IF(H367&lt;=Нормативы!$H$365,"I",IF(H367&lt;=Нормативы!$H$366,"II",IF(H367&lt;=Нормативы!$H$367,"III","б/р"))))))))</f>
        <v>III</v>
      </c>
      <c r="J367" s="59" t="str">
        <f>IF(ISBLANK(H367)," ",IF(ISTEXT(H367)," ",IF(H367&lt;=Нормативы!$H$362,"МСМК",IF(H367&lt;=Нормативы!$H$363,"МС",IF(H367&lt;=Нормативы!$H$364,"КМС",IF(H367&lt;=Нормативы!$H$365,"I",IF(H367&lt;=Нормативы!$H$366,"II",IF(H367&lt;=Нормативы!$H$367,"III","б/р"))))))))</f>
        <v>III</v>
      </c>
      <c r="K367" s="90"/>
      <c r="L367" s="74">
        <f t="shared" si="262"/>
        <v>49</v>
      </c>
      <c r="M367" s="59" t="str">
        <f>IF(ISBLANK(L367)," ",IF(ISTEXT(L367)," ",IF(L367&lt;=Нормативы!$H$362,"КМС",IF(L367&lt;=Нормативы!$H$363,"КМС",IF(L367&lt;=Нормативы!$L$364,"КМС",IF(L367&lt;=Нормативы!$L$365,"I",IF(L367&lt;=Нормативы!$L$366,"II",IF(L367&lt;=Нормативы!$L$367,"III","б/р"))))))))</f>
        <v>III</v>
      </c>
      <c r="N367" s="59" t="str">
        <f>IF(ISBLANK(L367)," ",IF(ISTEXT(L367)," ",IF(L367&lt;=Нормативы!$H$362,"КМС",IF(L367&lt;=Нормативы!$H$363,"КМС",IF(L367&lt;=Нормативы!$L$364,"КМС",IF(L367&lt;=Нормативы!$L$365,"I",IF(L367&lt;=Нормативы!$L$366,"II",IF(L367&lt;=Нормативы!$L$367,"III","б/р"))))))))</f>
        <v>III</v>
      </c>
      <c r="O367" s="59"/>
      <c r="Q367" s="59" t="str">
        <f t="shared" ref="Q367" si="266">IF(ISBLANK(P367)," ",IF(ISTEXT(P367)," ",IF(P367&lt;=$H$362,"МСМК",IF(P367&lt;=$H$363,"МС",IF(P367&lt;=$H$364,"КМС",IF(P367&lt;=$H$365,"I",IF(P367&lt;=$H$366,"II",IF(P367&lt;=$H$367,"III","б/р"))))))))</f>
        <v xml:space="preserve"> </v>
      </c>
    </row>
    <row r="368" spans="3:17" x14ac:dyDescent="0.3">
      <c r="C368" s="45"/>
      <c r="I368" s="43"/>
      <c r="J368" s="43"/>
      <c r="L368" s="43"/>
      <c r="M368" s="43"/>
      <c r="N368" s="43"/>
      <c r="Q368" s="43"/>
    </row>
    <row r="369" spans="3:17" x14ac:dyDescent="0.3">
      <c r="C369" s="45" t="s">
        <v>140</v>
      </c>
      <c r="I369" s="43"/>
      <c r="J369" s="43"/>
      <c r="L369" s="43"/>
      <c r="M369" s="43"/>
      <c r="N369" s="43"/>
      <c r="Q369" s="43"/>
    </row>
    <row r="370" spans="3:17" x14ac:dyDescent="0.3">
      <c r="C370" s="43"/>
      <c r="D370" s="43"/>
      <c r="E370" s="43"/>
      <c r="F370" s="43"/>
      <c r="G370" s="43"/>
      <c r="H370" s="71">
        <v>1135</v>
      </c>
      <c r="I370" s="59" t="str">
        <f>IF(ISBLANK(H370)," ",IF(ISTEXT(H370)," ",IF(H370&lt;=Нормативы!$H$370,"МСМК",IF(H370&lt;=Нормативы!$H$371,"МС",IF(H370&lt;=Нормативы!$H$372,"КМС",IF(H370&lt;=Нормативы!$H$373,"I",IF(H370&lt;=Нормативы!$H$374,"II",IF(H370&lt;=Нормативы!$H$375,"III","б/р"))))))))</f>
        <v>МСМК</v>
      </c>
      <c r="J370" s="59" t="str">
        <f>IF(ISBLANK(H370)," ",IF(ISTEXT(H370)," ",IF(H370&lt;=Нормативы!$H$370,"МСМК",IF(H370&lt;=Нормативы!$H$371,"МС",IF(H370&lt;=Нормативы!$H$372,"КМС",IF(H370&lt;=Нормативы!$H$373,"I",IF(H370&lt;=Нормативы!$H$374,"II",IF(H370&lt;=Нормативы!$H$375,"III","б/р"))))))))</f>
        <v>МСМК</v>
      </c>
      <c r="K370" s="90"/>
      <c r="L370" s="71"/>
      <c r="M370" s="59" t="str">
        <f>IF(ISBLANK(L370)," ",IF(ISTEXT(L370)," ",IF(L370&lt;=Нормативы!$H$370,"КМС",IF(L370&lt;=Нормативы!$H$371,"КМС",IF(L370&lt;=Нормативы!$L$372,"КМС",IF(L370&lt;=Нормативы!$L$373,"I",IF(L370&lt;=Нормативы!$L$374,"II",IF(L370&lt;=Нормативы!$L$375,"III","б/р"))))))))</f>
        <v xml:space="preserve"> </v>
      </c>
      <c r="N370" s="59" t="str">
        <f>IF(ISBLANK(L370)," ",IF(ISTEXT(L370)," ",IF(L370&lt;=1211,"МСМК",IF(L370&lt;=1356,"МС",IF(L370&lt;=1559.8,"КМС",IF(L370&lt;=1739.8,"I",IF(L370&lt;=1844.8,"II",IF(L370&lt;=1944.8,"III","б/р"))))))))</f>
        <v xml:space="preserve"> </v>
      </c>
      <c r="O370" s="59"/>
      <c r="Q370" s="59" t="str">
        <f>IF(ISBLANK(P370)," ",IF(ISTEXT(P370)," ",IF(P370&lt;=$H$370,"МСМК",IF(P370&lt;=$H$371,"МС",IF(P370&lt;=$H$372,"КМС",IF(P370&lt;=$H$373,"I",IF(P370&lt;=$H$374,"II",IF(P370&lt;=$H$375,"III","б/р"))))))))</f>
        <v xml:space="preserve"> </v>
      </c>
    </row>
    <row r="371" spans="3:17" x14ac:dyDescent="0.3">
      <c r="C371" s="43"/>
      <c r="D371" s="43"/>
      <c r="E371" s="43"/>
      <c r="F371" s="43"/>
      <c r="G371" s="43"/>
      <c r="H371" s="71">
        <v>1310</v>
      </c>
      <c r="I371" s="59" t="str">
        <f>IF(ISBLANK(H371)," ",IF(ISTEXT(H371)," ",IF(H371&lt;=Нормативы!$H$370,"МСМК",IF(H371&lt;=Нормативы!$H$371,"МС",IF(H371&lt;=Нормативы!$H$372,"КМС",IF(H371&lt;=Нормативы!$H$373,"I",IF(H371&lt;=Нормативы!$H$374,"II",IF(H371&lt;=Нормативы!$H$375,"III","б/р"))))))))</f>
        <v>МС</v>
      </c>
      <c r="J371" s="59" t="str">
        <f>IF(ISBLANK(H371)," ",IF(ISTEXT(H371)," ",IF(H371&lt;=Нормативы!$H$370,"МСМК",IF(H371&lt;=Нормативы!$H$371,"МС",IF(H371&lt;=Нормативы!$H$372,"КМС",IF(H371&lt;=Нормативы!$H$373,"I",IF(H371&lt;=Нормативы!$H$374,"II",IF(H371&lt;=Нормативы!$H$375,"III","б/р"))))))))</f>
        <v>МС</v>
      </c>
      <c r="K371" s="90"/>
      <c r="L371" s="71"/>
      <c r="M371" s="59" t="str">
        <f>IF(ISBLANK(L371)," ",IF(ISTEXT(L371)," ",IF(L371&lt;=Нормативы!$H$370,"КМС",IF(L371&lt;=Нормативы!$H$371,"КМС",IF(L371&lt;=Нормативы!$L$372,"КМС",IF(L371&lt;=Нормативы!$L$373,"I",IF(L371&lt;=Нормативы!$L$374,"II",IF(L371&lt;=Нормативы!$L$375,"III","б/р"))))))))</f>
        <v xml:space="preserve"> </v>
      </c>
      <c r="N371" s="59" t="str">
        <f>IF(ISBLANK(L371)," ",IF(ISTEXT(L371)," ",IF(L371&lt;=1211,"МСМК",IF(L371&lt;=1356,"МС",IF(L371&lt;=1559.8,"КМС",IF(L371&lt;=1739.8,"I",IF(L371&lt;=1844.8,"II",IF(L371&lt;=1944.8,"III","б/р"))))))))</f>
        <v xml:space="preserve"> </v>
      </c>
      <c r="O371" s="59"/>
      <c r="Q371" s="59" t="str">
        <f t="shared" ref="Q371" si="267">IF(ISBLANK(P371)," ",IF(ISTEXT(P371)," ",IF(P371&lt;=$H$370,"МСМК",IF(P371&lt;=$H$371,"МС",IF(P371&lt;=$H$372,"КМС",IF(P371&lt;=$H$373,"I",IF(P371&lt;=$H$374,"II",IF(P371&lt;=$H$375,"III","б/р"))))))))</f>
        <v xml:space="preserve"> </v>
      </c>
    </row>
    <row r="372" spans="3:17" x14ac:dyDescent="0.3">
      <c r="C372" s="43"/>
      <c r="D372" s="43"/>
      <c r="E372" s="43"/>
      <c r="F372" s="43"/>
      <c r="G372" s="43"/>
      <c r="H372" s="71">
        <v>1530.2</v>
      </c>
      <c r="I372" s="59" t="str">
        <f>IF(ISBLANK(H372)," ",IF(ISTEXT(H372)," ",IF(H372&lt;=Нормативы!$H$370,"МСМК",IF(H372&lt;=Нормативы!$H$371,"МС",IF(H372&lt;=Нормативы!$H$372,"КМС",IF(H372&lt;=Нормативы!$H$373,"I",IF(H372&lt;=Нормативы!$H$374,"II",IF(H372&lt;=Нормативы!$H$375,"III","б/р"))))))))</f>
        <v>КМС</v>
      </c>
      <c r="J372" s="59" t="str">
        <f>IF(ISBLANK(H372)," ",IF(ISTEXT(H372)," ",IF(H372&lt;=Нормативы!$H$370,"МСМК",IF(H372&lt;=Нормативы!$H$371,"МС",IF(H372&lt;=Нормативы!$H$372,"КМС",IF(H372&lt;=Нормативы!$H$373,"I",IF(H372&lt;=Нормативы!$H$374,"II",IF(H372&lt;=Нормативы!$H$375,"III","б/р"))))))))</f>
        <v>КМС</v>
      </c>
      <c r="K372" s="90"/>
      <c r="L372" s="74">
        <f t="shared" ref="L372:L375" si="268">H372-0.2</f>
        <v>1530</v>
      </c>
      <c r="M372" s="59" t="str">
        <f>IF(ISBLANK(L372)," ",IF(ISTEXT(L372)," ",IF(L372&lt;=Нормативы!$H$370,"КМС",IF(L372&lt;=Нормативы!$H$371,"КМС",IF(L372&lt;=Нормативы!$L$372,"КМС",IF(L372&lt;=Нормативы!$L$373,"I",IF(L372&lt;=Нормативы!$L$374,"II",IF(L372&lt;=Нормативы!$L$375,"III","б/р"))))))))</f>
        <v>КМС</v>
      </c>
      <c r="N372" s="59" t="str">
        <f>IF(ISBLANK(L372)," ",IF(ISTEXT(L372)," ",IF(L372&lt;=Нормативы!$H$370,"КМС",IF(L372&lt;=Нормативы!$H$371,"КМС",IF(L372&lt;=Нормативы!$L$372,"КМС",IF(L372&lt;=Нормативы!$L$373,"I",IF(L372&lt;=Нормативы!$L$374,"II",IF(L372&lt;=Нормативы!$L$375,"III","б/р"))))))))</f>
        <v>КМС</v>
      </c>
      <c r="O372" s="59"/>
      <c r="Q372" s="59" t="str">
        <f t="shared" ref="Q372" si="269">IF(ISBLANK(P372)," ",IF(ISTEXT(P372)," ",IF(P372&lt;=$H$370,"МСМК",IF(P372&lt;=$H$371,"МС",IF(P372&lt;=$H$372,"КМС",IF(P372&lt;=$H$373,"I",IF(P372&lt;=$H$374,"II",IF(P372&lt;=$H$375,"III","б/р"))))))))</f>
        <v xml:space="preserve"> </v>
      </c>
    </row>
    <row r="373" spans="3:17" x14ac:dyDescent="0.3">
      <c r="C373" s="43"/>
      <c r="D373" s="43"/>
      <c r="E373" s="43"/>
      <c r="F373" s="43"/>
      <c r="G373" s="43"/>
      <c r="H373" s="71">
        <v>1645.2</v>
      </c>
      <c r="I373" s="59" t="str">
        <f>IF(ISBLANK(H373)," ",IF(ISTEXT(H373)," ",IF(H373&lt;=Нормативы!$H$370,"МСМК",IF(H373&lt;=Нормативы!$H$371,"МС",IF(H373&lt;=Нормативы!$H$372,"КМС",IF(H373&lt;=Нормативы!$H$373,"I",IF(H373&lt;=Нормативы!$H$374,"II",IF(H373&lt;=Нормативы!$H$375,"III","б/р"))))))))</f>
        <v>I</v>
      </c>
      <c r="J373" s="59" t="str">
        <f>IF(ISBLANK(H373)," ",IF(ISTEXT(H373)," ",IF(H373&lt;=Нормативы!$H$370,"МСМК",IF(H373&lt;=Нормативы!$H$371,"МС",IF(H373&lt;=Нормативы!$H$372,"КМС",IF(H373&lt;=Нормативы!$H$373,"I",IF(H373&lt;=Нормативы!$H$374,"II",IF(H373&lt;=Нормативы!$H$375,"III","б/р"))))))))</f>
        <v>I</v>
      </c>
      <c r="K373" s="90"/>
      <c r="L373" s="74">
        <f t="shared" si="268"/>
        <v>1645</v>
      </c>
      <c r="M373" s="59" t="str">
        <f>IF(ISBLANK(L373)," ",IF(ISTEXT(L373)," ",IF(L373&lt;=Нормативы!$H$370,"КМС",IF(L373&lt;=Нормативы!$H$371,"КМС",IF(L373&lt;=Нормативы!$L$372,"КМС",IF(L373&lt;=Нормативы!$L$373,"I",IF(L373&lt;=Нормативы!$L$374,"II",IF(L373&lt;=Нормативы!$L$375,"III","б/р"))))))))</f>
        <v>I</v>
      </c>
      <c r="N373" s="59" t="str">
        <f>IF(ISBLANK(L373)," ",IF(ISTEXT(L373)," ",IF(L373&lt;=Нормативы!$H$370,"КМС",IF(L373&lt;=Нормативы!$H$371,"КМС",IF(L373&lt;=Нормативы!$L$372,"КМС",IF(L373&lt;=Нормативы!$L$373,"I",IF(L373&lt;=Нормативы!$L$374,"II",IF(L373&lt;=Нормативы!$L$375,"III","б/р"))))))))</f>
        <v>I</v>
      </c>
      <c r="O373" s="59"/>
      <c r="Q373" s="59" t="str">
        <f t="shared" ref="Q373" si="270">IF(ISBLANK(P373)," ",IF(ISTEXT(P373)," ",IF(P373&lt;=$H$370,"МСМК",IF(P373&lt;=$H$371,"МС",IF(P373&lt;=$H$372,"КМС",IF(P373&lt;=$H$373,"I",IF(P373&lt;=$H$374,"II",IF(P373&lt;=$H$375,"III","б/р"))))))))</f>
        <v xml:space="preserve"> </v>
      </c>
    </row>
    <row r="374" spans="3:17" x14ac:dyDescent="0.3">
      <c r="C374" s="43"/>
      <c r="D374" s="43"/>
      <c r="E374" s="43"/>
      <c r="F374" s="43"/>
      <c r="G374" s="43"/>
      <c r="H374" s="71">
        <v>1730</v>
      </c>
      <c r="I374" s="59" t="str">
        <f>IF(ISBLANK(H374)," ",IF(ISTEXT(H374)," ",IF(H374&lt;=Нормативы!$H$370,"МСМК",IF(H374&lt;=Нормативы!$H$371,"МС",IF(H374&lt;=Нормативы!$H$372,"КМС",IF(H374&lt;=Нормативы!$H$373,"I",IF(H374&lt;=Нормативы!$H$374,"II",IF(H374&lt;=Нормативы!$H$375,"III","б/р"))))))))</f>
        <v>II</v>
      </c>
      <c r="J374" s="59" t="str">
        <f>IF(ISBLANK(H374)," ",IF(ISTEXT(H374)," ",IF(H374&lt;=Нормативы!$H$370,"МСМК",IF(H374&lt;=Нормативы!$H$371,"МС",IF(H374&lt;=Нормативы!$H$372,"КМС",IF(H374&lt;=Нормативы!$H$373,"I",IF(H374&lt;=Нормативы!$H$374,"II",IF(H374&lt;=Нормативы!$H$375,"III","б/р"))))))))</f>
        <v>II</v>
      </c>
      <c r="K374" s="90"/>
      <c r="L374" s="74">
        <f t="shared" si="268"/>
        <v>1729.8</v>
      </c>
      <c r="M374" s="59" t="str">
        <f>IF(ISBLANK(L374)," ",IF(ISTEXT(L374)," ",IF(L374&lt;=Нормативы!$H$370,"КМС",IF(L374&lt;=Нормативы!$H$371,"КМС",IF(L374&lt;=Нормативы!$L$372,"КМС",IF(L374&lt;=Нормативы!$L$373,"I",IF(L374&lt;=Нормативы!$L$374,"II",IF(L374&lt;=Нормативы!$L$375,"III","б/р"))))))))</f>
        <v>II</v>
      </c>
      <c r="N374" s="59" t="str">
        <f>IF(ISBLANK(L374)," ",IF(ISTEXT(L374)," ",IF(L374&lt;=Нормативы!$H$370,"КМС",IF(L374&lt;=Нормативы!$H$371,"КМС",IF(L374&lt;=Нормативы!$L$372,"КМС",IF(L374&lt;=Нормативы!$L$373,"I",IF(L374&lt;=Нормативы!$L$374,"II",IF(L374&lt;=Нормативы!$L$375,"III","б/р"))))))))</f>
        <v>II</v>
      </c>
      <c r="O374" s="59"/>
      <c r="Q374" s="59" t="str">
        <f t="shared" ref="Q374" si="271">IF(ISBLANK(P374)," ",IF(ISTEXT(P374)," ",IF(P374&lt;=$H$370,"МСМК",IF(P374&lt;=$H$371,"МС",IF(P374&lt;=$H$372,"КМС",IF(P374&lt;=$H$373,"I",IF(P374&lt;=$H$374,"II",IF(P374&lt;=$H$375,"III","б/р"))))))))</f>
        <v xml:space="preserve"> </v>
      </c>
    </row>
    <row r="375" spans="3:17" x14ac:dyDescent="0.3">
      <c r="C375" s="43"/>
      <c r="D375" s="43"/>
      <c r="E375" s="43"/>
      <c r="F375" s="43"/>
      <c r="G375" s="43"/>
      <c r="H375" s="71">
        <v>1840</v>
      </c>
      <c r="I375" s="59" t="str">
        <f>IF(ISBLANK(H375)," ",IF(ISTEXT(H375)," ",IF(H375&lt;=Нормативы!$H$370,"МСМК",IF(H375&lt;=Нормативы!$H$371,"МС",IF(H375&lt;=Нормативы!$H$372,"КМС",IF(H375&lt;=Нормативы!$H$373,"I",IF(H375&lt;=Нормативы!$H$374,"II",IF(H375&lt;=Нормативы!$H$375,"III","б/р"))))))))</f>
        <v>III</v>
      </c>
      <c r="J375" s="59" t="str">
        <f>IF(ISBLANK(H375)," ",IF(ISTEXT(H375)," ",IF(H375&lt;=Нормативы!$H$370,"МСМК",IF(H375&lt;=Нормативы!$H$371,"МС",IF(H375&lt;=Нормативы!$H$372,"КМС",IF(H375&lt;=Нормативы!$H$373,"I",IF(H375&lt;=Нормативы!$H$374,"II",IF(H375&lt;=Нормативы!$H$375,"III","б/р"))))))))</f>
        <v>III</v>
      </c>
      <c r="K375" s="90"/>
      <c r="L375" s="74">
        <f t="shared" si="268"/>
        <v>1839.8</v>
      </c>
      <c r="M375" s="59" t="str">
        <f>IF(ISBLANK(L375)," ",IF(ISTEXT(L375)," ",IF(L375&lt;=Нормативы!$H$370,"КМС",IF(L375&lt;=Нормативы!$H$371,"КМС",IF(L375&lt;=Нормативы!$L$372,"КМС",IF(L375&lt;=Нормативы!$L$373,"I",IF(L375&lt;=Нормативы!$L$374,"II",IF(L375&lt;=Нормативы!$L$375,"III","б/р"))))))))</f>
        <v>III</v>
      </c>
      <c r="N375" s="59" t="str">
        <f>IF(ISBLANK(L375)," ",IF(ISTEXT(L375)," ",IF(L375&lt;=Нормативы!$H$370,"КМС",IF(L375&lt;=Нормативы!$H$371,"КМС",IF(L375&lt;=Нормативы!$L$372,"КМС",IF(L375&lt;=Нормативы!$L$373,"I",IF(L375&lt;=Нормативы!$L$374,"II",IF(L375&lt;=Нормативы!$L$375,"III","б/р"))))))))</f>
        <v>III</v>
      </c>
      <c r="O375" s="59"/>
      <c r="Q375" s="59" t="str">
        <f t="shared" ref="Q375" si="272">IF(ISBLANK(P375)," ",IF(ISTEXT(P375)," ",IF(P375&lt;=$H$370,"МСМК",IF(P375&lt;=$H$371,"МС",IF(P375&lt;=$H$372,"КМС",IF(P375&lt;=$H$373,"I",IF(P375&lt;=$H$374,"II",IF(P375&lt;=$H$375,"III","б/р"))))))))</f>
        <v xml:space="preserve"> </v>
      </c>
    </row>
    <row r="376" spans="3:17" ht="15" customHeight="1" x14ac:dyDescent="0.3">
      <c r="C376" s="43"/>
      <c r="D376" s="43"/>
      <c r="E376" s="43"/>
      <c r="F376" s="43"/>
      <c r="G376" s="43"/>
      <c r="H376" s="42"/>
      <c r="I376" s="43"/>
      <c r="J376" s="43"/>
      <c r="L376" s="43"/>
      <c r="M376" s="43"/>
      <c r="N376" s="43"/>
      <c r="Q376" s="43"/>
    </row>
    <row r="377" spans="3:17" x14ac:dyDescent="0.3">
      <c r="C377" s="45" t="s">
        <v>168</v>
      </c>
      <c r="I377" s="43"/>
      <c r="J377" s="43"/>
      <c r="L377" s="43"/>
      <c r="M377" s="43"/>
      <c r="N377" s="43"/>
      <c r="Q377" s="43"/>
    </row>
    <row r="378" spans="3:17" x14ac:dyDescent="0.3">
      <c r="C378" s="43"/>
      <c r="D378" s="43"/>
      <c r="E378" s="43"/>
      <c r="F378" s="43"/>
      <c r="G378" s="43"/>
      <c r="H378" s="71">
        <v>936</v>
      </c>
      <c r="I378" s="59" t="str">
        <f>IF(ISBLANK(H378)," ",IF(ISTEXT(H378)," ",IF(H378&lt;=Нормативы!$H$378,"МСМК",IF(H378&lt;=Нормативы!$H$379,"МС",IF(H378&lt;=Нормативы!$H$380,"КМС",IF(H378&lt;=Нормативы!$H$381,"I",IF(H378&lt;=Нормативы!$H$382,"II",IF(H378&lt;=Нормативы!$H$383,"III","б/р"))))))))</f>
        <v>МСМК</v>
      </c>
      <c r="J378" s="59" t="str">
        <f>IF(ISBLANK(H378)," ",IF(ISTEXT(H378)," ",IF(H378&lt;=Нормативы!$H$378,"МСМК",IF(H378&lt;=Нормативы!$H$379,"МС",IF(H378&lt;=Нормативы!$H$380,"КМС",IF(H378&lt;=Нормативы!$H$381,"I",IF(H378&lt;=Нормативы!$H$382,"II",IF(H378&lt;=Нормативы!$H$383,"III","б/р"))))))))</f>
        <v>МСМК</v>
      </c>
      <c r="K378" s="90"/>
      <c r="L378" s="71"/>
      <c r="M378" s="59" t="str">
        <f>IF(ISBLANK(L378)," ",IF(ISTEXT(L378)," ",IF(L378&lt;=Нормативы!$H$378,"КМС",IF(L378&lt;=Нормативы!$H$379,"КМС",IF(L378&lt;=Нормативы!$L$380,"КМС",IF(L378&lt;=Нормативы!$L$381,"I",IF(L378&lt;=Нормативы!$L$382,"II",IF(L378&lt;=Нормативы!$L$383,"III","б/р"))))))))</f>
        <v xml:space="preserve"> </v>
      </c>
      <c r="N378" s="59" t="str">
        <f>IF(ISBLANK(L378)," ",IF(ISTEXT(L378)," ",IF(L378&lt;=938,"МСМК",IF(L378&lt;=1009,"МС",IF(L378&lt;=1129.8,"КМС",IF(L378&lt;=1459.8,"I",IF(L378&lt;=1614.8,"II",IF(L378&lt;=1719.8,"III","б/р"))))))))</f>
        <v xml:space="preserve"> </v>
      </c>
      <c r="O378" s="59"/>
      <c r="Q378" s="59" t="str">
        <f>IF(ISBLANK(P378)," ",IF(ISTEXT(P378)," ",IF(P378&lt;=$H$378,"МСМК",IF(P378&lt;=$H$379,"МС",IF(P378&lt;=$H$380,"КМС",IF(P378&lt;=$H$381,"I",IF(P378&lt;=$H$382,"II",IF(P378&lt;=$H$383,"III","б/р"))))))))</f>
        <v xml:space="preserve"> </v>
      </c>
    </row>
    <row r="379" spans="3:17" x14ac:dyDescent="0.3">
      <c r="C379" s="43"/>
      <c r="D379" s="43"/>
      <c r="E379" s="43"/>
      <c r="F379" s="43"/>
      <c r="G379" s="43"/>
      <c r="H379" s="71">
        <v>1008</v>
      </c>
      <c r="I379" s="59" t="str">
        <f>IF(ISBLANK(H379)," ",IF(ISTEXT(H379)," ",IF(H379&lt;=Нормативы!$H$378,"МСМК",IF(H379&lt;=Нормативы!$H$379,"МС",IF(H379&lt;=Нормативы!$H$380,"КМС",IF(H379&lt;=Нормативы!$H$381,"I",IF(H379&lt;=Нормативы!$H$382,"II",IF(H379&lt;=Нормативы!$H$383,"III","б/р"))))))))</f>
        <v>МС</v>
      </c>
      <c r="J379" s="59" t="str">
        <f>IF(ISBLANK(H379)," ",IF(ISTEXT(H379)," ",IF(H379&lt;=Нормативы!$H$378,"МСМК",IF(H379&lt;=Нормативы!$H$379,"МС",IF(H379&lt;=Нормативы!$H$380,"КМС",IF(H379&lt;=Нормативы!$H$381,"I",IF(H379&lt;=Нормативы!$H$382,"II",IF(H379&lt;=Нормативы!$H$383,"III","б/р"))))))))</f>
        <v>МС</v>
      </c>
      <c r="K379" s="90"/>
      <c r="L379" s="71"/>
      <c r="M379" s="59" t="str">
        <f>IF(ISBLANK(L379)," ",IF(ISTEXT(L379)," ",IF(L379&lt;=Нормативы!$H$378,"КМС",IF(L379&lt;=Нормативы!$H$379,"КМС",IF(L379&lt;=Нормативы!$L$380,"КМС",IF(L379&lt;=Нормативы!$L$381,"I",IF(L379&lt;=Нормативы!$L$382,"II",IF(L379&lt;=Нормативы!$L$383,"III","б/р"))))))))</f>
        <v xml:space="preserve"> </v>
      </c>
      <c r="N379" s="59" t="str">
        <f>IF(ISBLANK(L379)," ",IF(ISTEXT(L379)," ",IF(L379&lt;=938,"МСМК",IF(L379&lt;=1009,"МС",IF(L379&lt;=1129.8,"КМС",IF(L379&lt;=1459.8,"I",IF(L379&lt;=1614.8,"II",IF(L379&lt;=1719.8,"III","б/р"))))))))</f>
        <v xml:space="preserve"> </v>
      </c>
      <c r="O379" s="59"/>
      <c r="Q379" s="59" t="str">
        <f t="shared" ref="Q379" si="273">IF(ISBLANK(P379)," ",IF(ISTEXT(P379)," ",IF(P379&lt;=$H$378,"МСМК",IF(P379&lt;=$H$379,"МС",IF(P379&lt;=$H$380,"КМС",IF(P379&lt;=$H$381,"I",IF(P379&lt;=$H$382,"II",IF(P379&lt;=$H$383,"III","б/р"))))))))</f>
        <v xml:space="preserve"> </v>
      </c>
    </row>
    <row r="380" spans="3:17" x14ac:dyDescent="0.3">
      <c r="C380" s="43"/>
      <c r="D380" s="43"/>
      <c r="E380" s="43"/>
      <c r="F380" s="43"/>
      <c r="G380" s="43"/>
      <c r="H380" s="71">
        <v>1120</v>
      </c>
      <c r="I380" s="59" t="str">
        <f>IF(ISBLANK(H380)," ",IF(ISTEXT(H380)," ",IF(H380&lt;=Нормативы!$H$378,"МСМК",IF(H380&lt;=Нормативы!$H$379,"МС",IF(H380&lt;=Нормативы!$H$380,"КМС",IF(H380&lt;=Нормативы!$H$381,"I",IF(H380&lt;=Нормативы!$H$382,"II",IF(H380&lt;=Нормативы!$H$383,"III","б/р"))))))))</f>
        <v>КМС</v>
      </c>
      <c r="J380" s="59" t="str">
        <f>IF(ISBLANK(H380)," ",IF(ISTEXT(H380)," ",IF(H380&lt;=Нормативы!$H$378,"МСМК",IF(H380&lt;=Нормативы!$H$379,"МС",IF(H380&lt;=Нормативы!$H$380,"КМС",IF(H380&lt;=Нормативы!$H$381,"I",IF(H380&lt;=Нормативы!$H$382,"II",IF(H380&lt;=Нормативы!$H$383,"III","б/р"))))))))</f>
        <v>КМС</v>
      </c>
      <c r="K380" s="90"/>
      <c r="L380" s="74">
        <f t="shared" ref="L380:L383" si="274">H380-0.2</f>
        <v>1119.8</v>
      </c>
      <c r="M380" s="59" t="str">
        <f>IF(ISBLANK(L380)," ",IF(ISTEXT(L380)," ",IF(L380&lt;=Нормативы!$H$378,"КМС",IF(L380&lt;=Нормативы!$H$379,"КМС",IF(L380&lt;=Нормативы!$L$380,"КМС",IF(L380&lt;=Нормативы!$L$381,"I",IF(L380&lt;=Нормативы!$L$382,"II",IF(L380&lt;=Нормативы!$L$383,"III","б/р"))))))))</f>
        <v>КМС</v>
      </c>
      <c r="N380" s="59" t="str">
        <f>IF(ISBLANK(L380)," ",IF(ISTEXT(L380)," ",IF(L380&lt;=Нормативы!$H$378,"КМС",IF(L380&lt;=Нормативы!$H$379,"КМС",IF(L380&lt;=Нормативы!$L$380,"КМС",IF(L380&lt;=Нормативы!$L$381,"I",IF(L380&lt;=Нормативы!$L$382,"II",IF(L380&lt;=Нормативы!$L$383,"III","б/р"))))))))</f>
        <v>КМС</v>
      </c>
      <c r="O380" s="59"/>
      <c r="Q380" s="59" t="str">
        <f t="shared" ref="Q380" si="275">IF(ISBLANK(P380)," ",IF(ISTEXT(P380)," ",IF(P380&lt;=$H$378,"МСМК",IF(P380&lt;=$H$379,"МС",IF(P380&lt;=$H$380,"КМС",IF(P380&lt;=$H$381,"I",IF(P380&lt;=$H$382,"II",IF(P380&lt;=$H$383,"III","б/р"))))))))</f>
        <v xml:space="preserve"> </v>
      </c>
    </row>
    <row r="381" spans="3:17" x14ac:dyDescent="0.3">
      <c r="C381" s="43"/>
      <c r="D381" s="43"/>
      <c r="E381" s="43"/>
      <c r="F381" s="43"/>
      <c r="G381" s="43"/>
      <c r="H381" s="71">
        <v>1415.7</v>
      </c>
      <c r="I381" s="59" t="str">
        <f>IF(ISBLANK(H381)," ",IF(ISTEXT(H381)," ",IF(H381&lt;=Нормативы!$H$378,"МСМК",IF(H381&lt;=Нормативы!$H$379,"МС",IF(H381&lt;=Нормативы!$H$380,"КМС",IF(H381&lt;=Нормативы!$H$381,"I",IF(H381&lt;=Нормативы!$H$382,"II",IF(H381&lt;=Нормативы!$H$383,"III","б/р"))))))))</f>
        <v>I</v>
      </c>
      <c r="J381" s="59" t="str">
        <f>IF(ISBLANK(H381)," ",IF(ISTEXT(H381)," ",IF(H381&lt;=Нормативы!$H$378,"МСМК",IF(H381&lt;=Нормативы!$H$379,"МС",IF(H381&lt;=Нормативы!$H$380,"КМС",IF(H381&lt;=Нормативы!$H$381,"I",IF(H381&lt;=Нормативы!$H$382,"II",IF(H381&lt;=Нормативы!$H$383,"III","б/р"))))))))</f>
        <v>I</v>
      </c>
      <c r="K381" s="90"/>
      <c r="L381" s="74">
        <f t="shared" si="274"/>
        <v>1415.5</v>
      </c>
      <c r="M381" s="59" t="str">
        <f>IF(ISBLANK(L381)," ",IF(ISTEXT(L381)," ",IF(L381&lt;=Нормативы!$H$378,"КМС",IF(L381&lt;=Нормативы!$H$379,"КМС",IF(L381&lt;=Нормативы!$L$380,"КМС",IF(L381&lt;=Нормативы!$L$381,"I",IF(L381&lt;=Нормативы!$L$382,"II",IF(L381&lt;=Нормативы!$L$383,"III","б/р"))))))))</f>
        <v>I</v>
      </c>
      <c r="N381" s="59" t="str">
        <f>IF(ISBLANK(L381)," ",IF(ISTEXT(L381)," ",IF(L381&lt;=Нормативы!$H$378,"КМС",IF(L381&lt;=Нормативы!$H$379,"КМС",IF(L381&lt;=Нормативы!$L$380,"КМС",IF(L381&lt;=Нормативы!$L$381,"I",IF(L381&lt;=Нормативы!$L$382,"II",IF(L381&lt;=Нормативы!$L$383,"III","б/р"))))))))</f>
        <v>I</v>
      </c>
      <c r="O381" s="59"/>
      <c r="Q381" s="59" t="str">
        <f t="shared" ref="Q381" si="276">IF(ISBLANK(P381)," ",IF(ISTEXT(P381)," ",IF(P381&lt;=$H$378,"МСМК",IF(P381&lt;=$H$379,"МС",IF(P381&lt;=$H$380,"КМС",IF(P381&lt;=$H$381,"I",IF(P381&lt;=$H$382,"II",IF(P381&lt;=$H$383,"III","б/р"))))))))</f>
        <v xml:space="preserve"> </v>
      </c>
    </row>
    <row r="382" spans="3:17" x14ac:dyDescent="0.3">
      <c r="C382" s="43"/>
      <c r="D382" s="43"/>
      <c r="E382" s="43"/>
      <c r="F382" s="43"/>
      <c r="G382" s="43"/>
      <c r="H382" s="71">
        <v>1525</v>
      </c>
      <c r="I382" s="59" t="str">
        <f>IF(ISBLANK(H382)," ",IF(ISTEXT(H382)," ",IF(H382&lt;=Нормативы!$H$378,"МСМК",IF(H382&lt;=Нормативы!$H$379,"МС",IF(H382&lt;=Нормативы!$H$380,"КМС",IF(H382&lt;=Нормативы!$H$381,"I",IF(H382&lt;=Нормативы!$H$382,"II",IF(H382&lt;=Нормативы!$H$383,"III","б/р"))))))))</f>
        <v>II</v>
      </c>
      <c r="J382" s="59" t="str">
        <f>IF(ISBLANK(H382)," ",IF(ISTEXT(H382)," ",IF(H382&lt;=Нормативы!$H$378,"МСМК",IF(H382&lt;=Нормативы!$H$379,"МС",IF(H382&lt;=Нормативы!$H$380,"КМС",IF(H382&lt;=Нормативы!$H$381,"I",IF(H382&lt;=Нормативы!$H$382,"II",IF(H382&lt;=Нормативы!$H$383,"III","б/р"))))))))</f>
        <v>II</v>
      </c>
      <c r="K382" s="90"/>
      <c r="L382" s="74">
        <f t="shared" si="274"/>
        <v>1524.8</v>
      </c>
      <c r="M382" s="59" t="str">
        <f>IF(ISBLANK(L382)," ",IF(ISTEXT(L382)," ",IF(L382&lt;=Нормативы!$H$378,"КМС",IF(L382&lt;=Нормативы!$H$379,"КМС",IF(L382&lt;=Нормативы!$L$380,"КМС",IF(L382&lt;=Нормативы!$L$381,"I",IF(L382&lt;=Нормативы!$L$382,"II",IF(L382&lt;=Нормативы!$L$383,"III","б/р"))))))))</f>
        <v>II</v>
      </c>
      <c r="N382" s="59" t="str">
        <f>IF(ISBLANK(L382)," ",IF(ISTEXT(L382)," ",IF(L382&lt;=Нормативы!$H$378,"КМС",IF(L382&lt;=Нормативы!$H$379,"КМС",IF(L382&lt;=Нормативы!$L$380,"КМС",IF(L382&lt;=Нормативы!$L$381,"I",IF(L382&lt;=Нормативы!$L$382,"II",IF(L382&lt;=Нормативы!$L$383,"III","б/р"))))))))</f>
        <v>II</v>
      </c>
      <c r="O382" s="59"/>
      <c r="Q382" s="59" t="str">
        <f t="shared" ref="Q382" si="277">IF(ISBLANK(P382)," ",IF(ISTEXT(P382)," ",IF(P382&lt;=$H$378,"МСМК",IF(P382&lt;=$H$379,"МС",IF(P382&lt;=$H$380,"КМС",IF(P382&lt;=$H$381,"I",IF(P382&lt;=$H$382,"II",IF(P382&lt;=$H$383,"III","б/р"))))))))</f>
        <v xml:space="preserve"> </v>
      </c>
    </row>
    <row r="383" spans="3:17" x14ac:dyDescent="0.3">
      <c r="C383" s="43"/>
      <c r="D383" s="43"/>
      <c r="E383" s="43"/>
      <c r="F383" s="43"/>
      <c r="G383" s="43"/>
      <c r="H383" s="71">
        <v>1625</v>
      </c>
      <c r="I383" s="59" t="str">
        <f>IF(ISBLANK(H383)," ",IF(ISTEXT(H383)," ",IF(H383&lt;=Нормативы!$H$378,"МСМК",IF(H383&lt;=Нормативы!$H$379,"МС",IF(H383&lt;=Нормативы!$H$380,"КМС",IF(H383&lt;=Нормативы!$H$381,"I",IF(H383&lt;=Нормативы!$H$382,"II",IF(H383&lt;=Нормативы!$H$383,"III","б/р"))))))))</f>
        <v>III</v>
      </c>
      <c r="J383" s="59" t="str">
        <f>IF(ISBLANK(H383)," ",IF(ISTEXT(H383)," ",IF(H383&lt;=Нормативы!$H$378,"МСМК",IF(H383&lt;=Нормативы!$H$379,"МС",IF(H383&lt;=Нормативы!$H$380,"КМС",IF(H383&lt;=Нормативы!$H$381,"I",IF(H383&lt;=Нормативы!$H$382,"II",IF(H383&lt;=Нормативы!$H$383,"III","б/р"))))))))</f>
        <v>III</v>
      </c>
      <c r="K383" s="90"/>
      <c r="L383" s="74">
        <f t="shared" si="274"/>
        <v>1624.8</v>
      </c>
      <c r="M383" s="59" t="str">
        <f>IF(ISBLANK(L383)," ",IF(ISTEXT(L383)," ",IF(L383&lt;=Нормативы!$H$378,"КМС",IF(L383&lt;=Нормативы!$H$379,"КМС",IF(L383&lt;=Нормативы!$L$380,"КМС",IF(L383&lt;=Нормативы!$L$381,"I",IF(L383&lt;=Нормативы!$L$382,"II",IF(L383&lt;=Нормативы!$L$383,"III","б/р"))))))))</f>
        <v>III</v>
      </c>
      <c r="N383" s="59" t="str">
        <f>IF(ISBLANK(L383)," ",IF(ISTEXT(L383)," ",IF(L383&lt;=Нормативы!$H$378,"КМС",IF(L383&lt;=Нормативы!$H$379,"КМС",IF(L383&lt;=Нормативы!$L$380,"КМС",IF(L383&lt;=Нормативы!$L$381,"I",IF(L383&lt;=Нормативы!$L$382,"II",IF(L383&lt;=Нормативы!$L$383,"III","б/р"))))))))</f>
        <v>III</v>
      </c>
      <c r="O383" s="59"/>
      <c r="Q383" s="59" t="str">
        <f t="shared" ref="Q383" si="278">IF(ISBLANK(P383)," ",IF(ISTEXT(P383)," ",IF(P383&lt;=$H$378,"МСМК",IF(P383&lt;=$H$379,"МС",IF(P383&lt;=$H$380,"КМС",IF(P383&lt;=$H$381,"I",IF(P383&lt;=$H$382,"II",IF(P383&lt;=$H$383,"III","б/р"))))))))</f>
        <v xml:space="preserve"> </v>
      </c>
    </row>
    <row r="384" spans="3:17" ht="15" customHeight="1" x14ac:dyDescent="0.3">
      <c r="C384" s="43"/>
      <c r="D384" s="43"/>
      <c r="E384" s="43"/>
      <c r="F384" s="43"/>
      <c r="G384" s="43"/>
      <c r="H384" s="42"/>
      <c r="I384" s="43"/>
      <c r="J384" s="43"/>
      <c r="L384" s="43"/>
      <c r="M384" s="43"/>
      <c r="N384" s="43"/>
      <c r="Q384" s="43"/>
    </row>
    <row r="385" spans="3:17" ht="15" customHeight="1" x14ac:dyDescent="0.3">
      <c r="C385" s="94" t="s">
        <v>169</v>
      </c>
      <c r="D385" s="95"/>
      <c r="E385" s="95"/>
      <c r="F385" s="95"/>
      <c r="I385" s="43"/>
      <c r="J385" s="43"/>
      <c r="L385" s="43"/>
      <c r="M385" s="43"/>
      <c r="N385" s="43"/>
      <c r="Q385" s="43"/>
    </row>
    <row r="386" spans="3:17" ht="15" customHeight="1" x14ac:dyDescent="0.3">
      <c r="C386" s="43"/>
      <c r="D386" s="43"/>
      <c r="E386" s="43"/>
      <c r="F386" s="43"/>
      <c r="G386" s="43"/>
      <c r="H386" s="71">
        <v>455</v>
      </c>
      <c r="I386" s="59" t="str">
        <f>IF(ISBLANK(H386)," ",IF(ISTEXT(H386)," ",IF(H386&lt;=Нормативы!$H$386,"МСМК",IF(H386&lt;=Нормативы!$H$387,"МС",IF(H386&lt;=Нормативы!$H$388,"КМС",IF(H386&lt;=Нормативы!$H$389,"I",IF(H386&lt;=Нормативы!$H$390,"II",IF(H386&lt;=Нормативы!$H$391,"III","б/р"))))))))</f>
        <v>МСМК</v>
      </c>
      <c r="J386" s="59" t="str">
        <f>IF(ISBLANK(H386)," ",IF(ISTEXT(H386)," ",IF(H386&lt;=Нормативы!$H$386,"МСМК",IF(H386&lt;=Нормативы!$H$387,"МС",IF(H386&lt;=Нормативы!$H$388,"КМС",IF(H386&lt;=Нормативы!$H$389,"I",IF(H386&lt;=Нормативы!$H$390,"II",IF(H386&lt;=Нормативы!$H$391,"III","б/р"))))))))</f>
        <v>МСМК</v>
      </c>
      <c r="K386" s="90"/>
      <c r="L386" s="71"/>
      <c r="M386" s="59" t="str">
        <f>IF(ISBLANK(L386)," ",IF(ISTEXT(L386)," ",IF(L386&lt;=Нормативы!$H$386,"КМС",IF(L386&lt;=Нормативы!$H$387,"КМС",IF(L386&lt;=Нормативы!$L$388,"КМС",IF(L386&lt;=Нормативы!$L$389,"I",IF(L386&lt;=Нормативы!$L$390,"II",IF(L386&lt;=Нормативы!$L$391,"III","б/р"))))))))</f>
        <v xml:space="preserve"> </v>
      </c>
      <c r="N386" s="59" t="str">
        <f>IF(ISBLANK(L386)," ",IF(ISTEXT(L386)," ",IF(L386&lt;=1211,"МСМК",IF(L386&lt;=1356,"МС",IF(L386&lt;=1559.8,"КМС",IF(L386&lt;=1739.8,"I",IF(L386&lt;=1844.8,"II",IF(L386&lt;=1944.8,"III","б/р"))))))))</f>
        <v xml:space="preserve"> </v>
      </c>
      <c r="Q386" s="59" t="str">
        <f>IF(ISBLANK(P386)," ",IF(ISTEXT(P386)," ",IF(P386&lt;=$H$386,"МСМК",IF(P386&lt;=$H$387,"МС",IF(P386&lt;=$H$388,"КМС",IF(P386&lt;=$H$389,"I",IF(P386&lt;=$H$390,"II",IF(P386&lt;=$H$391,"III","б/р"))))))))</f>
        <v xml:space="preserve"> </v>
      </c>
    </row>
    <row r="387" spans="3:17" ht="15" customHeight="1" x14ac:dyDescent="0.3">
      <c r="C387" s="43"/>
      <c r="D387" s="43"/>
      <c r="E387" s="43"/>
      <c r="F387" s="43"/>
      <c r="G387" s="43"/>
      <c r="H387" s="71">
        <v>620</v>
      </c>
      <c r="I387" s="59" t="str">
        <f>IF(ISBLANK(H387)," ",IF(ISTEXT(H387)," ",IF(H387&lt;=Нормативы!$H$386,"МСМК",IF(H387&lt;=Нормативы!$H$387,"МС",IF(H387&lt;=Нормативы!$H$388,"КМС",IF(H387&lt;=Нормативы!$H$389,"I",IF(H387&lt;=Нормативы!$H$390,"II",IF(H387&lt;=Нормативы!$H$391,"III","б/р"))))))))</f>
        <v>МС</v>
      </c>
      <c r="J387" s="59" t="str">
        <f>IF(ISBLANK(H387)," ",IF(ISTEXT(H387)," ",IF(H387&lt;=Нормативы!$H$386,"МСМК",IF(H387&lt;=Нормативы!$H$387,"МС",IF(H387&lt;=Нормативы!$H$388,"КМС",IF(H387&lt;=Нормативы!$H$389,"I",IF(H387&lt;=Нормативы!$H$390,"II",IF(H387&lt;=Нормативы!$H$391,"III","б/р"))))))))</f>
        <v>МС</v>
      </c>
      <c r="K387" s="90"/>
      <c r="L387" s="71"/>
      <c r="M387" s="59" t="str">
        <f>IF(ISBLANK(L387)," ",IF(ISTEXT(L387)," ",IF(L387&lt;=Нормативы!$H$386,"КМС",IF(L387&lt;=Нормативы!$H$387,"КМС",IF(L387&lt;=Нормативы!$L$388,"КМС",IF(L387&lt;=Нормативы!$L$389,"I",IF(L387&lt;=Нормативы!$L$390,"II",IF(L387&lt;=Нормативы!$L$391,"III","б/р"))))))))</f>
        <v xml:space="preserve"> </v>
      </c>
      <c r="N387" s="59" t="str">
        <f>IF(ISBLANK(L387)," ",IF(ISTEXT(L387)," ",IF(L387&lt;=Нормативы!$H$386,"КМС",IF(L387&lt;=Нормативы!$H$387,"КМС",IF(L387&lt;=Нормативы!$L$388,"КМС",IF(L387&lt;=Нормативы!$L$389,"I",IF(L387&lt;=Нормативы!$L$390,"II",IF(L387&lt;=Нормативы!$L$391,"III","б/р"))))))))</f>
        <v xml:space="preserve"> </v>
      </c>
      <c r="Q387" s="59" t="str">
        <f t="shared" ref="Q387" si="279">IF(ISBLANK(P387)," ",IF(ISTEXT(P387)," ",IF(P387&lt;=$H$386,"МСМК",IF(P387&lt;=$H$387,"МС",IF(P387&lt;=$H$388,"КМС",IF(P387&lt;=$H$389,"I",IF(P387&lt;=$H$390,"II",IF(P387&lt;=$H$391,"III","б/р"))))))))</f>
        <v xml:space="preserve"> </v>
      </c>
    </row>
    <row r="388" spans="3:17" ht="15" customHeight="1" x14ac:dyDescent="0.3">
      <c r="C388" s="43"/>
      <c r="D388" s="43"/>
      <c r="E388" s="43"/>
      <c r="F388" s="43"/>
      <c r="G388" s="43"/>
      <c r="H388" s="71">
        <v>730</v>
      </c>
      <c r="I388" s="59" t="str">
        <f>IF(ISBLANK(H388)," ",IF(ISTEXT(H388)," ",IF(H388&lt;=Нормативы!$H$386,"МСМК",IF(H388&lt;=Нормативы!$H$387,"МС",IF(H388&lt;=Нормативы!$H$388,"КМС",IF(H388&lt;=Нормативы!$H$389,"I",IF(H388&lt;=Нормативы!$H$390,"II",IF(H388&lt;=Нормативы!$H$391,"III","б/р"))))))))</f>
        <v>КМС</v>
      </c>
      <c r="J388" s="59" t="str">
        <f>IF(ISBLANK(H388)," ",IF(ISTEXT(H388)," ",IF(H388&lt;=Нормативы!$H$386,"МСМК",IF(H388&lt;=Нормативы!$H$387,"МС",IF(H388&lt;=Нормативы!$H$388,"КМС",IF(H388&lt;=Нормативы!$H$389,"I",IF(H388&lt;=Нормативы!$H$390,"II",IF(H388&lt;=Нормативы!$H$391,"III","б/р"))))))))</f>
        <v>КМС</v>
      </c>
      <c r="K388" s="90"/>
      <c r="L388" s="74">
        <f t="shared" ref="L388:L391" si="280">H388-0.2</f>
        <v>729.8</v>
      </c>
      <c r="M388" s="59" t="str">
        <f>IF(ISBLANK(L388)," ",IF(ISTEXT(L388)," ",IF(L388&lt;=Нормативы!$H$386,"КМС",IF(L388&lt;=Нормативы!$H$387,"КМС",IF(L388&lt;=Нормативы!$L$388,"КМС",IF(L388&lt;=Нормативы!$L$389,"I",IF(L388&lt;=Нормативы!$L$390,"II",IF(L388&lt;=Нормативы!$L$391,"III","б/р"))))))))</f>
        <v>КМС</v>
      </c>
      <c r="N388" s="59" t="str">
        <f>IF(ISBLANK(L388)," ",IF(ISTEXT(L388)," ",IF(L388&lt;=Нормативы!$H$386,"КМС",IF(L388&lt;=Нормативы!$H$387,"КМС",IF(L388&lt;=Нормативы!$L$388,"КМС",IF(L388&lt;=Нормативы!$L$389,"I",IF(L388&lt;=Нормативы!$L$390,"II",IF(L388&lt;=Нормативы!$L$391,"III","б/р"))))))))</f>
        <v>КМС</v>
      </c>
      <c r="Q388" s="59" t="str">
        <f t="shared" ref="Q388" si="281">IF(ISBLANK(P388)," ",IF(ISTEXT(P388)," ",IF(P388&lt;=$H$386,"МСМК",IF(P388&lt;=$H$387,"МС",IF(P388&lt;=$H$388,"КМС",IF(P388&lt;=$H$389,"I",IF(P388&lt;=$H$390,"II",IF(P388&lt;=$H$391,"III","б/р"))))))))</f>
        <v xml:space="preserve"> </v>
      </c>
    </row>
    <row r="389" spans="3:17" ht="15" customHeight="1" x14ac:dyDescent="0.3">
      <c r="C389" s="43"/>
      <c r="D389" s="43"/>
      <c r="E389" s="43"/>
      <c r="F389" s="43"/>
      <c r="G389" s="43"/>
      <c r="H389" s="71">
        <v>822</v>
      </c>
      <c r="I389" s="59" t="str">
        <f>IF(ISBLANK(H389)," ",IF(ISTEXT(H389)," ",IF(H389&lt;=Нормативы!$H$386,"МСМК",IF(H389&lt;=Нормативы!$H$387,"МС",IF(H389&lt;=Нормативы!$H$388,"КМС",IF(H389&lt;=Нормативы!$H$389,"I",IF(H389&lt;=Нормативы!$H$390,"II",IF(H389&lt;=Нормативы!$H$391,"III","б/р"))))))))</f>
        <v>I</v>
      </c>
      <c r="J389" s="59" t="str">
        <f>IF(ISBLANK(H389)," ",IF(ISTEXT(H389)," ",IF(H389&lt;=Нормативы!$H$386,"МСМК",IF(H389&lt;=Нормативы!$H$387,"МС",IF(H389&lt;=Нормативы!$H$388,"КМС",IF(H389&lt;=Нормативы!$H$389,"I",IF(H389&lt;=Нормативы!$H$390,"II",IF(H389&lt;=Нормативы!$H$391,"III","б/р"))))))))</f>
        <v>I</v>
      </c>
      <c r="K389" s="90"/>
      <c r="L389" s="74">
        <f t="shared" si="280"/>
        <v>821.8</v>
      </c>
      <c r="M389" s="59" t="str">
        <f>IF(ISBLANK(L389)," ",IF(ISTEXT(L389)," ",IF(L389&lt;=Нормативы!$H$386,"КМС",IF(L389&lt;=Нормативы!$H$387,"КМС",IF(L389&lt;=Нормативы!$L$388,"КМС",IF(L389&lt;=Нормативы!$L$389,"I",IF(L389&lt;=Нормативы!$L$390,"II",IF(L389&lt;=Нормативы!$L$391,"III","б/р"))))))))</f>
        <v>I</v>
      </c>
      <c r="N389" s="59" t="str">
        <f>IF(ISBLANK(L389)," ",IF(ISTEXT(L389)," ",IF(L389&lt;=Нормативы!$H$386,"КМС",IF(L389&lt;=Нормативы!$H$387,"КМС",IF(L389&lt;=Нормативы!$L$388,"КМС",IF(L389&lt;=Нормативы!$L$389,"I",IF(L389&lt;=Нормативы!$L$390,"II",IF(L389&lt;=Нормативы!$L$391,"III","б/р"))))))))</f>
        <v>I</v>
      </c>
      <c r="Q389" s="59" t="str">
        <f t="shared" ref="Q389" si="282">IF(ISBLANK(P389)," ",IF(ISTEXT(P389)," ",IF(P389&lt;=$H$386,"МСМК",IF(P389&lt;=$H$387,"МС",IF(P389&lt;=$H$388,"КМС",IF(P389&lt;=$H$389,"I",IF(P389&lt;=$H$390,"II",IF(P389&lt;=$H$391,"III","б/р"))))))))</f>
        <v xml:space="preserve"> </v>
      </c>
    </row>
    <row r="390" spans="3:17" ht="15" customHeight="1" x14ac:dyDescent="0.3">
      <c r="C390" s="43"/>
      <c r="D390" s="43"/>
      <c r="E390" s="43"/>
      <c r="F390" s="43"/>
      <c r="G390" s="43"/>
      <c r="H390" s="71">
        <v>910.5</v>
      </c>
      <c r="I390" s="59" t="str">
        <f>IF(ISBLANK(H390)," ",IF(ISTEXT(H390)," ",IF(H390&lt;=Нормативы!$H$386,"МСМК",IF(H390&lt;=Нормативы!$H$387,"МС",IF(H390&lt;=Нормативы!$H$388,"КМС",IF(H390&lt;=Нормативы!$H$389,"I",IF(H390&lt;=Нормативы!$H$390,"II",IF(H390&lt;=Нормативы!$H$391,"III","б/р"))))))))</f>
        <v>II</v>
      </c>
      <c r="J390" s="59" t="str">
        <f>IF(ISBLANK(H390)," ",IF(ISTEXT(H390)," ",IF(H390&lt;=Нормативы!$H$386,"МСМК",IF(H390&lt;=Нормативы!$H$387,"МС",IF(H390&lt;=Нормативы!$H$388,"КМС",IF(H390&lt;=Нормативы!$H$389,"I",IF(H390&lt;=Нормативы!$H$390,"II",IF(H390&lt;=Нормативы!$H$391,"III","б/р"))))))))</f>
        <v>II</v>
      </c>
      <c r="K390" s="90"/>
      <c r="L390" s="74">
        <f t="shared" si="280"/>
        <v>910.3</v>
      </c>
      <c r="M390" s="59" t="str">
        <f>IF(ISBLANK(L390)," ",IF(ISTEXT(L390)," ",IF(L390&lt;=Нормативы!$H$386,"КМС",IF(L390&lt;=Нормативы!$H$387,"КМС",IF(L390&lt;=Нормативы!$L$388,"КМС",IF(L390&lt;=Нормативы!$L$389,"I",IF(L390&lt;=Нормативы!$L$390,"II",IF(L390&lt;=Нормативы!$L$391,"III","б/р"))))))))</f>
        <v>II</v>
      </c>
      <c r="N390" s="59" t="str">
        <f>IF(ISBLANK(L390)," ",IF(ISTEXT(L390)," ",IF(L390&lt;=Нормативы!$H$386,"КМС",IF(L390&lt;=Нормативы!$H$387,"КМС",IF(L390&lt;=Нормативы!$L$388,"КМС",IF(L390&lt;=Нормативы!$L$389,"I",IF(L390&lt;=Нормативы!$L$390,"II",IF(L390&lt;=Нормативы!$L$391,"III","б/р"))))))))</f>
        <v>II</v>
      </c>
      <c r="Q390" s="59" t="str">
        <f t="shared" ref="Q390" si="283">IF(ISBLANK(P390)," ",IF(ISTEXT(P390)," ",IF(P390&lt;=$H$386,"МСМК",IF(P390&lt;=$H$387,"МС",IF(P390&lt;=$H$388,"КМС",IF(P390&lt;=$H$389,"I",IF(P390&lt;=$H$390,"II",IF(P390&lt;=$H$391,"III","б/р"))))))))</f>
        <v xml:space="preserve"> </v>
      </c>
    </row>
    <row r="391" spans="3:17" ht="15" customHeight="1" x14ac:dyDescent="0.3">
      <c r="C391" s="43"/>
      <c r="D391" s="43"/>
      <c r="E391" s="43"/>
      <c r="F391" s="43"/>
      <c r="G391" s="43"/>
      <c r="H391" s="71">
        <v>1002</v>
      </c>
      <c r="I391" s="59" t="str">
        <f>IF(ISBLANK(H391)," ",IF(ISTEXT(H391)," ",IF(H391&lt;=Нормативы!$H$386,"МСМК",IF(H391&lt;=Нормативы!$H$387,"МС",IF(H391&lt;=Нормативы!$H$388,"КМС",IF(H391&lt;=Нормативы!$H$389,"I",IF(H391&lt;=Нормативы!$H$390,"II",IF(H391&lt;=Нормативы!$H$391,"III","б/р"))))))))</f>
        <v>III</v>
      </c>
      <c r="J391" s="59" t="str">
        <f>IF(ISBLANK(H391)," ",IF(ISTEXT(H391)," ",IF(H391&lt;=Нормативы!$H$386,"МСМК",IF(H391&lt;=Нормативы!$H$387,"МС",IF(H391&lt;=Нормативы!$H$388,"КМС",IF(H391&lt;=Нормативы!$H$389,"I",IF(H391&lt;=Нормативы!$H$390,"II",IF(H391&lt;=Нормативы!$H$391,"III","б/р"))))))))</f>
        <v>III</v>
      </c>
      <c r="K391" s="90"/>
      <c r="L391" s="74">
        <f t="shared" si="280"/>
        <v>1001.8</v>
      </c>
      <c r="M391" s="59" t="str">
        <f>IF(ISBLANK(L391)," ",IF(ISTEXT(L391)," ",IF(L391&lt;=Нормативы!$H$386,"КМС",IF(L391&lt;=Нормативы!$H$387,"КМС",IF(L391&lt;=Нормативы!$L$388,"КМС",IF(L391&lt;=Нормативы!$L$389,"I",IF(L391&lt;=Нормативы!$L$390,"II",IF(L391&lt;=Нормативы!$L$391,"III","б/р"))))))))</f>
        <v>III</v>
      </c>
      <c r="N391" s="59" t="str">
        <f>IF(ISBLANK(L391)," ",IF(ISTEXT(L391)," ",IF(L391&lt;=Нормативы!$H$386,"КМС",IF(L391&lt;=Нормативы!$H$387,"КМС",IF(L391&lt;=Нормативы!$L$388,"КМС",IF(L391&lt;=Нормативы!$L$389,"I",IF(L391&lt;=Нормативы!$L$390,"II",IF(L391&lt;=Нормативы!$L$391,"III","б/р"))))))))</f>
        <v>III</v>
      </c>
      <c r="Q391" s="59" t="str">
        <f t="shared" ref="Q391" si="284">IF(ISBLANK(P391)," ",IF(ISTEXT(P391)," ",IF(P391&lt;=$H$386,"МСМК",IF(P391&lt;=$H$387,"МС",IF(P391&lt;=$H$388,"КМС",IF(P391&lt;=$H$389,"I",IF(P391&lt;=$H$390,"II",IF(P391&lt;=$H$391,"III","б/р"))))))))</f>
        <v xml:space="preserve"> </v>
      </c>
    </row>
    <row r="392" spans="3:17" ht="15" customHeight="1" x14ac:dyDescent="0.3">
      <c r="C392" s="43"/>
      <c r="D392" s="43"/>
      <c r="E392" s="43"/>
      <c r="F392" s="43"/>
      <c r="G392" s="43"/>
      <c r="H392" s="42"/>
      <c r="I392" s="43"/>
      <c r="J392" s="43"/>
      <c r="L392" s="43"/>
      <c r="M392" s="43"/>
      <c r="N392" s="43"/>
      <c r="Q392" s="43"/>
    </row>
    <row r="393" spans="3:17" ht="15" customHeight="1" x14ac:dyDescent="0.3">
      <c r="C393" s="94" t="s">
        <v>170</v>
      </c>
      <c r="D393" s="95"/>
      <c r="E393" s="95"/>
      <c r="F393" s="95"/>
      <c r="I393" s="43"/>
      <c r="J393" s="43"/>
      <c r="L393" s="43"/>
      <c r="M393" s="43"/>
      <c r="N393" s="43"/>
      <c r="Q393" s="43"/>
    </row>
    <row r="394" spans="3:17" ht="15" customHeight="1" x14ac:dyDescent="0.3">
      <c r="C394" s="43"/>
      <c r="D394" s="43"/>
      <c r="E394" s="43"/>
      <c r="F394" s="43"/>
      <c r="G394" s="43"/>
      <c r="H394" s="71">
        <v>346</v>
      </c>
      <c r="I394" s="59" t="str">
        <f>IF(ISBLANK(H394)," ",IF(ISTEXT(H394)," ",IF(H394&lt;=Нормативы!$H$394,"МСМК",IF(H394&lt;=Нормативы!$H$395,"МС",IF(H394&lt;=Нормативы!$H$396,"КМС",IF(H394&lt;=Нормативы!$H$397,"I",IF(H394&lt;=Нормативы!$H$398,"II",IF(H394&lt;=Нормативы!$H$399,"III","б/р"))))))))</f>
        <v>МСМК</v>
      </c>
      <c r="J394" s="59" t="str">
        <f>IF(ISBLANK(H394)," ",IF(ISTEXT(H394)," ",IF(H394&lt;=Нормативы!$H$394,"МСМК",IF(H394&lt;=Нормативы!$H$395,"МС",IF(H394&lt;=Нормативы!$H$396,"КМС",IF(H394&lt;=Нормативы!$H$397,"I",IF(H394&lt;=Нормативы!$H$398,"II",IF(H394&lt;=Нормативы!$H$399,"III","б/р"))))))))</f>
        <v>МСМК</v>
      </c>
      <c r="K394" s="90"/>
      <c r="L394" s="71"/>
      <c r="M394" s="59" t="str">
        <f>IF(ISBLANK(L394)," ",IF(ISTEXT(L394)," ",IF(L394&lt;=Нормативы!$H$394,"КМС",IF(L394&lt;=Нормативы!$H$395,"КМС",IF(L394&lt;=Нормативы!$L$396,"КМС",IF(L394&lt;=Нормативы!$L$397,"I",IF(L394&lt;=Нормативы!$L$398,"II",IF(L394&lt;=Нормативы!$L$399,"III","б/р"))))))))</f>
        <v xml:space="preserve"> </v>
      </c>
      <c r="N394" s="59" t="str">
        <f>IF(ISBLANK(L394)," ",IF(ISTEXT(L394)," ",IF(L394&lt;=Нормативы!$H$394,"КМС",IF(L394&lt;=Нормативы!$H$395,"КМС",IF(L394&lt;=Нормативы!$L$396,"КМС",IF(L394&lt;=Нормативы!$L$397,"I",IF(L394&lt;=Нормативы!$L$398,"II",IF(L394&lt;=Нормативы!$L$399,"III","б/р"))))))))</f>
        <v xml:space="preserve"> </v>
      </c>
      <c r="Q394" s="59" t="str">
        <f>IF(ISBLANK(P394)," ",IF(ISTEXT(P394)," ",IF(P394&lt;=$H$394,"МСМК",IF(P394&lt;=$H$395,"МС",IF(P394&lt;=$H$396,"КМС",IF(P394&lt;=$H$397,"I",IF(P394&lt;=$H$398,"II",IF(P394&lt;=$H$399,"III","б/р"))))))))</f>
        <v xml:space="preserve"> </v>
      </c>
    </row>
    <row r="395" spans="3:17" ht="15" customHeight="1" x14ac:dyDescent="0.3">
      <c r="C395" s="43"/>
      <c r="D395" s="43"/>
      <c r="E395" s="43"/>
      <c r="F395" s="43"/>
      <c r="G395" s="43"/>
      <c r="H395" s="71">
        <v>440</v>
      </c>
      <c r="I395" s="59" t="str">
        <f>IF(ISBLANK(H395)," ",IF(ISTEXT(H395)," ",IF(H395&lt;=Нормативы!$H$394,"МСМК",IF(H395&lt;=Нормативы!$H$395,"МС",IF(H395&lt;=Нормативы!$H$396,"КМС",IF(H395&lt;=Нормативы!$H$397,"I",IF(H395&lt;=Нормативы!$H$398,"II",IF(H395&lt;=Нормативы!$H$399,"III","б/р"))))))))</f>
        <v>МС</v>
      </c>
      <c r="J395" s="59" t="str">
        <f>IF(ISBLANK(H395)," ",IF(ISTEXT(H395)," ",IF(H395&lt;=Нормативы!$H$394,"МСМК",IF(H395&lt;=Нормативы!$H$395,"МС",IF(H395&lt;=Нормативы!$H$396,"КМС",IF(H395&lt;=Нормативы!$H$397,"I",IF(H395&lt;=Нормативы!$H$398,"II",IF(H395&lt;=Нормативы!$H$399,"III","б/р"))))))))</f>
        <v>МС</v>
      </c>
      <c r="K395" s="90"/>
      <c r="L395" s="71"/>
      <c r="M395" s="59" t="str">
        <f>IF(ISBLANK(L395)," ",IF(ISTEXT(L395)," ",IF(L395&lt;=Нормативы!$H$394,"КМС",IF(L395&lt;=Нормативы!$H$395,"КМС",IF(L395&lt;=Нормативы!$L$396,"КМС",IF(L395&lt;=Нормативы!$L$397,"I",IF(L395&lt;=Нормативы!$L$398,"II",IF(L395&lt;=Нормативы!$L$399,"III","б/р"))))))))</f>
        <v xml:space="preserve"> </v>
      </c>
      <c r="N395" s="59" t="str">
        <f>IF(ISBLANK(L395)," ",IF(ISTEXT(L395)," ",IF(L395&lt;=Нормативы!$H$394,"КМС",IF(L395&lt;=Нормативы!$H$395,"КМС",IF(L395&lt;=Нормативы!$L$396,"КМС",IF(L395&lt;=Нормативы!$L$397,"I",IF(L395&lt;=Нормативы!$L$398,"II",IF(L395&lt;=Нормативы!$L$399,"III","б/р"))))))))</f>
        <v xml:space="preserve"> </v>
      </c>
      <c r="Q395" s="59" t="str">
        <f t="shared" ref="Q395" si="285">IF(ISBLANK(P395)," ",IF(ISTEXT(P395)," ",IF(P395&lt;=$H$394,"МСМК",IF(P395&lt;=$H$395,"МС",IF(P395&lt;=$H$396,"КМС",IF(P395&lt;=$H$397,"I",IF(P395&lt;=$H$398,"II",IF(P395&lt;=$H$399,"III","б/р"))))))))</f>
        <v xml:space="preserve"> </v>
      </c>
    </row>
    <row r="396" spans="3:17" ht="15" customHeight="1" x14ac:dyDescent="0.3">
      <c r="C396" s="43"/>
      <c r="D396" s="43"/>
      <c r="E396" s="43"/>
      <c r="F396" s="43"/>
      <c r="G396" s="43"/>
      <c r="H396" s="71">
        <v>550</v>
      </c>
      <c r="I396" s="59" t="str">
        <f>IF(ISBLANK(H396)," ",IF(ISTEXT(H396)," ",IF(H396&lt;=Нормативы!$H$394,"МСМК",IF(H396&lt;=Нормативы!$H$395,"МС",IF(H396&lt;=Нормативы!$H$396,"КМС",IF(H396&lt;=Нормативы!$H$397,"I",IF(H396&lt;=Нормативы!$H$398,"II",IF(H396&lt;=Нормативы!$H$399,"III","б/р"))))))))</f>
        <v>КМС</v>
      </c>
      <c r="J396" s="59" t="str">
        <f>IF(ISBLANK(H396)," ",IF(ISTEXT(H396)," ",IF(H396&lt;=Нормативы!$H$394,"МСМК",IF(H396&lt;=Нормативы!$H$395,"МС",IF(H396&lt;=Нормативы!$H$396,"КМС",IF(H396&lt;=Нормативы!$H$397,"I",IF(H396&lt;=Нормативы!$H$398,"II",IF(H396&lt;=Нормативы!$H$399,"III","б/р"))))))))</f>
        <v>КМС</v>
      </c>
      <c r="K396" s="90"/>
      <c r="L396" s="74">
        <f t="shared" ref="L396:L399" si="286">H396-0.2</f>
        <v>549.79999999999995</v>
      </c>
      <c r="M396" s="59" t="str">
        <f>IF(ISBLANK(L396)," ",IF(ISTEXT(L396)," ",IF(L396&lt;=Нормативы!$H$394,"КМС",IF(L396&lt;=Нормативы!$H$395,"КМС",IF(L396&lt;=Нормативы!$L$396,"КМС",IF(L396&lt;=Нормативы!$L$397,"I",IF(L396&lt;=Нормативы!$L$398,"II",IF(L396&lt;=Нормативы!$L$399,"III","б/р"))))))))</f>
        <v>КМС</v>
      </c>
      <c r="N396" s="59" t="str">
        <f>IF(ISBLANK(L396)," ",IF(ISTEXT(L396)," ",IF(L396&lt;=Нормативы!$H$394,"КМС",IF(L396&lt;=Нормативы!$H$395,"КМС",IF(L396&lt;=Нормативы!$L$396,"КМС",IF(L396&lt;=Нормативы!$L$397,"I",IF(L396&lt;=Нормативы!$L$398,"II",IF(L396&lt;=Нормативы!$L$399,"III","б/р"))))))))</f>
        <v>КМС</v>
      </c>
      <c r="Q396" s="59" t="str">
        <f t="shared" ref="Q396" si="287">IF(ISBLANK(P396)," ",IF(ISTEXT(P396)," ",IF(P396&lt;=$H$394,"МСМК",IF(P396&lt;=$H$395,"МС",IF(P396&lt;=$H$396,"КМС",IF(P396&lt;=$H$397,"I",IF(P396&lt;=$H$398,"II",IF(P396&lt;=$H$399,"III","б/р"))))))))</f>
        <v xml:space="preserve"> </v>
      </c>
    </row>
    <row r="397" spans="3:17" ht="15" customHeight="1" x14ac:dyDescent="0.3">
      <c r="C397" s="43"/>
      <c r="D397" s="43"/>
      <c r="E397" s="43"/>
      <c r="F397" s="43"/>
      <c r="G397" s="43"/>
      <c r="H397" s="71">
        <v>652.70000000000005</v>
      </c>
      <c r="I397" s="59" t="str">
        <f>IF(ISBLANK(H397)," ",IF(ISTEXT(H397)," ",IF(H397&lt;=Нормативы!$H$394,"МСМК",IF(H397&lt;=Нормативы!$H$395,"МС",IF(H397&lt;=Нормативы!$H$396,"КМС",IF(H397&lt;=Нормативы!$H$397,"I",IF(H397&lt;=Нормативы!$H$398,"II",IF(H397&lt;=Нормативы!$H$399,"III","б/р"))))))))</f>
        <v>I</v>
      </c>
      <c r="J397" s="59" t="str">
        <f>IF(ISBLANK(H397)," ",IF(ISTEXT(H397)," ",IF(H397&lt;=Нормативы!$H$394,"МСМК",IF(H397&lt;=Нормативы!$H$395,"МС",IF(H397&lt;=Нормативы!$H$396,"КМС",IF(H397&lt;=Нормативы!$H$397,"I",IF(H397&lt;=Нормативы!$H$398,"II",IF(H397&lt;=Нормативы!$H$399,"III","б/р"))))))))</f>
        <v>I</v>
      </c>
      <c r="K397" s="90"/>
      <c r="L397" s="74">
        <f t="shared" si="286"/>
        <v>652.5</v>
      </c>
      <c r="M397" s="59" t="str">
        <f>IF(ISBLANK(L397)," ",IF(ISTEXT(L397)," ",IF(L397&lt;=Нормативы!$H$394,"КМС",IF(L397&lt;=Нормативы!$H$395,"КМС",IF(L397&lt;=Нормативы!$L$396,"КМС",IF(L397&lt;=Нормативы!$L$397,"I",IF(L397&lt;=Нормативы!$L$398,"II",IF(L397&lt;=Нормативы!$L$399,"III","б/р"))))))))</f>
        <v>I</v>
      </c>
      <c r="N397" s="59" t="str">
        <f>IF(ISBLANK(L397)," ",IF(ISTEXT(L397)," ",IF(L397&lt;=Нормативы!$H$394,"МСМК",IF(L397&lt;=Нормативы!$H$395,"МС",IF(L397&lt;=Нормативы!$L$396,"КМС",IF(L397&lt;=Нормативы!$L$397,"I",IF(L397&lt;=Нормативы!$L$398,"II",IF(L397&lt;=Нормативы!$L$399,"III","б/р"))))))))</f>
        <v>I</v>
      </c>
      <c r="Q397" s="59" t="str">
        <f t="shared" ref="Q397" si="288">IF(ISBLANK(P397)," ",IF(ISTEXT(P397)," ",IF(P397&lt;=$H$394,"МСМК",IF(P397&lt;=$H$395,"МС",IF(P397&lt;=$H$396,"КМС",IF(P397&lt;=$H$397,"I",IF(P397&lt;=$H$398,"II",IF(P397&lt;=$H$399,"III","б/р"))))))))</f>
        <v xml:space="preserve"> </v>
      </c>
    </row>
    <row r="398" spans="3:17" ht="15" customHeight="1" x14ac:dyDescent="0.3">
      <c r="C398" s="43"/>
      <c r="D398" s="43"/>
      <c r="E398" s="43"/>
      <c r="F398" s="43"/>
      <c r="G398" s="43"/>
      <c r="H398" s="71">
        <v>745</v>
      </c>
      <c r="I398" s="59" t="str">
        <f>IF(ISBLANK(H398)," ",IF(ISTEXT(H398)," ",IF(H398&lt;=Нормативы!$H$394,"МСМК",IF(H398&lt;=Нормативы!$H$395,"МС",IF(H398&lt;=Нормативы!$H$396,"КМС",IF(H398&lt;=Нормативы!$H$397,"I",IF(H398&lt;=Нормативы!$H$398,"II",IF(H398&lt;=Нормативы!$H$399,"III","б/р"))))))))</f>
        <v>II</v>
      </c>
      <c r="J398" s="59" t="str">
        <f>IF(ISBLANK(H398)," ",IF(ISTEXT(H398)," ",IF(H398&lt;=Нормативы!$H$394,"МСМК",IF(H398&lt;=Нормативы!$H$395,"МС",IF(H398&lt;=Нормативы!$H$396,"КМС",IF(H398&lt;=Нормативы!$H$397,"I",IF(H398&lt;=Нормативы!$H$398,"II",IF(H398&lt;=Нормативы!$H$399,"III","б/р"))))))))</f>
        <v>II</v>
      </c>
      <c r="K398" s="90"/>
      <c r="L398" s="74">
        <f t="shared" si="286"/>
        <v>744.8</v>
      </c>
      <c r="M398" s="59" t="str">
        <f>IF(ISBLANK(L398)," ",IF(ISTEXT(L398)," ",IF(L398&lt;=Нормативы!$H$394,"КМС",IF(L398&lt;=Нормативы!$H$395,"КМС",IF(L398&lt;=Нормативы!$L$396,"КМС",IF(L398&lt;=Нормативы!$L$397,"I",IF(L398&lt;=Нормативы!$L$398,"II",IF(L398&lt;=Нормативы!$L$399,"III","б/р"))))))))</f>
        <v>II</v>
      </c>
      <c r="N398" s="59" t="str">
        <f>IF(ISBLANK(L398)," ",IF(ISTEXT(L398)," ",IF(L398&lt;=Нормативы!$H$394,"МСМК",IF(L398&lt;=Нормативы!$H$395,"МС",IF(L398&lt;=Нормативы!$L$396,"КМС",IF(L398&lt;=Нормативы!$L$397,"I",IF(L398&lt;=Нормативы!$L$398,"II",IF(L398&lt;=Нормативы!$L$399,"III","б/р"))))))))</f>
        <v>II</v>
      </c>
      <c r="Q398" s="59" t="str">
        <f t="shared" ref="Q398" si="289">IF(ISBLANK(P398)," ",IF(ISTEXT(P398)," ",IF(P398&lt;=$H$394,"МСМК",IF(P398&lt;=$H$395,"МС",IF(P398&lt;=$H$396,"КМС",IF(P398&lt;=$H$397,"I",IF(P398&lt;=$H$398,"II",IF(P398&lt;=$H$399,"III","б/р"))))))))</f>
        <v xml:space="preserve"> </v>
      </c>
    </row>
    <row r="399" spans="3:17" ht="15" customHeight="1" x14ac:dyDescent="0.3">
      <c r="C399" s="43"/>
      <c r="D399" s="43"/>
      <c r="E399" s="43"/>
      <c r="F399" s="43"/>
      <c r="G399" s="43"/>
      <c r="H399" s="71">
        <v>840.2</v>
      </c>
      <c r="I399" s="59" t="str">
        <f>IF(ISBLANK(H399)," ",IF(ISTEXT(H399)," ",IF(H399&lt;=Нормативы!$H$394,"МСМК",IF(H399&lt;=Нормативы!$H$395,"МС",IF(H399&lt;=Нормативы!$H$396,"КМС",IF(H399&lt;=Нормативы!$H$397,"I",IF(H399&lt;=Нормативы!$H$398,"II",IF(H399&lt;=Нормативы!$H$399,"III","б/р"))))))))</f>
        <v>III</v>
      </c>
      <c r="J399" s="59" t="str">
        <f>IF(ISBLANK(H399)," ",IF(ISTEXT(H399)," ",IF(H399&lt;=Нормативы!$H$394,"МСМК",IF(H399&lt;=Нормативы!$H$395,"МС",IF(H399&lt;=Нормативы!$H$396,"КМС",IF(H399&lt;=Нормативы!$H$397,"I",IF(H399&lt;=Нормативы!$H$398,"II",IF(H399&lt;=Нормативы!$H$399,"III","б/р"))))))))</f>
        <v>III</v>
      </c>
      <c r="K399" s="90"/>
      <c r="L399" s="74">
        <f t="shared" si="286"/>
        <v>840</v>
      </c>
      <c r="M399" s="59" t="str">
        <f>IF(ISBLANK(L399)," ",IF(ISTEXT(L399)," ",IF(L399&lt;=Нормативы!$H$394,"КМС",IF(L399&lt;=Нормативы!$H$395,"КМС",IF(L399&lt;=Нормативы!$L$396,"КМС",IF(L399&lt;=Нормативы!$L$397,"I",IF(L399&lt;=Нормативы!$L$398,"II",IF(L399&lt;=Нормативы!$L$399,"III","б/р"))))))))</f>
        <v>III</v>
      </c>
      <c r="N399" s="59" t="str">
        <f>IF(ISBLANK(L399)," ",IF(ISTEXT(L399)," ",IF(L399&lt;=Нормативы!$H$394,"МСМК",IF(L399&lt;=Нормативы!$H$395,"МС",IF(L399&lt;=Нормативы!$L$396,"КМС",IF(L399&lt;=Нормативы!$L$397,"I",IF(L399&lt;=Нормативы!$L$398,"II",IF(L399&lt;=Нормативы!$L$399,"III","б/р"))))))))</f>
        <v>III</v>
      </c>
      <c r="Q399" s="59" t="str">
        <f t="shared" ref="Q399" si="290">IF(ISBLANK(P399)," ",IF(ISTEXT(P399)," ",IF(P399&lt;=$H$394,"МСМК",IF(P399&lt;=$H$395,"МС",IF(P399&lt;=$H$396,"КМС",IF(P399&lt;=$H$397,"I",IF(P399&lt;=$H$398,"II",IF(P399&lt;=$H$399,"III","б/р"))))))))</f>
        <v xml:space="preserve"> </v>
      </c>
    </row>
    <row r="400" spans="3:17" ht="15" customHeight="1" x14ac:dyDescent="0.3">
      <c r="C400" s="43"/>
      <c r="D400" s="43"/>
      <c r="E400" s="43"/>
      <c r="F400" s="43"/>
      <c r="G400" s="43"/>
      <c r="H400" s="42"/>
      <c r="I400" s="42"/>
      <c r="J400" s="43"/>
      <c r="L400" s="80"/>
      <c r="M400" s="80"/>
      <c r="N400" s="80"/>
    </row>
    <row r="401" spans="3:14" ht="15" customHeight="1" x14ac:dyDescent="0.3">
      <c r="C401" s="43"/>
      <c r="D401" s="43"/>
      <c r="E401" s="43"/>
      <c r="F401" s="43"/>
      <c r="G401" s="43"/>
      <c r="H401" s="42"/>
      <c r="I401" s="42"/>
      <c r="J401" s="43"/>
      <c r="L401" s="80"/>
      <c r="M401" s="80"/>
      <c r="N401" s="80"/>
    </row>
    <row r="402" spans="3:14" ht="15" customHeight="1" x14ac:dyDescent="0.3">
      <c r="C402" s="43"/>
      <c r="D402" s="43"/>
      <c r="E402" s="43"/>
      <c r="F402" s="43"/>
      <c r="G402" s="43"/>
      <c r="H402" s="42"/>
      <c r="I402" s="42"/>
      <c r="J402" s="43"/>
      <c r="L402" s="80"/>
      <c r="M402" s="80"/>
      <c r="N402" s="80"/>
    </row>
    <row r="403" spans="3:14" ht="15" customHeight="1" x14ac:dyDescent="0.3">
      <c r="C403" s="43"/>
      <c r="D403" s="43"/>
      <c r="E403" s="43"/>
      <c r="F403" s="43"/>
      <c r="G403" s="43"/>
      <c r="H403" s="42"/>
      <c r="I403" s="42"/>
      <c r="J403" s="43"/>
      <c r="L403" s="80"/>
      <c r="M403" s="80"/>
      <c r="N403" s="80"/>
    </row>
    <row r="404" spans="3:14" ht="15" customHeight="1" x14ac:dyDescent="0.3">
      <c r="C404" s="43"/>
      <c r="D404" s="43"/>
      <c r="E404" s="43"/>
      <c r="F404" s="43"/>
      <c r="G404" s="43"/>
      <c r="H404" s="42"/>
      <c r="I404" s="42"/>
      <c r="J404" s="43"/>
      <c r="L404" s="80"/>
      <c r="M404" s="80"/>
      <c r="N404" s="80"/>
    </row>
    <row r="405" spans="3:14" ht="15" customHeight="1" x14ac:dyDescent="0.3">
      <c r="C405" s="43"/>
      <c r="D405" s="43"/>
      <c r="E405" s="43"/>
      <c r="F405" s="43"/>
      <c r="G405" s="43"/>
      <c r="H405" s="42"/>
      <c r="I405" s="42"/>
      <c r="J405" s="43"/>
      <c r="L405" s="80"/>
      <c r="M405" s="80"/>
      <c r="N405" s="80"/>
    </row>
    <row r="406" spans="3:14" ht="15" customHeight="1" x14ac:dyDescent="0.3">
      <c r="C406" s="43"/>
      <c r="D406" s="43"/>
      <c r="E406" s="43"/>
      <c r="F406" s="43"/>
      <c r="G406" s="43"/>
      <c r="H406" s="42"/>
      <c r="I406" s="42"/>
      <c r="J406" s="43"/>
      <c r="L406" s="80"/>
      <c r="M406" s="80"/>
      <c r="N406" s="80"/>
    </row>
    <row r="407" spans="3:14" ht="15" customHeight="1" x14ac:dyDescent="0.3">
      <c r="C407" s="43"/>
      <c r="D407" s="43"/>
      <c r="E407" s="43"/>
      <c r="F407" s="43"/>
      <c r="G407" s="43"/>
      <c r="H407" s="42"/>
      <c r="I407" s="42"/>
      <c r="J407" s="43"/>
      <c r="L407" s="80"/>
      <c r="M407" s="80"/>
      <c r="N407" s="80"/>
    </row>
    <row r="408" spans="3:14" ht="15" customHeight="1" x14ac:dyDescent="0.3">
      <c r="C408" s="43"/>
      <c r="D408" s="43"/>
      <c r="E408" s="43"/>
      <c r="F408" s="43"/>
      <c r="G408" s="43"/>
      <c r="H408" s="42"/>
      <c r="I408" s="42"/>
      <c r="J408" s="43"/>
      <c r="L408" s="80"/>
      <c r="M408" s="80"/>
      <c r="N408" s="80"/>
    </row>
    <row r="409" spans="3:14" ht="15" customHeight="1" x14ac:dyDescent="0.3">
      <c r="C409" s="43"/>
      <c r="D409" s="43"/>
      <c r="E409" s="43"/>
      <c r="F409" s="43"/>
      <c r="G409" s="43"/>
      <c r="H409" s="42"/>
      <c r="I409" s="42"/>
      <c r="J409" s="43"/>
      <c r="L409" s="80"/>
      <c r="M409" s="80"/>
      <c r="N409" s="80"/>
    </row>
    <row r="410" spans="3:14" ht="15" customHeight="1" x14ac:dyDescent="0.3">
      <c r="C410" s="43"/>
      <c r="D410" s="43"/>
      <c r="E410" s="43"/>
      <c r="F410" s="43"/>
      <c r="G410" s="43"/>
      <c r="H410" s="42"/>
      <c r="I410" s="42"/>
      <c r="J410" s="43"/>
      <c r="L410" s="80"/>
      <c r="M410" s="80"/>
      <c r="N410" s="80"/>
    </row>
    <row r="411" spans="3:14" ht="15" customHeight="1" x14ac:dyDescent="0.3">
      <c r="C411" s="43"/>
      <c r="D411" s="43"/>
      <c r="E411" s="43"/>
      <c r="F411" s="43"/>
      <c r="G411" s="43"/>
      <c r="H411" s="42"/>
      <c r="I411" s="42"/>
      <c r="J411" s="43"/>
      <c r="L411" s="80"/>
      <c r="M411" s="80"/>
      <c r="N411" s="80"/>
    </row>
    <row r="412" spans="3:14" ht="15" customHeight="1" x14ac:dyDescent="0.3">
      <c r="C412" s="43"/>
      <c r="D412" s="43"/>
      <c r="E412" s="43"/>
      <c r="F412" s="43"/>
      <c r="G412" s="43"/>
      <c r="H412" s="42"/>
      <c r="I412" s="42"/>
      <c r="J412" s="43"/>
      <c r="L412" s="80"/>
      <c r="M412" s="80"/>
      <c r="N412" s="80"/>
    </row>
    <row r="413" spans="3:14" ht="15" customHeight="1" x14ac:dyDescent="0.3">
      <c r="C413" s="43"/>
      <c r="D413" s="43"/>
      <c r="E413" s="43"/>
      <c r="F413" s="43"/>
      <c r="G413" s="43"/>
      <c r="H413" s="42"/>
      <c r="I413" s="42"/>
      <c r="J413" s="43"/>
      <c r="L413" s="80"/>
      <c r="M413" s="80"/>
      <c r="N413" s="80"/>
    </row>
    <row r="414" spans="3:14" ht="15" customHeight="1" x14ac:dyDescent="0.3">
      <c r="C414" s="43"/>
      <c r="D414" s="43"/>
      <c r="E414" s="43"/>
      <c r="F414" s="43"/>
      <c r="G414" s="43"/>
      <c r="H414" s="42"/>
      <c r="I414" s="42"/>
      <c r="J414" s="43"/>
      <c r="L414" s="80"/>
      <c r="M414" s="80"/>
      <c r="N414" s="80"/>
    </row>
    <row r="415" spans="3:14" ht="15" customHeight="1" x14ac:dyDescent="0.3">
      <c r="C415" s="43"/>
      <c r="D415" s="43"/>
      <c r="E415" s="43"/>
      <c r="F415" s="43"/>
      <c r="G415" s="43"/>
      <c r="H415" s="42"/>
      <c r="I415" s="42"/>
      <c r="J415" s="43"/>
      <c r="L415" s="80"/>
      <c r="M415" s="80"/>
      <c r="N415" s="80"/>
    </row>
    <row r="416" spans="3:14" ht="15" customHeight="1" x14ac:dyDescent="0.3">
      <c r="C416" s="45" t="s">
        <v>129</v>
      </c>
      <c r="D416" s="43"/>
      <c r="E416" s="43"/>
      <c r="F416" s="43"/>
      <c r="G416" s="43"/>
      <c r="H416" s="42"/>
      <c r="I416" s="42"/>
      <c r="J416" s="43"/>
      <c r="L416" s="80"/>
      <c r="M416" s="80"/>
      <c r="N416" s="80"/>
    </row>
    <row r="417" spans="1:12" ht="15" customHeight="1" x14ac:dyDescent="0.3">
      <c r="C417" s="45"/>
      <c r="D417" s="43"/>
      <c r="E417" s="43"/>
      <c r="F417" s="43"/>
      <c r="G417" s="43"/>
      <c r="H417" s="42"/>
      <c r="I417" s="42"/>
      <c r="J417" s="43"/>
    </row>
    <row r="418" spans="1:12" ht="15" customHeight="1" x14ac:dyDescent="0.3">
      <c r="C418" s="45" t="s">
        <v>130</v>
      </c>
      <c r="D418" s="43"/>
      <c r="E418" s="43"/>
      <c r="F418" s="43"/>
      <c r="G418" s="43"/>
      <c r="H418" s="42"/>
      <c r="I418" s="42"/>
      <c r="J418" s="43"/>
    </row>
    <row r="419" spans="1:12" ht="15" customHeight="1" x14ac:dyDescent="0.3">
      <c r="C419" s="45"/>
      <c r="D419" s="43"/>
      <c r="E419" s="43"/>
      <c r="F419" s="43"/>
      <c r="G419" s="43"/>
      <c r="H419" s="42"/>
      <c r="I419" s="42"/>
      <c r="J419" s="43"/>
    </row>
    <row r="420" spans="1:12" ht="15" customHeight="1" x14ac:dyDescent="0.3">
      <c r="C420" s="45" t="s">
        <v>131</v>
      </c>
      <c r="D420" s="43"/>
      <c r="E420" s="43"/>
      <c r="F420" s="43"/>
      <c r="G420" s="43"/>
      <c r="H420" s="42"/>
      <c r="I420" s="42"/>
      <c r="J420" s="43"/>
    </row>
    <row r="421" spans="1:12" ht="15" customHeight="1" x14ac:dyDescent="0.3">
      <c r="C421" s="45"/>
      <c r="D421" s="43"/>
      <c r="E421" s="43"/>
      <c r="F421" s="43"/>
      <c r="G421" s="43"/>
      <c r="H421" s="42"/>
      <c r="I421" s="42"/>
      <c r="J421" s="43"/>
    </row>
    <row r="422" spans="1:12" ht="15" customHeight="1" x14ac:dyDescent="0.3">
      <c r="C422" s="45"/>
      <c r="D422" s="43"/>
      <c r="E422" s="43"/>
      <c r="F422" s="43"/>
      <c r="G422" s="43"/>
      <c r="H422" s="42"/>
      <c r="I422" s="42"/>
      <c r="J422" s="43"/>
    </row>
    <row r="423" spans="1:12" ht="15" customHeight="1" x14ac:dyDescent="0.3">
      <c r="C423" s="45"/>
      <c r="D423" s="43"/>
      <c r="E423" s="43"/>
      <c r="F423" s="43"/>
      <c r="G423" s="43"/>
      <c r="H423" s="42"/>
      <c r="I423" s="42"/>
      <c r="J423" s="43"/>
    </row>
    <row r="424" spans="1:12" ht="15" customHeight="1" x14ac:dyDescent="0.3">
      <c r="C424" s="45"/>
      <c r="D424" s="43"/>
      <c r="E424" s="43"/>
      <c r="F424" s="43"/>
      <c r="G424" s="43"/>
      <c r="H424" s="42"/>
      <c r="I424" s="42"/>
      <c r="J424" s="43"/>
    </row>
    <row r="425" spans="1:12" ht="14.25" customHeight="1" x14ac:dyDescent="0.3">
      <c r="C425" s="45" t="s">
        <v>66</v>
      </c>
      <c r="D425" s="43"/>
      <c r="E425" s="43"/>
      <c r="F425" s="43"/>
      <c r="G425" s="43"/>
      <c r="H425" s="42"/>
      <c r="I425" s="42"/>
      <c r="J425" s="43"/>
    </row>
    <row r="426" spans="1:12" ht="15" customHeight="1" x14ac:dyDescent="0.3">
      <c r="C426" s="86"/>
      <c r="D426" s="36"/>
      <c r="E426" s="36"/>
      <c r="F426" s="86"/>
      <c r="G426" s="86"/>
      <c r="H426" s="71" t="s">
        <v>109</v>
      </c>
      <c r="I426" s="71"/>
      <c r="J426" s="43"/>
    </row>
    <row r="427" spans="1:12" s="47" customFormat="1" ht="51.75" customHeight="1" x14ac:dyDescent="0.35">
      <c r="A427" s="96"/>
      <c r="B427" s="47" t="s">
        <v>141</v>
      </c>
      <c r="C427" s="47" t="s">
        <v>142</v>
      </c>
      <c r="D427" s="47" t="s">
        <v>152</v>
      </c>
      <c r="E427" s="47" t="s">
        <v>153</v>
      </c>
      <c r="K427" s="97"/>
    </row>
    <row r="428" spans="1:12" ht="15" customHeight="1" x14ac:dyDescent="0.3">
      <c r="A428" s="36">
        <v>1</v>
      </c>
      <c r="B428" s="59" t="str">
        <f>IF(ISBLANK($A428)," ",IF(ISTEXT($A428)," ",IF($A428&lt;=2,"МСМК"," ")))</f>
        <v>МСМК</v>
      </c>
      <c r="C428" s="59" t="str">
        <f>IF(ISBLANK($A428)," ",IF(ISTEXT($A428)," ",IF($A428&lt;=1,"МСМК"," ")))</f>
        <v>МСМК</v>
      </c>
      <c r="D428" s="59" t="str">
        <f>IF(ISBLANK($A428)," ",IF(ISTEXT($A428)," ",IF($A428&lt;=3,"МС"," ")))</f>
        <v>МС</v>
      </c>
      <c r="E428" s="59" t="str">
        <f>IF(ISBLANK($A428)," ",IF(ISTEXT($A428)," ",IF($A428&lt;=2,"МС"," ")))</f>
        <v>МС</v>
      </c>
      <c r="F428" s="86"/>
      <c r="G428" s="86"/>
      <c r="H428" s="74"/>
      <c r="I428" s="59"/>
      <c r="J428" s="36"/>
      <c r="K428" s="98"/>
      <c r="L428" s="40"/>
    </row>
    <row r="429" spans="1:12" ht="15" customHeight="1" x14ac:dyDescent="0.3">
      <c r="A429" s="36">
        <v>2</v>
      </c>
      <c r="B429" s="59" t="str">
        <f t="shared" ref="B429:B436" si="291">IF(ISBLANK($A429)," ",IF(ISTEXT($A429)," ",IF($A429&lt;=2,"МСМК"," ")))</f>
        <v>МСМК</v>
      </c>
      <c r="C429" s="59" t="str">
        <f t="shared" ref="C429:C436" si="292">IF(ISBLANK($A429)," ",IF(ISTEXT($A429)," ",IF($A429&lt;=1,"МСМК"," ")))</f>
        <v xml:space="preserve"> </v>
      </c>
      <c r="D429" s="59" t="str">
        <f t="shared" ref="D429:D436" si="293">IF(ISBLANK($A429)," ",IF(ISTEXT($A429)," ",IF($A429&lt;=3,"МС"," ")))</f>
        <v>МС</v>
      </c>
      <c r="E429" s="59" t="str">
        <f t="shared" ref="E429:E436" si="294">IF(ISBLANK($A429)," ",IF(ISTEXT($A429)," ",IF($A429&lt;=2,"МС"," ")))</f>
        <v>МС</v>
      </c>
      <c r="F429" s="86"/>
      <c r="G429" s="86"/>
      <c r="H429" s="74"/>
      <c r="I429" s="59"/>
      <c r="J429" s="36"/>
      <c r="K429" s="98"/>
      <c r="L429" s="40"/>
    </row>
    <row r="430" spans="1:12" ht="15" customHeight="1" x14ac:dyDescent="0.3">
      <c r="A430" s="36">
        <v>3</v>
      </c>
      <c r="B430" s="59" t="str">
        <f t="shared" si="291"/>
        <v xml:space="preserve"> </v>
      </c>
      <c r="C430" s="59" t="str">
        <f t="shared" si="292"/>
        <v xml:space="preserve"> </v>
      </c>
      <c r="D430" s="59" t="str">
        <f t="shared" si="293"/>
        <v>МС</v>
      </c>
      <c r="E430" s="59" t="str">
        <f t="shared" si="294"/>
        <v xml:space="preserve"> </v>
      </c>
      <c r="F430" s="86"/>
      <c r="G430" s="86"/>
      <c r="H430" s="74"/>
      <c r="I430" s="59"/>
      <c r="J430" s="36"/>
      <c r="K430" s="98"/>
      <c r="L430" s="40"/>
    </row>
    <row r="431" spans="1:12" ht="15" customHeight="1" x14ac:dyDescent="0.3">
      <c r="A431" s="36">
        <v>4</v>
      </c>
      <c r="B431" s="59" t="str">
        <f t="shared" si="291"/>
        <v xml:space="preserve"> </v>
      </c>
      <c r="C431" s="59" t="str">
        <f t="shared" si="292"/>
        <v xml:space="preserve"> </v>
      </c>
      <c r="D431" s="59" t="str">
        <f t="shared" si="293"/>
        <v xml:space="preserve"> </v>
      </c>
      <c r="E431" s="59" t="str">
        <f t="shared" si="294"/>
        <v xml:space="preserve"> </v>
      </c>
      <c r="F431" s="86"/>
      <c r="G431" s="86"/>
      <c r="H431" s="74"/>
      <c r="I431" s="59"/>
      <c r="J431" s="36"/>
      <c r="K431" s="98"/>
      <c r="L431" s="40"/>
    </row>
    <row r="432" spans="1:12" ht="15" customHeight="1" x14ac:dyDescent="0.3">
      <c r="A432" s="36">
        <v>5</v>
      </c>
      <c r="B432" s="59" t="str">
        <f t="shared" si="291"/>
        <v xml:space="preserve"> </v>
      </c>
      <c r="C432" s="59" t="str">
        <f t="shared" si="292"/>
        <v xml:space="preserve"> </v>
      </c>
      <c r="D432" s="59" t="str">
        <f t="shared" si="293"/>
        <v xml:space="preserve"> </v>
      </c>
      <c r="E432" s="59" t="str">
        <f t="shared" si="294"/>
        <v xml:space="preserve"> </v>
      </c>
      <c r="F432" s="86"/>
      <c r="G432" s="86"/>
      <c r="H432" s="74"/>
      <c r="I432" s="59"/>
      <c r="J432" s="36"/>
      <c r="K432" s="98"/>
      <c r="L432" s="40"/>
    </row>
    <row r="433" spans="1:19" ht="15" customHeight="1" x14ac:dyDescent="0.3">
      <c r="A433" s="36">
        <v>6</v>
      </c>
      <c r="B433" s="59" t="str">
        <f t="shared" si="291"/>
        <v xml:space="preserve"> </v>
      </c>
      <c r="C433" s="59" t="str">
        <f t="shared" si="292"/>
        <v xml:space="preserve"> </v>
      </c>
      <c r="D433" s="59" t="str">
        <f t="shared" si="293"/>
        <v xml:space="preserve"> </v>
      </c>
      <c r="E433" s="59" t="str">
        <f t="shared" si="294"/>
        <v xml:space="preserve"> </v>
      </c>
      <c r="F433" s="86"/>
      <c r="G433" s="86"/>
      <c r="H433" s="74"/>
      <c r="I433" s="59"/>
      <c r="J433" s="36"/>
      <c r="K433" s="98"/>
      <c r="L433" s="40"/>
    </row>
    <row r="434" spans="1:19" ht="15" customHeight="1" x14ac:dyDescent="0.3">
      <c r="A434" s="36">
        <v>7</v>
      </c>
      <c r="B434" s="59" t="str">
        <f t="shared" si="291"/>
        <v xml:space="preserve"> </v>
      </c>
      <c r="C434" s="59" t="str">
        <f t="shared" si="292"/>
        <v xml:space="preserve"> </v>
      </c>
      <c r="D434" s="59" t="str">
        <f t="shared" si="293"/>
        <v xml:space="preserve"> </v>
      </c>
      <c r="E434" s="59" t="str">
        <f t="shared" si="294"/>
        <v xml:space="preserve"> </v>
      </c>
      <c r="F434" s="86"/>
      <c r="G434" s="86"/>
      <c r="H434" s="74"/>
      <c r="I434" s="59"/>
      <c r="J434" s="36"/>
      <c r="K434" s="98"/>
      <c r="L434" s="40"/>
    </row>
    <row r="435" spans="1:19" ht="15" customHeight="1" x14ac:dyDescent="0.3">
      <c r="A435" s="36">
        <v>8</v>
      </c>
      <c r="B435" s="59" t="str">
        <f t="shared" si="291"/>
        <v xml:space="preserve"> </v>
      </c>
      <c r="C435" s="59" t="str">
        <f t="shared" si="292"/>
        <v xml:space="preserve"> </v>
      </c>
      <c r="D435" s="59" t="str">
        <f t="shared" si="293"/>
        <v xml:space="preserve"> </v>
      </c>
      <c r="E435" s="59" t="str">
        <f t="shared" si="294"/>
        <v xml:space="preserve"> </v>
      </c>
      <c r="F435" s="86"/>
      <c r="G435" s="86"/>
      <c r="H435" s="74"/>
      <c r="I435" s="59"/>
      <c r="J435" s="36"/>
      <c r="K435" s="98"/>
      <c r="L435" s="40"/>
    </row>
    <row r="436" spans="1:19" ht="14.25" customHeight="1" x14ac:dyDescent="0.3">
      <c r="A436" s="36">
        <v>9</v>
      </c>
      <c r="B436" s="59" t="str">
        <f t="shared" si="291"/>
        <v xml:space="preserve"> </v>
      </c>
      <c r="C436" s="59" t="str">
        <f t="shared" si="292"/>
        <v xml:space="preserve"> </v>
      </c>
      <c r="D436" s="59" t="str">
        <f t="shared" si="293"/>
        <v xml:space="preserve"> </v>
      </c>
      <c r="E436" s="59" t="str">
        <f t="shared" si="294"/>
        <v xml:space="preserve"> </v>
      </c>
      <c r="F436" s="43"/>
      <c r="G436" s="43"/>
      <c r="H436" s="42"/>
      <c r="I436" s="42"/>
      <c r="J436" s="43"/>
    </row>
    <row r="437" spans="1:19" ht="14.25" customHeight="1" x14ac:dyDescent="0.3">
      <c r="C437" s="45" t="s">
        <v>145</v>
      </c>
      <c r="D437" s="43"/>
      <c r="E437" s="43"/>
      <c r="F437" s="43"/>
      <c r="G437" s="43"/>
      <c r="H437" s="42"/>
      <c r="I437" s="42"/>
      <c r="J437" s="43"/>
    </row>
    <row r="438" spans="1:19" ht="14.25" customHeight="1" x14ac:dyDescent="0.3">
      <c r="C438" s="45" t="s">
        <v>147</v>
      </c>
      <c r="D438" s="43"/>
      <c r="E438" s="43"/>
      <c r="F438" s="43"/>
      <c r="G438" s="43"/>
      <c r="H438" s="42"/>
      <c r="I438" s="42"/>
      <c r="J438" s="43"/>
    </row>
    <row r="439" spans="1:19" ht="14.25" customHeight="1" x14ac:dyDescent="0.3">
      <c r="C439" s="45" t="s">
        <v>146</v>
      </c>
      <c r="D439" s="43"/>
      <c r="E439" s="43"/>
      <c r="F439" s="43"/>
      <c r="G439" s="43"/>
      <c r="H439" s="42"/>
      <c r="I439" s="42"/>
      <c r="J439" s="43"/>
    </row>
    <row r="440" spans="1:19" ht="14.25" customHeight="1" x14ac:dyDescent="0.3">
      <c r="C440" s="45" t="s">
        <v>148</v>
      </c>
      <c r="D440" s="43"/>
      <c r="E440" s="43"/>
      <c r="F440" s="43"/>
      <c r="G440" s="43"/>
      <c r="H440" s="42"/>
      <c r="I440" s="42"/>
      <c r="J440" s="43"/>
    </row>
    <row r="441" spans="1:19" x14ac:dyDescent="0.3">
      <c r="C441" s="45" t="s">
        <v>144</v>
      </c>
    </row>
    <row r="442" spans="1:19" x14ac:dyDescent="0.3">
      <c r="C442" s="45" t="s">
        <v>143</v>
      </c>
    </row>
    <row r="443" spans="1:19" x14ac:dyDescent="0.3">
      <c r="C443" s="45" t="s">
        <v>149</v>
      </c>
    </row>
    <row r="444" spans="1:19" x14ac:dyDescent="0.3">
      <c r="C444" s="45" t="s">
        <v>150</v>
      </c>
    </row>
    <row r="445" spans="1:19" x14ac:dyDescent="0.3">
      <c r="C445" s="45" t="s">
        <v>151</v>
      </c>
    </row>
    <row r="446" spans="1:19" s="47" customFormat="1" ht="83.25" customHeight="1" x14ac:dyDescent="0.35">
      <c r="A446" s="96"/>
      <c r="B446" s="47" t="s">
        <v>141</v>
      </c>
      <c r="C446" s="47" t="s">
        <v>142</v>
      </c>
      <c r="D446" s="47" t="s">
        <v>115</v>
      </c>
      <c r="E446" s="47" t="s">
        <v>159</v>
      </c>
      <c r="F446" s="47" t="s">
        <v>158</v>
      </c>
      <c r="G446" s="47" t="s">
        <v>160</v>
      </c>
      <c r="H446" s="47" t="s">
        <v>116</v>
      </c>
      <c r="I446" s="47" t="s">
        <v>117</v>
      </c>
      <c r="J446" s="47" t="s">
        <v>118</v>
      </c>
      <c r="K446" s="97" t="s">
        <v>119</v>
      </c>
      <c r="L446" s="47" t="s">
        <v>120</v>
      </c>
      <c r="M446" s="47" t="s">
        <v>154</v>
      </c>
      <c r="N446" s="47" t="s">
        <v>121</v>
      </c>
      <c r="O446" s="47" t="s">
        <v>122</v>
      </c>
      <c r="P446" s="47" t="s">
        <v>156</v>
      </c>
      <c r="Q446" s="47" t="s">
        <v>155</v>
      </c>
      <c r="R446" s="47" t="s">
        <v>157</v>
      </c>
      <c r="S446" s="47" t="s">
        <v>123</v>
      </c>
    </row>
    <row r="447" spans="1:19" ht="15" customHeight="1" x14ac:dyDescent="0.3">
      <c r="A447" s="36">
        <v>1</v>
      </c>
      <c r="B447" s="40" t="str">
        <f>IF($A447&lt;7,"МСМК"," ")</f>
        <v>МСМК</v>
      </c>
      <c r="C447" s="40" t="str">
        <f>IF($A447&lt;5,"МСМК"," ")</f>
        <v>МСМК</v>
      </c>
      <c r="D447" s="59" t="str">
        <f t="shared" ref="D447:D452" si="295">IF(ISBLANK($A447)," ",IF(ISTEXT($A447)," ",IF($A447&lt;=1,"МСМК"," ")))</f>
        <v>МСМК</v>
      </c>
      <c r="E447" s="59" t="str">
        <f>IF(ISBLANK($A447)," ",IF(ISTEXT($A447)," ",IF($A447&lt;=6,"МС"," ")))</f>
        <v>МС</v>
      </c>
      <c r="F447" s="59" t="str">
        <f>IF(ISBLANK($A447)," ",IF(ISTEXT($A447)," ",IF($A447&lt;=4,"МС"," ")))</f>
        <v>МС</v>
      </c>
      <c r="G447" s="59" t="str">
        <f>IF(ISBLANK($A447)," ",IF(ISTEXT($A447)," ",IF($A447&lt;=2,"МС",IF($A447&lt;=6,"КМС"," "))))</f>
        <v>МС</v>
      </c>
      <c r="H447" s="59" t="s">
        <v>36</v>
      </c>
      <c r="I447" s="59" t="str">
        <f>IF(ISBLANK($A447)," ",IF(ISTEXT($A447)," ",IF($A447&lt;=3,"МС",IF($A447&lt;=6,"КМС"," "))))</f>
        <v>МС</v>
      </c>
      <c r="J447" s="59" t="str">
        <f>IF(ISBLANK($A447)," ",IF(ISTEXT($A447)," ",IF($A447&lt;=4,"КМС"," ")))</f>
        <v>КМС</v>
      </c>
      <c r="K447" s="99" t="str">
        <f>IF(ISBLANK($A447)," ",IF(ISTEXT($A447)," ",IF($A447&lt;=2,"МС",IF($A447&lt;=4,"КМС"," "))))</f>
        <v>МС</v>
      </c>
      <c r="L447" s="59" t="str">
        <f>IF(ISBLANK($A447)," ",IF(ISTEXT($A447)," ",IF($A447&lt;=1,"КМС",IF($A447&lt;=4,"I"," "))))</f>
        <v>КМС</v>
      </c>
      <c r="M447" s="59" t="str">
        <f>IF(ISBLANK($A447)," ",IF(ISTEXT($A447)," ",IF($A447&lt;=2,"I",IF($A447&lt;=4,"II",IF($A447&lt;=6,"III"," ")))))</f>
        <v>I</v>
      </c>
      <c r="N447" s="59" t="str">
        <f t="shared" ref="N447:N452" si="296">IF(ISBLANK($A447)," ",IF(ISTEXT($A447)," ",IF($A447&lt;=1,"КМС",IF($A447&lt;=4,"I"," "))))</f>
        <v>КМС</v>
      </c>
      <c r="O447" s="59" t="str">
        <f>IF(ISBLANK($A447)," ",IF(ISTEXT($A447)," ",IF($A447&lt;=2,"I",IF($A447&lt;=4,"II",IF($A447&lt;=6,"III"," ")))))</f>
        <v>I</v>
      </c>
      <c r="P447" s="59" t="str">
        <f>IF(ISBLANK($A447)," ",IF(ISTEXT($A447)," ",IF($A447&lt;=1,"I",IF($A447&lt;=3,"II",IF($A447&lt;=6,"III"," ")))))</f>
        <v>I</v>
      </c>
      <c r="Q447" s="59" t="str">
        <f t="shared" ref="Q447:Q455" si="297">IF(ISBLANK($A447)," ",IF(ISTEXT($A447)," ",IF($A447&lt;=3,"II",IF($A447&lt;=5,"III",IF($A447&lt;=7,"I юн"," ")))))</f>
        <v>II</v>
      </c>
      <c r="R447" s="59" t="str">
        <f>IF(ISBLANK($A447)," ",IF(ISTEXT($A447)," ",IF($A447&lt;=3,"III",IF($A447&lt;=6,"I юн",IF($A447&lt;=8,"II юн"," ")))))</f>
        <v>III</v>
      </c>
      <c r="S447" s="59" t="str">
        <f>IF(ISBLANK($A447)," ",IF(ISTEXT($A447)," ",IF($A447&lt;=3,"I юн",IF($A447&lt;=6,"II юн",IF($A447&lt;=9,"III юн"," ")))))</f>
        <v>I юн</v>
      </c>
    </row>
    <row r="448" spans="1:19" ht="15" customHeight="1" x14ac:dyDescent="0.3">
      <c r="A448" s="36">
        <v>2</v>
      </c>
      <c r="B448" s="40" t="str">
        <f t="shared" ref="B448:B455" si="298">IF($A448&lt;7,"МСМК"," ")</f>
        <v>МСМК</v>
      </c>
      <c r="C448" s="40" t="str">
        <f t="shared" ref="C448:C455" si="299">IF($A448&lt;5,"МСМК"," ")</f>
        <v>МСМК</v>
      </c>
      <c r="D448" s="59" t="str">
        <f t="shared" si="295"/>
        <v xml:space="preserve"> </v>
      </c>
      <c r="E448" s="59" t="str">
        <f t="shared" ref="E448:E456" si="300">IF(ISBLANK($A448)," ",IF(ISTEXT($A448)," ",IF($A448&lt;=6,"МС"," ")))</f>
        <v>МС</v>
      </c>
      <c r="F448" s="59" t="str">
        <f t="shared" ref="F448:F456" si="301">IF(ISBLANK($A448)," ",IF(ISTEXT($A448)," ",IF($A448&lt;=4,"МС"," ")))</f>
        <v>МС</v>
      </c>
      <c r="G448" s="59" t="str">
        <f t="shared" ref="G448:G456" si="302">IF(ISBLANK($A448)," ",IF(ISTEXT($A448)," ",IF($A448&lt;=2,"МС",IF($A448&lt;=6,"КМС"," "))))</f>
        <v>МС</v>
      </c>
      <c r="H448" s="59" t="s">
        <v>36</v>
      </c>
      <c r="I448" s="59" t="str">
        <f t="shared" ref="I448:I456" si="303">IF(ISBLANK($A448)," ",IF(ISTEXT($A448)," ",IF($A448&lt;=3,"МС",IF($A448&lt;=6,"КМС"," "))))</f>
        <v>МС</v>
      </c>
      <c r="J448" s="59" t="str">
        <f t="shared" ref="J448:J456" si="304">IF(ISBLANK($A448)," ",IF(ISTEXT($A448)," ",IF($A448&lt;=4,"КМС"," ")))</f>
        <v>КМС</v>
      </c>
      <c r="K448" s="99" t="str">
        <f t="shared" ref="K448:L456" si="305">IF(ISBLANK($A448)," ",IF(ISTEXT($A448)," ",IF($A448&lt;=2,"МС",IF($A448&lt;=4,"КМС"," "))))</f>
        <v>МС</v>
      </c>
      <c r="L448" s="59" t="str">
        <f t="shared" ref="L448:L455" si="306">IF(ISBLANK($A448)," ",IF(ISTEXT($A448)," ",IF($A448&lt;=1,"КМС",IF($A448&lt;=4,"I"," "))))</f>
        <v>I</v>
      </c>
      <c r="M448" s="59" t="str">
        <f t="shared" ref="M448:M456" si="307">IF(ISBLANK($A448)," ",IF(ISTEXT($A448)," ",IF($A448&lt;=2,"I",IF($A448&lt;=4,"II",IF($A448&lt;=6,"III"," ")))))</f>
        <v>I</v>
      </c>
      <c r="N448" s="59" t="str">
        <f t="shared" si="296"/>
        <v>I</v>
      </c>
      <c r="O448" s="59" t="str">
        <f t="shared" ref="O448:O457" si="308">IF(ISBLANK($A448)," ",IF(ISTEXT($A448)," ",IF($A448&lt;=2,"I",IF($A448&lt;=4,"II",IF($A448&lt;=6,"III"," ")))))</f>
        <v>I</v>
      </c>
      <c r="P448" s="59" t="str">
        <f t="shared" ref="P448:P455" si="309">IF(ISBLANK($A448)," ",IF(ISTEXT($A448)," ",IF($A448&lt;=1,"I",IF($A448&lt;=3,"II",IF($A448&lt;=6,"III"," ")))))</f>
        <v>II</v>
      </c>
      <c r="Q448" s="59" t="str">
        <f t="shared" si="297"/>
        <v>II</v>
      </c>
      <c r="R448" s="59" t="str">
        <f>IF(ISBLANK($A448)," ",IF(ISTEXT($A448)," ",IF($A448&lt;=3,"III",IF($A448&lt;=6,"I юн",IF($A448&lt;=8,"II юн"," ")))))</f>
        <v>III</v>
      </c>
      <c r="S448" s="59" t="str">
        <f t="shared" ref="S448:S455" si="310">IF(ISBLANK($A448)," ",IF(ISTEXT($A448)," ",IF($A448&lt;=3,"I юн",IF($A448&lt;=6,"II юн",IF($A448&lt;=9,"III юн"," ")))))</f>
        <v>I юн</v>
      </c>
    </row>
    <row r="449" spans="1:19" ht="15" customHeight="1" x14ac:dyDescent="0.3">
      <c r="A449" s="36">
        <v>3</v>
      </c>
      <c r="B449" s="40" t="str">
        <f t="shared" si="298"/>
        <v>МСМК</v>
      </c>
      <c r="C449" s="40" t="str">
        <f t="shared" si="299"/>
        <v>МСМК</v>
      </c>
      <c r="D449" s="59" t="str">
        <f t="shared" si="295"/>
        <v xml:space="preserve"> </v>
      </c>
      <c r="E449" s="59" t="str">
        <f t="shared" si="300"/>
        <v>МС</v>
      </c>
      <c r="F449" s="59" t="str">
        <f t="shared" si="301"/>
        <v>МС</v>
      </c>
      <c r="G449" s="59" t="str">
        <f t="shared" si="302"/>
        <v>КМС</v>
      </c>
      <c r="H449" s="59" t="s">
        <v>36</v>
      </c>
      <c r="I449" s="59" t="str">
        <f t="shared" si="303"/>
        <v>МС</v>
      </c>
      <c r="J449" s="59" t="str">
        <f t="shared" si="304"/>
        <v>КМС</v>
      </c>
      <c r="K449" s="99" t="str">
        <f t="shared" si="305"/>
        <v>КМС</v>
      </c>
      <c r="L449" s="59" t="str">
        <f t="shared" si="306"/>
        <v>I</v>
      </c>
      <c r="M449" s="59" t="str">
        <f t="shared" si="307"/>
        <v>II</v>
      </c>
      <c r="N449" s="59" t="str">
        <f t="shared" si="296"/>
        <v>I</v>
      </c>
      <c r="O449" s="59" t="str">
        <f t="shared" si="308"/>
        <v>II</v>
      </c>
      <c r="P449" s="59" t="str">
        <f t="shared" si="309"/>
        <v>II</v>
      </c>
      <c r="Q449" s="59" t="str">
        <f t="shared" si="297"/>
        <v>II</v>
      </c>
      <c r="R449" s="59" t="str">
        <f t="shared" ref="R449:R456" si="311">IF(ISBLANK($A449)," ",IF(ISTEXT($A449)," ",IF($A449&lt;=3,"III",IF($A449&lt;=6,"I юн",IF($A449&lt;=8,"II юн"," ")))))</f>
        <v>III</v>
      </c>
      <c r="S449" s="59" t="str">
        <f t="shared" si="310"/>
        <v>I юн</v>
      </c>
    </row>
    <row r="450" spans="1:19" ht="15" customHeight="1" x14ac:dyDescent="0.3">
      <c r="A450" s="36">
        <v>4</v>
      </c>
      <c r="B450" s="40" t="str">
        <f t="shared" si="298"/>
        <v>МСМК</v>
      </c>
      <c r="C450" s="40" t="str">
        <f t="shared" si="299"/>
        <v>МСМК</v>
      </c>
      <c r="D450" s="59" t="str">
        <f t="shared" si="295"/>
        <v xml:space="preserve"> </v>
      </c>
      <c r="E450" s="59" t="str">
        <f t="shared" si="300"/>
        <v>МС</v>
      </c>
      <c r="F450" s="59" t="str">
        <f t="shared" si="301"/>
        <v>МС</v>
      </c>
      <c r="G450" s="59" t="str">
        <f t="shared" si="302"/>
        <v>КМС</v>
      </c>
      <c r="H450" s="59" t="s">
        <v>36</v>
      </c>
      <c r="I450" s="59" t="str">
        <f t="shared" si="303"/>
        <v>КМС</v>
      </c>
      <c r="J450" s="59" t="str">
        <f t="shared" si="304"/>
        <v>КМС</v>
      </c>
      <c r="K450" s="99" t="str">
        <f t="shared" si="305"/>
        <v>КМС</v>
      </c>
      <c r="L450" s="59" t="str">
        <f t="shared" si="306"/>
        <v>I</v>
      </c>
      <c r="M450" s="59" t="str">
        <f t="shared" si="307"/>
        <v>II</v>
      </c>
      <c r="N450" s="59" t="str">
        <f t="shared" si="296"/>
        <v>I</v>
      </c>
      <c r="O450" s="59" t="str">
        <f t="shared" si="308"/>
        <v>II</v>
      </c>
      <c r="P450" s="59" t="str">
        <f t="shared" si="309"/>
        <v>III</v>
      </c>
      <c r="Q450" s="59" t="str">
        <f t="shared" si="297"/>
        <v>III</v>
      </c>
      <c r="R450" s="59" t="str">
        <f t="shared" si="311"/>
        <v>I юн</v>
      </c>
      <c r="S450" s="59" t="str">
        <f t="shared" si="310"/>
        <v>II юн</v>
      </c>
    </row>
    <row r="451" spans="1:19" ht="15" customHeight="1" x14ac:dyDescent="0.3">
      <c r="A451" s="36">
        <v>5</v>
      </c>
      <c r="B451" s="40" t="str">
        <f t="shared" si="298"/>
        <v>МСМК</v>
      </c>
      <c r="C451" s="40" t="str">
        <f t="shared" si="299"/>
        <v xml:space="preserve"> </v>
      </c>
      <c r="D451" s="59" t="str">
        <f t="shared" si="295"/>
        <v xml:space="preserve"> </v>
      </c>
      <c r="E451" s="59" t="str">
        <f t="shared" si="300"/>
        <v>МС</v>
      </c>
      <c r="F451" s="59" t="str">
        <f t="shared" si="301"/>
        <v xml:space="preserve"> </v>
      </c>
      <c r="G451" s="59" t="str">
        <f t="shared" si="302"/>
        <v>КМС</v>
      </c>
      <c r="H451" s="59" t="s">
        <v>37</v>
      </c>
      <c r="I451" s="59" t="str">
        <f t="shared" si="303"/>
        <v>КМС</v>
      </c>
      <c r="J451" s="59" t="str">
        <f t="shared" si="304"/>
        <v xml:space="preserve"> </v>
      </c>
      <c r="K451" s="99" t="str">
        <f t="shared" si="305"/>
        <v xml:space="preserve"> </v>
      </c>
      <c r="L451" s="59" t="str">
        <f t="shared" si="306"/>
        <v xml:space="preserve"> </v>
      </c>
      <c r="M451" s="59" t="str">
        <f t="shared" si="307"/>
        <v>III</v>
      </c>
      <c r="N451" s="59" t="str">
        <f t="shared" si="296"/>
        <v xml:space="preserve"> </v>
      </c>
      <c r="O451" s="59" t="str">
        <f t="shared" si="308"/>
        <v>III</v>
      </c>
      <c r="P451" s="59" t="str">
        <f t="shared" si="309"/>
        <v>III</v>
      </c>
      <c r="Q451" s="59" t="str">
        <f t="shared" si="297"/>
        <v>III</v>
      </c>
      <c r="R451" s="59" t="str">
        <f t="shared" si="311"/>
        <v>I юн</v>
      </c>
      <c r="S451" s="59" t="str">
        <f t="shared" si="310"/>
        <v>II юн</v>
      </c>
    </row>
    <row r="452" spans="1:19" ht="15" customHeight="1" x14ac:dyDescent="0.3">
      <c r="A452" s="36">
        <v>6</v>
      </c>
      <c r="B452" s="40" t="str">
        <f t="shared" si="298"/>
        <v>МСМК</v>
      </c>
      <c r="C452" s="40" t="str">
        <f t="shared" si="299"/>
        <v xml:space="preserve"> </v>
      </c>
      <c r="D452" s="59" t="str">
        <f t="shared" si="295"/>
        <v xml:space="preserve"> </v>
      </c>
      <c r="E452" s="59" t="str">
        <f t="shared" si="300"/>
        <v>МС</v>
      </c>
      <c r="F452" s="59" t="str">
        <f t="shared" si="301"/>
        <v xml:space="preserve"> </v>
      </c>
      <c r="G452" s="59" t="str">
        <f t="shared" si="302"/>
        <v>КМС</v>
      </c>
      <c r="H452" s="59" t="s">
        <v>37</v>
      </c>
      <c r="I452" s="59" t="str">
        <f t="shared" si="303"/>
        <v>КМС</v>
      </c>
      <c r="J452" s="59" t="str">
        <f t="shared" si="304"/>
        <v xml:space="preserve"> </v>
      </c>
      <c r="K452" s="99" t="str">
        <f t="shared" si="305"/>
        <v xml:space="preserve"> </v>
      </c>
      <c r="L452" s="59" t="str">
        <f t="shared" si="306"/>
        <v xml:space="preserve"> </v>
      </c>
      <c r="M452" s="59" t="str">
        <f t="shared" si="307"/>
        <v>III</v>
      </c>
      <c r="N452" s="59" t="str">
        <f t="shared" si="296"/>
        <v xml:space="preserve"> </v>
      </c>
      <c r="O452" s="59" t="str">
        <f t="shared" si="308"/>
        <v>III</v>
      </c>
      <c r="P452" s="59" t="str">
        <f t="shared" si="309"/>
        <v>III</v>
      </c>
      <c r="Q452" s="59" t="str">
        <f t="shared" si="297"/>
        <v>I юн</v>
      </c>
      <c r="R452" s="59" t="str">
        <f t="shared" si="311"/>
        <v>I юн</v>
      </c>
      <c r="S452" s="59" t="str">
        <f t="shared" si="310"/>
        <v>II юн</v>
      </c>
    </row>
    <row r="453" spans="1:19" ht="15" customHeight="1" x14ac:dyDescent="0.3">
      <c r="A453" s="36">
        <v>7</v>
      </c>
      <c r="B453" s="40" t="str">
        <f t="shared" si="298"/>
        <v xml:space="preserve"> </v>
      </c>
      <c r="C453" s="40" t="str">
        <f t="shared" si="299"/>
        <v xml:space="preserve"> </v>
      </c>
      <c r="D453" s="36"/>
      <c r="E453" s="59" t="str">
        <f t="shared" si="300"/>
        <v xml:space="preserve"> </v>
      </c>
      <c r="F453" s="59" t="str">
        <f t="shared" si="301"/>
        <v xml:space="preserve"> </v>
      </c>
      <c r="G453" s="59" t="str">
        <f t="shared" si="302"/>
        <v xml:space="preserve"> </v>
      </c>
      <c r="H453" s="59" t="s">
        <v>37</v>
      </c>
      <c r="I453" s="59" t="str">
        <f t="shared" si="303"/>
        <v xml:space="preserve"> </v>
      </c>
      <c r="J453" s="59" t="str">
        <f t="shared" si="304"/>
        <v xml:space="preserve"> </v>
      </c>
      <c r="K453" s="99" t="str">
        <f t="shared" si="305"/>
        <v xml:space="preserve"> </v>
      </c>
      <c r="L453" s="59" t="str">
        <f t="shared" si="306"/>
        <v xml:space="preserve"> </v>
      </c>
      <c r="M453" s="59" t="str">
        <f t="shared" si="307"/>
        <v xml:space="preserve"> </v>
      </c>
      <c r="N453" s="36"/>
      <c r="O453" s="59" t="str">
        <f t="shared" si="308"/>
        <v xml:space="preserve"> </v>
      </c>
      <c r="P453" s="59" t="str">
        <f t="shared" si="309"/>
        <v xml:space="preserve"> </v>
      </c>
      <c r="Q453" s="59" t="str">
        <f t="shared" si="297"/>
        <v>I юн</v>
      </c>
      <c r="R453" s="59" t="str">
        <f t="shared" si="311"/>
        <v>II юн</v>
      </c>
      <c r="S453" s="59" t="str">
        <f t="shared" si="310"/>
        <v>III юн</v>
      </c>
    </row>
    <row r="454" spans="1:19" ht="15" customHeight="1" x14ac:dyDescent="0.3">
      <c r="A454" s="36">
        <v>8</v>
      </c>
      <c r="B454" s="40" t="str">
        <f t="shared" si="298"/>
        <v xml:space="preserve"> </v>
      </c>
      <c r="C454" s="40" t="str">
        <f t="shared" si="299"/>
        <v xml:space="preserve"> </v>
      </c>
      <c r="D454" s="36"/>
      <c r="E454" s="59" t="str">
        <f t="shared" si="300"/>
        <v xml:space="preserve"> </v>
      </c>
      <c r="F454" s="59" t="str">
        <f t="shared" si="301"/>
        <v xml:space="preserve"> </v>
      </c>
      <c r="G454" s="59" t="str">
        <f t="shared" si="302"/>
        <v xml:space="preserve"> </v>
      </c>
      <c r="H454" s="59" t="s">
        <v>37</v>
      </c>
      <c r="I454" s="59" t="str">
        <f t="shared" si="303"/>
        <v xml:space="preserve"> </v>
      </c>
      <c r="J454" s="59" t="str">
        <f t="shared" si="304"/>
        <v xml:space="preserve"> </v>
      </c>
      <c r="K454" s="99" t="str">
        <f t="shared" si="305"/>
        <v xml:space="preserve"> </v>
      </c>
      <c r="L454" s="59" t="str">
        <f t="shared" si="306"/>
        <v xml:space="preserve"> </v>
      </c>
      <c r="M454" s="59" t="str">
        <f t="shared" si="307"/>
        <v xml:space="preserve"> </v>
      </c>
      <c r="N454" s="36"/>
      <c r="O454" s="59" t="str">
        <f t="shared" si="308"/>
        <v xml:space="preserve"> </v>
      </c>
      <c r="P454" s="59" t="str">
        <f t="shared" si="309"/>
        <v xml:space="preserve"> </v>
      </c>
      <c r="Q454" s="59" t="str">
        <f t="shared" si="297"/>
        <v xml:space="preserve"> </v>
      </c>
      <c r="R454" s="59" t="str">
        <f t="shared" si="311"/>
        <v>II юн</v>
      </c>
      <c r="S454" s="59" t="str">
        <f t="shared" si="310"/>
        <v>III юн</v>
      </c>
    </row>
    <row r="455" spans="1:19" ht="14.25" customHeight="1" x14ac:dyDescent="0.3">
      <c r="A455" s="36">
        <v>9</v>
      </c>
      <c r="B455" s="40" t="str">
        <f t="shared" si="298"/>
        <v xml:space="preserve"> </v>
      </c>
      <c r="C455" s="40" t="str">
        <f t="shared" si="299"/>
        <v xml:space="preserve"> </v>
      </c>
      <c r="D455" s="43"/>
      <c r="E455" s="59" t="str">
        <f t="shared" si="300"/>
        <v xml:space="preserve"> </v>
      </c>
      <c r="F455" s="59" t="str">
        <f t="shared" si="301"/>
        <v xml:space="preserve"> </v>
      </c>
      <c r="G455" s="59" t="str">
        <f t="shared" si="302"/>
        <v xml:space="preserve"> </v>
      </c>
      <c r="H455" s="59" t="s">
        <v>124</v>
      </c>
      <c r="I455" s="59" t="str">
        <f t="shared" si="303"/>
        <v xml:space="preserve"> </v>
      </c>
      <c r="J455" s="59" t="str">
        <f t="shared" si="304"/>
        <v xml:space="preserve"> </v>
      </c>
      <c r="K455" s="99" t="str">
        <f t="shared" si="305"/>
        <v xml:space="preserve"> </v>
      </c>
      <c r="L455" s="59" t="str">
        <f t="shared" si="306"/>
        <v xml:space="preserve"> </v>
      </c>
      <c r="M455" s="59" t="str">
        <f t="shared" si="307"/>
        <v xml:space="preserve"> </v>
      </c>
      <c r="N455" s="43"/>
      <c r="O455" s="59" t="str">
        <f t="shared" si="308"/>
        <v xml:space="preserve"> </v>
      </c>
      <c r="P455" s="59" t="str">
        <f t="shared" si="309"/>
        <v xml:space="preserve"> </v>
      </c>
      <c r="Q455" s="59" t="str">
        <f t="shared" si="297"/>
        <v xml:space="preserve"> </v>
      </c>
      <c r="R455" s="59" t="str">
        <f t="shared" si="311"/>
        <v xml:space="preserve"> </v>
      </c>
      <c r="S455" s="59" t="str">
        <f t="shared" si="310"/>
        <v>III юн</v>
      </c>
    </row>
    <row r="456" spans="1:19" x14ac:dyDescent="0.3">
      <c r="E456" s="59" t="str">
        <f t="shared" si="300"/>
        <v xml:space="preserve"> </v>
      </c>
      <c r="F456" s="59" t="str">
        <f t="shared" si="301"/>
        <v xml:space="preserve"> </v>
      </c>
      <c r="G456" s="59" t="str">
        <f t="shared" si="302"/>
        <v xml:space="preserve"> </v>
      </c>
      <c r="H456" s="59" t="s">
        <v>124</v>
      </c>
      <c r="I456" s="59" t="str">
        <f t="shared" si="303"/>
        <v xml:space="preserve"> </v>
      </c>
      <c r="J456" s="59" t="str">
        <f t="shared" si="304"/>
        <v xml:space="preserve"> </v>
      </c>
      <c r="K456" s="99" t="str">
        <f t="shared" si="305"/>
        <v xml:space="preserve"> </v>
      </c>
      <c r="L456" s="59" t="str">
        <f t="shared" si="305"/>
        <v xml:space="preserve"> </v>
      </c>
      <c r="M456" s="59" t="str">
        <f t="shared" si="307"/>
        <v xml:space="preserve"> </v>
      </c>
      <c r="O456" s="59" t="str">
        <f>IF(ISBLANK($A456)," ",IF(ISTEXT($A456)," ",IF($A456&lt;=2,"I",IF($A456&lt;=4,"II",IF($A456&lt;=6,"III"," ")))))</f>
        <v xml:space="preserve"> </v>
      </c>
      <c r="R456" s="59" t="str">
        <f t="shared" si="311"/>
        <v xml:space="preserve"> </v>
      </c>
    </row>
    <row r="457" spans="1:19" ht="14.25" customHeight="1" x14ac:dyDescent="0.3">
      <c r="C457" s="45" t="s">
        <v>107</v>
      </c>
      <c r="D457" s="43"/>
      <c r="E457" s="43"/>
      <c r="F457" s="43"/>
      <c r="G457" s="43"/>
      <c r="H457" s="42"/>
      <c r="I457" s="42"/>
      <c r="J457" s="43"/>
      <c r="O457" s="59" t="str">
        <f t="shared" si="308"/>
        <v xml:space="preserve"> </v>
      </c>
    </row>
    <row r="458" spans="1:19" ht="14.25" customHeight="1" x14ac:dyDescent="0.3">
      <c r="C458" s="45" t="s">
        <v>108</v>
      </c>
      <c r="D458" s="43"/>
      <c r="E458" s="43"/>
      <c r="F458" s="43"/>
      <c r="G458" s="43"/>
      <c r="H458" s="42"/>
      <c r="I458" s="42"/>
      <c r="J458" s="43"/>
    </row>
    <row r="460" spans="1:19" x14ac:dyDescent="0.3">
      <c r="C460" s="45" t="s">
        <v>101</v>
      </c>
    </row>
    <row r="461" spans="1:19" x14ac:dyDescent="0.3">
      <c r="C461" s="45" t="s">
        <v>93</v>
      </c>
    </row>
    <row r="462" spans="1:19" x14ac:dyDescent="0.3">
      <c r="C462" s="45"/>
    </row>
    <row r="463" spans="1:19" x14ac:dyDescent="0.3">
      <c r="C463" s="45" t="s">
        <v>100</v>
      </c>
    </row>
    <row r="464" spans="1:19" x14ac:dyDescent="0.3">
      <c r="C464" s="45" t="s">
        <v>94</v>
      </c>
    </row>
    <row r="465" spans="3:3" x14ac:dyDescent="0.3">
      <c r="C465" s="45"/>
    </row>
    <row r="466" spans="3:3" x14ac:dyDescent="0.3">
      <c r="C466" s="45" t="s">
        <v>102</v>
      </c>
    </row>
    <row r="467" spans="3:3" x14ac:dyDescent="0.3">
      <c r="C467" s="45" t="s">
        <v>96</v>
      </c>
    </row>
    <row r="468" spans="3:3" x14ac:dyDescent="0.3">
      <c r="C468" s="45"/>
    </row>
    <row r="469" spans="3:3" x14ac:dyDescent="0.3">
      <c r="C469" s="45" t="s">
        <v>103</v>
      </c>
    </row>
    <row r="470" spans="3:3" x14ac:dyDescent="0.3">
      <c r="C470" s="45" t="s">
        <v>95</v>
      </c>
    </row>
    <row r="471" spans="3:3" x14ac:dyDescent="0.3">
      <c r="C471" s="45"/>
    </row>
    <row r="472" spans="3:3" x14ac:dyDescent="0.3">
      <c r="C472" s="45" t="s">
        <v>105</v>
      </c>
    </row>
    <row r="473" spans="3:3" x14ac:dyDescent="0.3">
      <c r="C473" s="45" t="s">
        <v>98</v>
      </c>
    </row>
    <row r="474" spans="3:3" x14ac:dyDescent="0.3">
      <c r="C474" s="45"/>
    </row>
    <row r="475" spans="3:3" x14ac:dyDescent="0.3">
      <c r="C475" s="45" t="s">
        <v>104</v>
      </c>
    </row>
    <row r="476" spans="3:3" x14ac:dyDescent="0.3">
      <c r="C476" s="45" t="s">
        <v>97</v>
      </c>
    </row>
    <row r="477" spans="3:3" x14ac:dyDescent="0.3">
      <c r="C477" s="45"/>
    </row>
    <row r="478" spans="3:3" x14ac:dyDescent="0.3">
      <c r="C478" s="45" t="s">
        <v>106</v>
      </c>
    </row>
    <row r="479" spans="3:3" x14ac:dyDescent="0.3">
      <c r="C479" s="45" t="s">
        <v>99</v>
      </c>
    </row>
    <row r="480" spans="3:3" x14ac:dyDescent="0.3">
      <c r="C480" s="45"/>
    </row>
    <row r="481" spans="3:3" x14ac:dyDescent="0.3">
      <c r="C481" s="45" t="s">
        <v>81</v>
      </c>
    </row>
    <row r="482" spans="3:3" x14ac:dyDescent="0.3">
      <c r="C482" s="45" t="s">
        <v>72</v>
      </c>
    </row>
    <row r="483" spans="3:3" x14ac:dyDescent="0.3">
      <c r="C483" s="45"/>
    </row>
    <row r="484" spans="3:3" x14ac:dyDescent="0.3">
      <c r="C484" s="45"/>
    </row>
    <row r="485" spans="3:3" x14ac:dyDescent="0.3">
      <c r="C485" s="45"/>
    </row>
    <row r="486" spans="3:3" x14ac:dyDescent="0.3">
      <c r="C486" s="45" t="s">
        <v>86</v>
      </c>
    </row>
    <row r="487" spans="3:3" x14ac:dyDescent="0.3">
      <c r="C487" s="45" t="s">
        <v>74</v>
      </c>
    </row>
    <row r="488" spans="3:3" x14ac:dyDescent="0.3">
      <c r="C488" s="45"/>
    </row>
    <row r="489" spans="3:3" x14ac:dyDescent="0.3">
      <c r="C489" s="45"/>
    </row>
    <row r="490" spans="3:3" x14ac:dyDescent="0.3">
      <c r="C490" s="45" t="s">
        <v>85</v>
      </c>
    </row>
    <row r="491" spans="3:3" x14ac:dyDescent="0.3">
      <c r="C491" s="45" t="s">
        <v>73</v>
      </c>
    </row>
    <row r="492" spans="3:3" x14ac:dyDescent="0.3">
      <c r="C492" s="45"/>
    </row>
    <row r="493" spans="3:3" x14ac:dyDescent="0.3">
      <c r="C493" s="45" t="s">
        <v>87</v>
      </c>
    </row>
    <row r="494" spans="3:3" x14ac:dyDescent="0.3">
      <c r="C494" s="45" t="s">
        <v>75</v>
      </c>
    </row>
    <row r="495" spans="3:3" x14ac:dyDescent="0.3">
      <c r="C495" s="45"/>
    </row>
    <row r="496" spans="3:3" x14ac:dyDescent="0.3">
      <c r="C496" s="45" t="s">
        <v>88</v>
      </c>
    </row>
    <row r="497" spans="3:3" x14ac:dyDescent="0.3">
      <c r="C497" s="45" t="s">
        <v>76</v>
      </c>
    </row>
    <row r="498" spans="3:3" x14ac:dyDescent="0.3">
      <c r="C498" s="45"/>
    </row>
    <row r="499" spans="3:3" x14ac:dyDescent="0.3">
      <c r="C499" s="45" t="s">
        <v>89</v>
      </c>
    </row>
    <row r="500" spans="3:3" x14ac:dyDescent="0.3">
      <c r="C500" s="45" t="s">
        <v>77</v>
      </c>
    </row>
    <row r="501" spans="3:3" x14ac:dyDescent="0.3">
      <c r="C501" s="45"/>
    </row>
    <row r="502" spans="3:3" x14ac:dyDescent="0.3">
      <c r="C502" s="45" t="s">
        <v>90</v>
      </c>
    </row>
    <row r="503" spans="3:3" x14ac:dyDescent="0.3">
      <c r="C503" s="45" t="s">
        <v>78</v>
      </c>
    </row>
    <row r="504" spans="3:3" x14ac:dyDescent="0.3">
      <c r="C504" s="45"/>
    </row>
    <row r="505" spans="3:3" x14ac:dyDescent="0.3">
      <c r="C505" s="45" t="s">
        <v>91</v>
      </c>
    </row>
    <row r="506" spans="3:3" x14ac:dyDescent="0.3">
      <c r="C506" s="45" t="s">
        <v>79</v>
      </c>
    </row>
    <row r="507" spans="3:3" x14ac:dyDescent="0.3">
      <c r="C507" s="45"/>
    </row>
    <row r="508" spans="3:3" x14ac:dyDescent="0.3">
      <c r="C508" s="45" t="s">
        <v>92</v>
      </c>
    </row>
    <row r="509" spans="3:3" x14ac:dyDescent="0.3">
      <c r="C509" s="45" t="s">
        <v>80</v>
      </c>
    </row>
  </sheetData>
  <mergeCells count="3">
    <mergeCell ref="H1:J1"/>
    <mergeCell ref="I2:J2"/>
    <mergeCell ref="M2:N2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ИТОГОВЫЙ городские  (2)</vt:lpstr>
      <vt:lpstr>ИТОГОВЫЙ ксш</vt:lpstr>
      <vt:lpstr>Нормативы</vt:lpstr>
      <vt:lpstr>'ИТОГОВЫЙ городские  (2)'!Область_печати</vt:lpstr>
      <vt:lpstr>'ИТОГОВЫЙ ксш'!Область_печати</vt:lpstr>
    </vt:vector>
  </TitlesOfParts>
  <Company>HomeLab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технических заявок</dc:title>
  <dc:creator>LTV</dc:creator>
  <dc:description>Федерация подводного спорта Красноярского края</dc:description>
  <cp:lastModifiedBy>redmi</cp:lastModifiedBy>
  <cp:lastPrinted>2026-04-26T15:08:47Z</cp:lastPrinted>
  <dcterms:created xsi:type="dcterms:W3CDTF">2015-02-24T12:52:44Z</dcterms:created>
  <dcterms:modified xsi:type="dcterms:W3CDTF">2026-04-27T11:57:54Z</dcterms:modified>
</cp:coreProperties>
</file>